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03 Projects\Support Packs\Support Pack testing - 2014\Notes\"/>
    </mc:Choice>
  </mc:AlternateContent>
  <bookViews>
    <workbookView xWindow="0" yWindow="0" windowWidth="20160" windowHeight="9048"/>
  </bookViews>
  <sheets>
    <sheet name="SAPK-61702INSAPFIN_notes" sheetId="1" r:id="rId1"/>
  </sheets>
  <calcPr calcId="0"/>
</workbook>
</file>

<file path=xl/calcChain.xml><?xml version="1.0" encoding="utf-8"?>
<calcChain xmlns="http://schemas.openxmlformats.org/spreadsheetml/2006/main">
  <c r="C5020" i="1" l="1"/>
  <c r="C5018" i="1"/>
  <c r="C5017" i="1"/>
  <c r="C5014" i="1"/>
  <c r="C5013" i="1"/>
  <c r="C5012" i="1"/>
  <c r="C5010" i="1"/>
  <c r="C5008" i="1"/>
  <c r="C5007" i="1"/>
  <c r="C5005" i="1"/>
  <c r="C5004" i="1"/>
  <c r="C5003" i="1"/>
  <c r="C5001" i="1"/>
  <c r="C5000" i="1"/>
  <c r="C4999" i="1"/>
  <c r="C4998" i="1"/>
  <c r="C4997" i="1"/>
  <c r="C4996" i="1"/>
  <c r="C4994" i="1"/>
  <c r="C4993" i="1"/>
  <c r="C4991" i="1"/>
  <c r="C4990" i="1"/>
  <c r="C4989" i="1"/>
  <c r="C4988" i="1"/>
  <c r="C4987" i="1"/>
  <c r="C4986" i="1"/>
  <c r="C4985" i="1"/>
  <c r="C4984" i="1"/>
  <c r="C4983" i="1"/>
  <c r="C4982" i="1"/>
  <c r="C4981" i="1"/>
  <c r="C4980" i="1"/>
  <c r="C4979" i="1"/>
  <c r="C4978" i="1"/>
  <c r="C4977" i="1"/>
  <c r="C4976" i="1"/>
  <c r="C4975" i="1"/>
  <c r="C4974" i="1"/>
  <c r="C4973" i="1"/>
  <c r="C4972" i="1"/>
  <c r="C4971" i="1"/>
  <c r="C4970" i="1"/>
  <c r="C4969" i="1"/>
  <c r="C4968" i="1"/>
  <c r="C4967" i="1"/>
  <c r="C4966" i="1"/>
  <c r="C4965" i="1"/>
  <c r="C4964" i="1"/>
  <c r="C4963" i="1"/>
  <c r="C4962" i="1"/>
  <c r="C4961" i="1"/>
  <c r="C4960" i="1"/>
  <c r="C4959" i="1"/>
  <c r="C4958" i="1"/>
  <c r="C4957" i="1"/>
  <c r="C4956" i="1"/>
  <c r="C4955" i="1"/>
  <c r="C4954" i="1"/>
  <c r="C4953" i="1"/>
  <c r="C4952" i="1"/>
  <c r="C4951" i="1"/>
  <c r="C4950" i="1"/>
  <c r="C4949" i="1"/>
  <c r="C4948" i="1"/>
  <c r="C4947" i="1"/>
  <c r="C4946" i="1"/>
  <c r="C4945" i="1"/>
  <c r="C4944" i="1"/>
  <c r="C4943" i="1"/>
  <c r="C4942" i="1"/>
  <c r="C4941" i="1"/>
  <c r="C4940" i="1"/>
  <c r="C4939" i="1"/>
  <c r="C4938" i="1"/>
  <c r="C4937" i="1"/>
  <c r="C4936" i="1"/>
  <c r="C4935" i="1"/>
  <c r="C4934" i="1"/>
  <c r="C4933" i="1"/>
  <c r="C4932" i="1"/>
  <c r="C4931" i="1"/>
  <c r="C4930" i="1"/>
  <c r="C4929" i="1"/>
  <c r="C4928" i="1"/>
  <c r="C4927" i="1"/>
  <c r="C4926" i="1"/>
  <c r="C4925" i="1"/>
  <c r="C4924" i="1"/>
  <c r="C4923" i="1"/>
  <c r="C4922" i="1"/>
  <c r="C4921" i="1"/>
  <c r="C4920" i="1"/>
  <c r="C4919" i="1"/>
  <c r="C4918" i="1"/>
  <c r="C4917" i="1"/>
  <c r="C4916" i="1"/>
  <c r="C4915" i="1"/>
  <c r="C4914" i="1"/>
  <c r="C4913" i="1"/>
  <c r="C4912" i="1"/>
  <c r="C4911" i="1"/>
  <c r="C4910" i="1"/>
  <c r="C4909" i="1"/>
  <c r="C4908" i="1"/>
  <c r="C4907" i="1"/>
  <c r="C4906" i="1"/>
  <c r="C4905" i="1"/>
  <c r="C4904" i="1"/>
  <c r="C4903" i="1"/>
  <c r="C4902" i="1"/>
  <c r="C4901" i="1"/>
  <c r="C4899" i="1"/>
  <c r="C4898" i="1"/>
  <c r="C4897" i="1"/>
  <c r="C4896" i="1"/>
  <c r="C4895" i="1"/>
  <c r="C4894" i="1"/>
  <c r="C4893" i="1"/>
  <c r="C4892" i="1"/>
  <c r="C4891" i="1"/>
  <c r="C4890" i="1"/>
  <c r="C4888" i="1"/>
  <c r="C4887" i="1"/>
  <c r="C4886" i="1"/>
  <c r="C4885" i="1"/>
  <c r="C4884" i="1"/>
  <c r="C4883" i="1"/>
  <c r="C4882" i="1"/>
  <c r="C4881" i="1"/>
  <c r="C4880" i="1"/>
  <c r="C4878" i="1"/>
  <c r="C4877" i="1"/>
  <c r="C4875" i="1"/>
  <c r="C4873" i="1"/>
  <c r="C4871" i="1"/>
  <c r="C4870" i="1"/>
  <c r="C4869" i="1"/>
  <c r="C4868" i="1"/>
  <c r="C4866" i="1"/>
  <c r="C4865" i="1"/>
  <c r="C4864" i="1"/>
  <c r="C4863" i="1"/>
  <c r="C4862" i="1"/>
  <c r="C4861" i="1"/>
  <c r="C4860" i="1"/>
  <c r="C4859" i="1"/>
  <c r="C4858" i="1"/>
  <c r="C4857" i="1"/>
  <c r="C4856" i="1"/>
  <c r="C4855" i="1"/>
  <c r="C4854" i="1"/>
  <c r="C4853" i="1"/>
  <c r="C4852" i="1"/>
  <c r="C4851" i="1"/>
  <c r="C4850" i="1"/>
  <c r="C4849" i="1"/>
  <c r="C4847" i="1"/>
  <c r="C4846" i="1"/>
  <c r="C4845" i="1"/>
  <c r="C4844" i="1"/>
  <c r="C4843" i="1"/>
  <c r="C4841" i="1"/>
  <c r="C4840" i="1"/>
  <c r="C4839" i="1"/>
  <c r="C4838" i="1"/>
  <c r="C4837" i="1"/>
  <c r="C4836" i="1"/>
  <c r="C4835" i="1"/>
  <c r="C4833" i="1"/>
  <c r="C4832" i="1"/>
  <c r="C4831" i="1"/>
  <c r="C4830" i="1"/>
  <c r="C4829" i="1"/>
  <c r="C4828" i="1"/>
  <c r="C4827" i="1"/>
  <c r="C4825" i="1"/>
  <c r="C4824" i="1"/>
  <c r="C4823" i="1"/>
  <c r="C4822" i="1"/>
  <c r="C4821" i="1"/>
  <c r="C4820" i="1"/>
  <c r="C4819" i="1"/>
  <c r="C4818" i="1"/>
  <c r="C4817" i="1"/>
  <c r="C4816" i="1"/>
  <c r="C4815" i="1"/>
  <c r="C4814" i="1"/>
  <c r="C4813" i="1"/>
  <c r="C4812" i="1"/>
  <c r="C4811" i="1"/>
  <c r="C4810" i="1"/>
  <c r="C4809" i="1"/>
  <c r="C4808" i="1"/>
  <c r="C4807" i="1"/>
  <c r="C4806" i="1"/>
  <c r="C4805" i="1"/>
  <c r="C4804" i="1"/>
  <c r="C4803" i="1"/>
  <c r="C4802" i="1"/>
  <c r="C4801" i="1"/>
  <c r="C4800" i="1"/>
  <c r="C4799" i="1"/>
  <c r="C4798" i="1"/>
  <c r="C4797" i="1"/>
  <c r="C4796" i="1"/>
  <c r="C4795" i="1"/>
  <c r="C4794" i="1"/>
  <c r="C4793" i="1"/>
  <c r="C4792" i="1"/>
  <c r="C4791" i="1"/>
  <c r="C4790" i="1"/>
  <c r="C4786" i="1"/>
  <c r="C4784" i="1"/>
  <c r="C4782" i="1"/>
  <c r="C4780" i="1"/>
  <c r="C4778" i="1"/>
  <c r="C4776" i="1"/>
  <c r="C4774" i="1"/>
  <c r="C4772" i="1"/>
  <c r="C4770" i="1"/>
  <c r="C4769" i="1"/>
  <c r="C4768" i="1"/>
  <c r="C4767" i="1"/>
  <c r="C4766" i="1"/>
  <c r="C4765" i="1"/>
  <c r="C4764" i="1"/>
  <c r="C4763" i="1"/>
  <c r="C4762" i="1"/>
  <c r="C4761" i="1"/>
  <c r="C4760" i="1"/>
  <c r="C4759" i="1"/>
  <c r="C4758" i="1"/>
  <c r="C4757" i="1"/>
  <c r="C4756" i="1"/>
  <c r="C4755" i="1"/>
  <c r="C4754" i="1"/>
  <c r="C4753" i="1"/>
  <c r="C4752" i="1"/>
  <c r="C4750" i="1"/>
  <c r="C4749" i="1"/>
  <c r="C4748" i="1"/>
  <c r="C4747" i="1"/>
  <c r="C4746" i="1"/>
  <c r="C4745" i="1"/>
  <c r="C4744" i="1"/>
  <c r="C4743" i="1"/>
  <c r="C4742" i="1"/>
  <c r="C4741" i="1"/>
  <c r="C4739" i="1"/>
  <c r="C4738" i="1"/>
  <c r="C4737" i="1"/>
  <c r="C4736" i="1"/>
  <c r="C4734" i="1"/>
  <c r="C4732" i="1"/>
  <c r="C4729" i="1"/>
  <c r="C4728" i="1"/>
  <c r="C4726" i="1"/>
  <c r="C4725" i="1"/>
  <c r="C4723" i="1"/>
  <c r="C4720" i="1"/>
  <c r="C4719" i="1"/>
  <c r="C4718" i="1"/>
  <c r="C4717" i="1"/>
  <c r="C4716" i="1"/>
  <c r="C4713" i="1"/>
  <c r="C4712" i="1"/>
  <c r="C4711" i="1"/>
  <c r="C4710" i="1"/>
  <c r="C4707" i="1"/>
  <c r="C4705" i="1"/>
  <c r="C4704" i="1"/>
  <c r="C4703" i="1"/>
  <c r="C4702" i="1"/>
  <c r="C4701" i="1"/>
  <c r="C4700" i="1"/>
  <c r="C4699" i="1"/>
  <c r="C4698" i="1"/>
  <c r="C4696" i="1"/>
  <c r="C4692" i="1"/>
  <c r="C4691" i="1"/>
  <c r="C4690" i="1"/>
  <c r="C4689" i="1"/>
  <c r="C4688" i="1"/>
  <c r="C4687" i="1"/>
  <c r="C4686" i="1"/>
  <c r="C4685" i="1"/>
  <c r="C4684" i="1"/>
  <c r="C4683" i="1"/>
  <c r="C4682" i="1"/>
  <c r="C4681" i="1"/>
  <c r="C4680" i="1"/>
  <c r="C4679" i="1"/>
  <c r="C4678" i="1"/>
  <c r="C4677" i="1"/>
  <c r="C4676" i="1"/>
  <c r="C4675" i="1"/>
  <c r="C4674" i="1"/>
  <c r="C4673" i="1"/>
  <c r="C4672" i="1"/>
  <c r="C4671" i="1"/>
  <c r="C4670" i="1"/>
  <c r="C4669" i="1"/>
  <c r="C4668" i="1"/>
  <c r="C4667" i="1"/>
  <c r="C4666" i="1"/>
  <c r="C4665" i="1"/>
  <c r="C4664" i="1"/>
  <c r="C4663" i="1"/>
  <c r="C4662" i="1"/>
  <c r="C4661" i="1"/>
  <c r="C4660" i="1"/>
  <c r="C4659" i="1"/>
  <c r="C4658" i="1"/>
  <c r="C4657" i="1"/>
  <c r="C4656" i="1"/>
  <c r="C4654" i="1"/>
  <c r="C4652" i="1"/>
  <c r="C4651" i="1"/>
  <c r="C4650" i="1"/>
  <c r="C4649" i="1"/>
  <c r="C4647" i="1"/>
  <c r="C4646" i="1"/>
  <c r="C4645" i="1"/>
  <c r="C4644" i="1"/>
  <c r="C4643" i="1"/>
  <c r="C4642" i="1"/>
  <c r="C4641" i="1"/>
  <c r="C4640" i="1"/>
  <c r="C4639" i="1"/>
  <c r="C4636" i="1"/>
  <c r="C4635" i="1"/>
  <c r="C4634" i="1"/>
  <c r="C4633" i="1"/>
  <c r="C4632" i="1"/>
  <c r="C4631" i="1"/>
  <c r="C4630" i="1"/>
  <c r="C4629" i="1"/>
  <c r="C4628" i="1"/>
  <c r="C4627" i="1"/>
  <c r="C4626" i="1"/>
  <c r="C4625" i="1"/>
  <c r="C4624" i="1"/>
  <c r="C4623" i="1"/>
  <c r="C4622" i="1"/>
  <c r="C4621" i="1"/>
  <c r="C4620" i="1"/>
  <c r="C4619" i="1"/>
  <c r="C4618" i="1"/>
  <c r="C4617" i="1"/>
  <c r="C4616" i="1"/>
  <c r="C4615" i="1"/>
  <c r="C4614" i="1"/>
  <c r="C4613" i="1"/>
  <c r="C4612" i="1"/>
  <c r="C4611" i="1"/>
  <c r="C4610" i="1"/>
  <c r="C4609" i="1"/>
  <c r="C4608" i="1"/>
  <c r="C4607" i="1"/>
  <c r="C4606" i="1"/>
  <c r="C4605" i="1"/>
  <c r="C4604" i="1"/>
  <c r="C4603" i="1"/>
  <c r="C4602" i="1"/>
  <c r="C4601" i="1"/>
  <c r="C4600" i="1"/>
  <c r="C4599" i="1"/>
  <c r="C4598" i="1"/>
  <c r="C4597" i="1"/>
  <c r="C4596" i="1"/>
  <c r="C4595" i="1"/>
  <c r="C4594" i="1"/>
  <c r="C4593" i="1"/>
  <c r="C4592" i="1"/>
  <c r="C4591" i="1"/>
  <c r="C4590" i="1"/>
  <c r="C4589" i="1"/>
  <c r="C4588" i="1"/>
  <c r="C4587" i="1"/>
  <c r="C4586" i="1"/>
  <c r="C4585" i="1"/>
  <c r="C4584" i="1"/>
  <c r="C4583" i="1"/>
  <c r="C4582" i="1"/>
  <c r="C4581" i="1"/>
  <c r="C4580" i="1"/>
  <c r="C4579" i="1"/>
  <c r="C4578" i="1"/>
  <c r="C4577" i="1"/>
  <c r="C4576" i="1"/>
  <c r="C4575" i="1"/>
  <c r="C4574" i="1"/>
  <c r="C4573" i="1"/>
  <c r="C4572" i="1"/>
  <c r="C4571" i="1"/>
  <c r="C4570" i="1"/>
  <c r="C4569" i="1"/>
  <c r="C4568" i="1"/>
  <c r="C4567" i="1"/>
  <c r="C4566" i="1"/>
  <c r="C4565" i="1"/>
  <c r="C4564" i="1"/>
  <c r="C4563" i="1"/>
  <c r="C4562" i="1"/>
  <c r="C4561" i="1"/>
  <c r="C4560" i="1"/>
  <c r="C4559" i="1"/>
  <c r="C4558" i="1"/>
  <c r="C4557" i="1"/>
  <c r="C4556" i="1"/>
  <c r="C4555" i="1"/>
  <c r="C4554" i="1"/>
  <c r="C4553" i="1"/>
  <c r="C4552" i="1"/>
  <c r="C4551" i="1"/>
  <c r="C4550" i="1"/>
  <c r="C4549" i="1"/>
  <c r="C4548" i="1"/>
  <c r="C4547" i="1"/>
  <c r="C4546" i="1"/>
  <c r="C4545" i="1"/>
  <c r="C4544" i="1"/>
  <c r="C4543" i="1"/>
  <c r="C4542" i="1"/>
  <c r="C4541" i="1"/>
  <c r="C4540" i="1"/>
  <c r="C4539" i="1"/>
  <c r="C4538" i="1"/>
  <c r="C4537" i="1"/>
  <c r="C4536" i="1"/>
  <c r="C4535" i="1"/>
  <c r="C4534" i="1"/>
  <c r="C4533" i="1"/>
  <c r="C4532" i="1"/>
  <c r="C4531" i="1"/>
  <c r="C4530" i="1"/>
  <c r="C4529" i="1"/>
  <c r="C4528" i="1"/>
  <c r="C4527" i="1"/>
  <c r="C4526" i="1"/>
  <c r="C4525" i="1"/>
  <c r="C4524" i="1"/>
  <c r="C4523" i="1"/>
  <c r="C4522" i="1"/>
  <c r="C4521" i="1"/>
  <c r="C4520" i="1"/>
  <c r="C4519" i="1"/>
  <c r="C4518" i="1"/>
  <c r="C4517" i="1"/>
  <c r="C4516" i="1"/>
  <c r="C4515" i="1"/>
  <c r="C4514" i="1"/>
  <c r="C4513" i="1"/>
  <c r="C4512" i="1"/>
  <c r="C4511" i="1"/>
  <c r="C4510" i="1"/>
  <c r="C4509" i="1"/>
  <c r="C4508" i="1"/>
  <c r="C4507" i="1"/>
  <c r="C4506" i="1"/>
  <c r="C4505" i="1"/>
  <c r="C4504" i="1"/>
  <c r="C4503" i="1"/>
  <c r="C4502" i="1"/>
  <c r="C4501" i="1"/>
  <c r="C4500" i="1"/>
  <c r="C4499" i="1"/>
  <c r="C4498" i="1"/>
  <c r="C4497" i="1"/>
  <c r="C4496" i="1"/>
  <c r="C4495" i="1"/>
  <c r="C4494" i="1"/>
  <c r="C4493" i="1"/>
  <c r="C4491" i="1"/>
  <c r="C4490" i="1"/>
  <c r="C4489" i="1"/>
  <c r="C4488" i="1"/>
  <c r="C4487" i="1"/>
  <c r="C4486" i="1"/>
  <c r="C4485" i="1"/>
  <c r="C4484" i="1"/>
  <c r="C4483" i="1"/>
  <c r="C4482" i="1"/>
  <c r="C4481" i="1"/>
  <c r="C4480" i="1"/>
  <c r="C4479" i="1"/>
  <c r="C4478" i="1"/>
  <c r="C4477" i="1"/>
  <c r="C4476" i="1"/>
  <c r="C4475" i="1"/>
  <c r="C4474" i="1"/>
  <c r="C4473" i="1"/>
  <c r="C4472" i="1"/>
  <c r="C4471" i="1"/>
  <c r="C4470" i="1"/>
  <c r="C4469" i="1"/>
  <c r="C4468" i="1"/>
  <c r="C4467" i="1"/>
  <c r="C4466" i="1"/>
  <c r="C4465" i="1"/>
  <c r="C4464" i="1"/>
  <c r="C4463" i="1"/>
  <c r="C4462" i="1"/>
  <c r="C4461" i="1"/>
  <c r="C4460" i="1"/>
  <c r="C4459" i="1"/>
  <c r="C4458" i="1"/>
  <c r="C4457" i="1"/>
  <c r="C4456" i="1"/>
  <c r="C4455" i="1"/>
  <c r="C4454" i="1"/>
  <c r="C4453" i="1"/>
  <c r="C4452" i="1"/>
  <c r="C4451" i="1"/>
  <c r="C4450" i="1"/>
  <c r="C4449" i="1"/>
  <c r="C4448" i="1"/>
  <c r="C4447" i="1"/>
  <c r="C4446" i="1"/>
  <c r="C4445" i="1"/>
  <c r="C4442" i="1"/>
  <c r="C4441" i="1"/>
  <c r="C4440" i="1"/>
  <c r="C4439" i="1"/>
  <c r="C4438" i="1"/>
  <c r="C4437" i="1"/>
  <c r="C4436" i="1"/>
  <c r="C4435" i="1"/>
  <c r="C4434" i="1"/>
  <c r="C4433" i="1"/>
  <c r="C4432" i="1"/>
  <c r="C4431" i="1"/>
  <c r="C4430" i="1"/>
  <c r="C4429" i="1"/>
  <c r="C4428" i="1"/>
  <c r="C4427" i="1"/>
  <c r="C4426" i="1"/>
  <c r="C4425" i="1"/>
  <c r="C4424" i="1"/>
  <c r="C4423" i="1"/>
  <c r="C4422" i="1"/>
  <c r="C4421" i="1"/>
  <c r="C4420" i="1"/>
  <c r="C4419" i="1"/>
  <c r="C4418" i="1"/>
  <c r="C4417" i="1"/>
  <c r="C4416" i="1"/>
  <c r="C4415" i="1"/>
  <c r="C4414" i="1"/>
  <c r="C4413" i="1"/>
  <c r="C4412" i="1"/>
  <c r="C4411" i="1"/>
  <c r="C4410" i="1"/>
  <c r="C4409" i="1"/>
  <c r="C4408" i="1"/>
  <c r="C4407" i="1"/>
  <c r="C4406" i="1"/>
  <c r="C4405" i="1"/>
  <c r="C4404" i="1"/>
  <c r="C4403" i="1"/>
  <c r="C4402" i="1"/>
  <c r="C4401" i="1"/>
  <c r="C4400" i="1"/>
  <c r="C4399" i="1"/>
  <c r="C4398" i="1"/>
  <c r="C4397" i="1"/>
  <c r="C4396" i="1"/>
  <c r="C4395" i="1"/>
  <c r="C4394" i="1"/>
  <c r="C4393" i="1"/>
  <c r="C4392" i="1"/>
  <c r="C4391" i="1"/>
  <c r="C4390" i="1"/>
  <c r="C4389" i="1"/>
  <c r="C4388" i="1"/>
  <c r="C4387" i="1"/>
  <c r="C4386" i="1"/>
  <c r="C4385" i="1"/>
  <c r="C4384" i="1"/>
  <c r="C4383" i="1"/>
  <c r="C4382" i="1"/>
  <c r="C4381" i="1"/>
  <c r="C4380" i="1"/>
  <c r="C4379" i="1"/>
  <c r="C4378" i="1"/>
  <c r="C4377" i="1"/>
  <c r="C4376" i="1"/>
  <c r="C4375" i="1"/>
  <c r="C4374" i="1"/>
  <c r="C4373" i="1"/>
  <c r="C4372" i="1"/>
  <c r="C4371" i="1"/>
  <c r="C4370" i="1"/>
  <c r="C4369" i="1"/>
  <c r="C4368" i="1"/>
  <c r="C4367" i="1"/>
  <c r="C4366" i="1"/>
  <c r="C4365" i="1"/>
  <c r="C4364" i="1"/>
  <c r="C4363" i="1"/>
  <c r="C4362" i="1"/>
  <c r="C4361" i="1"/>
  <c r="C4360" i="1"/>
  <c r="C4359" i="1"/>
  <c r="C4358" i="1"/>
  <c r="C4357" i="1"/>
  <c r="C4356" i="1"/>
  <c r="C4355" i="1"/>
  <c r="C4354" i="1"/>
  <c r="C4353" i="1"/>
  <c r="C4352" i="1"/>
  <c r="C4351" i="1"/>
  <c r="C4350" i="1"/>
  <c r="C4349" i="1"/>
  <c r="C4348" i="1"/>
  <c r="C4347" i="1"/>
  <c r="C4346" i="1"/>
  <c r="C4345" i="1"/>
  <c r="C4344" i="1"/>
  <c r="C4343" i="1"/>
  <c r="C4342" i="1"/>
  <c r="C4341" i="1"/>
  <c r="C4340" i="1"/>
  <c r="C4339" i="1"/>
  <c r="C4338" i="1"/>
  <c r="C4337" i="1"/>
  <c r="C4336" i="1"/>
  <c r="C4335" i="1"/>
  <c r="C4334" i="1"/>
  <c r="C4333" i="1"/>
  <c r="C4332" i="1"/>
  <c r="C4331" i="1"/>
  <c r="C4330" i="1"/>
  <c r="C4329" i="1"/>
  <c r="C4328" i="1"/>
  <c r="C4327" i="1"/>
  <c r="C4326" i="1"/>
  <c r="C4325" i="1"/>
  <c r="C4324" i="1"/>
  <c r="C4323" i="1"/>
  <c r="C4322" i="1"/>
  <c r="C4321" i="1"/>
  <c r="C4320" i="1"/>
  <c r="C4319" i="1"/>
  <c r="C4318" i="1"/>
  <c r="C4317" i="1"/>
  <c r="C4316" i="1"/>
  <c r="C4315" i="1"/>
  <c r="C4314" i="1"/>
  <c r="C4313" i="1"/>
  <c r="C4312" i="1"/>
  <c r="C4310" i="1"/>
  <c r="C4309" i="1"/>
  <c r="C4308" i="1"/>
  <c r="C4307" i="1"/>
  <c r="C4306" i="1"/>
  <c r="C4305" i="1"/>
  <c r="C4304" i="1"/>
  <c r="C4303" i="1"/>
  <c r="C4302" i="1"/>
  <c r="C4301" i="1"/>
  <c r="C4300" i="1"/>
  <c r="C4299" i="1"/>
  <c r="C4298" i="1"/>
  <c r="C4297" i="1"/>
  <c r="C4296" i="1"/>
  <c r="C4295" i="1"/>
  <c r="C4294" i="1"/>
  <c r="C4293" i="1"/>
  <c r="C4292" i="1"/>
  <c r="C4291" i="1"/>
  <c r="C4290" i="1"/>
  <c r="C4289" i="1"/>
  <c r="C4288" i="1"/>
  <c r="C4287" i="1"/>
  <c r="C4286" i="1"/>
  <c r="C4285" i="1"/>
  <c r="C4284" i="1"/>
  <c r="C4283" i="1"/>
  <c r="C4282" i="1"/>
  <c r="C4281" i="1"/>
  <c r="C4280" i="1"/>
  <c r="C4278" i="1"/>
  <c r="C4274" i="1"/>
  <c r="C4273" i="1"/>
  <c r="C4271" i="1"/>
  <c r="C4270" i="1"/>
  <c r="C4269" i="1"/>
  <c r="C4268" i="1"/>
  <c r="C4267" i="1"/>
  <c r="C4266" i="1"/>
  <c r="C4265" i="1"/>
  <c r="C4264" i="1"/>
  <c r="C4263" i="1"/>
  <c r="C4262" i="1"/>
  <c r="C4261" i="1"/>
  <c r="C4260" i="1"/>
  <c r="C4259" i="1"/>
  <c r="C4258" i="1"/>
  <c r="C4257" i="1"/>
  <c r="C4256" i="1"/>
  <c r="C4255" i="1"/>
  <c r="C4254" i="1"/>
  <c r="C4253" i="1"/>
  <c r="C4251" i="1"/>
  <c r="C4250" i="1"/>
  <c r="C4249" i="1"/>
  <c r="C4248" i="1"/>
  <c r="C4247" i="1"/>
  <c r="C4246" i="1"/>
  <c r="C4245" i="1"/>
  <c r="C4243" i="1"/>
  <c r="C4242" i="1"/>
  <c r="C4241" i="1"/>
  <c r="C4240" i="1"/>
  <c r="C4239" i="1"/>
  <c r="C4238" i="1"/>
  <c r="C4237" i="1"/>
  <c r="C4233" i="1"/>
  <c r="C4232" i="1"/>
  <c r="C4231" i="1"/>
  <c r="C4230" i="1"/>
  <c r="C4229" i="1"/>
  <c r="C4228" i="1"/>
  <c r="C4227" i="1"/>
  <c r="C4226" i="1"/>
  <c r="C4225" i="1"/>
  <c r="C4224" i="1"/>
  <c r="C4223" i="1"/>
  <c r="C4222" i="1"/>
  <c r="C4221" i="1"/>
  <c r="C4220" i="1"/>
  <c r="C4219" i="1"/>
  <c r="C4218" i="1"/>
  <c r="C4217" i="1"/>
  <c r="C4216" i="1"/>
  <c r="C4215" i="1"/>
  <c r="C4214" i="1"/>
  <c r="C4213" i="1"/>
  <c r="C4212" i="1"/>
  <c r="C4211" i="1"/>
  <c r="C4210" i="1"/>
  <c r="C4209" i="1"/>
  <c r="C4208" i="1"/>
  <c r="C4207" i="1"/>
  <c r="C4206" i="1"/>
  <c r="C4205" i="1"/>
  <c r="C4204" i="1"/>
  <c r="C4203" i="1"/>
  <c r="C4202" i="1"/>
  <c r="C4201" i="1"/>
  <c r="C4200" i="1"/>
  <c r="C4199" i="1"/>
  <c r="C4198" i="1"/>
  <c r="C4197" i="1"/>
  <c r="C4196" i="1"/>
  <c r="C4195" i="1"/>
  <c r="C4194" i="1"/>
  <c r="C4193" i="1"/>
  <c r="C4192" i="1"/>
  <c r="C4191" i="1"/>
  <c r="C4190" i="1"/>
  <c r="C4189" i="1"/>
  <c r="C4188" i="1"/>
  <c r="C4187" i="1"/>
  <c r="C4186" i="1"/>
  <c r="C4185" i="1"/>
  <c r="C4184" i="1"/>
  <c r="C4183" i="1"/>
  <c r="C4182" i="1"/>
  <c r="C4181" i="1"/>
  <c r="C4180" i="1"/>
  <c r="C4179" i="1"/>
  <c r="C4178" i="1"/>
  <c r="C4177" i="1"/>
  <c r="C4176" i="1"/>
  <c r="C4175" i="1"/>
  <c r="C4174" i="1"/>
  <c r="C4173" i="1"/>
  <c r="C4172" i="1"/>
  <c r="C4171" i="1"/>
  <c r="C4170" i="1"/>
  <c r="C4169" i="1"/>
  <c r="C4168" i="1"/>
  <c r="C4167" i="1"/>
  <c r="C4166" i="1"/>
  <c r="C4165" i="1"/>
  <c r="C4164" i="1"/>
  <c r="C4163" i="1"/>
  <c r="C4162" i="1"/>
  <c r="C4161" i="1"/>
  <c r="C4160" i="1"/>
  <c r="C4159" i="1"/>
  <c r="C4158" i="1"/>
  <c r="C4157" i="1"/>
  <c r="C4156" i="1"/>
  <c r="C4155" i="1"/>
  <c r="C4154" i="1"/>
  <c r="C4153" i="1"/>
  <c r="C4152" i="1"/>
  <c r="C4151" i="1"/>
  <c r="C4150" i="1"/>
  <c r="C4149" i="1"/>
  <c r="C4148" i="1"/>
  <c r="C4146" i="1"/>
  <c r="C4145" i="1"/>
  <c r="C4144" i="1"/>
  <c r="C4143" i="1"/>
  <c r="C4142" i="1"/>
  <c r="C4141" i="1"/>
  <c r="C4140" i="1"/>
  <c r="C4139" i="1"/>
  <c r="C4138" i="1"/>
  <c r="C4137" i="1"/>
  <c r="C4136" i="1"/>
  <c r="C4135" i="1"/>
  <c r="C4134" i="1"/>
  <c r="C4133" i="1"/>
  <c r="C4132" i="1"/>
  <c r="C4131" i="1"/>
  <c r="C4130" i="1"/>
  <c r="C4129" i="1"/>
  <c r="C4128" i="1"/>
  <c r="C4127" i="1"/>
  <c r="C4126" i="1"/>
  <c r="C4125" i="1"/>
  <c r="C4124" i="1"/>
  <c r="C4123" i="1"/>
  <c r="C4122" i="1"/>
  <c r="C4121" i="1"/>
  <c r="C4120" i="1"/>
  <c r="C4119" i="1"/>
  <c r="C4118" i="1"/>
  <c r="C4116" i="1"/>
  <c r="C4115" i="1"/>
  <c r="C4114" i="1"/>
  <c r="C4113" i="1"/>
  <c r="C4112" i="1"/>
  <c r="C4111" i="1"/>
  <c r="C4110" i="1"/>
  <c r="C4109" i="1"/>
  <c r="C4108" i="1"/>
  <c r="C4107" i="1"/>
  <c r="C4106" i="1"/>
  <c r="C4105" i="1"/>
  <c r="C4104" i="1"/>
  <c r="C4103" i="1"/>
  <c r="C4102" i="1"/>
  <c r="C4101" i="1"/>
  <c r="C4100" i="1"/>
  <c r="C4099" i="1"/>
  <c r="C4098" i="1"/>
  <c r="C4097" i="1"/>
  <c r="C4096" i="1"/>
  <c r="C4094" i="1"/>
  <c r="C4093" i="1"/>
  <c r="C4090" i="1"/>
  <c r="C4089" i="1"/>
  <c r="C4088" i="1"/>
  <c r="C4087" i="1"/>
  <c r="C4086" i="1"/>
  <c r="C4085" i="1"/>
  <c r="C4081" i="1"/>
  <c r="C4080" i="1"/>
  <c r="C4079" i="1"/>
  <c r="C4078" i="1"/>
  <c r="C4077" i="1"/>
  <c r="C4076" i="1"/>
  <c r="C4075" i="1"/>
  <c r="C4074" i="1"/>
  <c r="C4073" i="1"/>
  <c r="C4072" i="1"/>
  <c r="C4071" i="1"/>
  <c r="C4067" i="1"/>
  <c r="C4063" i="1"/>
  <c r="C4062" i="1"/>
  <c r="C4061" i="1"/>
  <c r="C4060" i="1"/>
  <c r="C4059" i="1"/>
  <c r="C4058" i="1"/>
  <c r="C4057" i="1"/>
  <c r="C4056" i="1"/>
  <c r="C4055" i="1"/>
  <c r="C4054" i="1"/>
  <c r="C4052" i="1"/>
  <c r="C4050" i="1"/>
  <c r="C4046" i="1"/>
  <c r="C4045" i="1"/>
  <c r="C4044" i="1"/>
  <c r="C4043" i="1"/>
  <c r="C4042" i="1"/>
  <c r="C4040" i="1"/>
  <c r="C4039" i="1"/>
  <c r="C4038" i="1"/>
  <c r="C4037" i="1"/>
  <c r="C4036" i="1"/>
  <c r="C4035" i="1"/>
  <c r="C4034" i="1"/>
  <c r="C4033" i="1"/>
  <c r="C4032" i="1"/>
  <c r="C4030" i="1"/>
  <c r="C4029" i="1"/>
  <c r="C4028" i="1"/>
  <c r="C4027" i="1"/>
  <c r="C4025" i="1"/>
  <c r="C4024" i="1"/>
  <c r="C4023" i="1"/>
  <c r="C4022" i="1"/>
  <c r="C4021" i="1"/>
  <c r="C4020" i="1"/>
  <c r="C4019" i="1"/>
  <c r="C4018" i="1"/>
  <c r="C4017" i="1"/>
  <c r="C4016" i="1"/>
  <c r="C4015" i="1"/>
  <c r="C4014" i="1"/>
  <c r="C4013" i="1"/>
  <c r="C4012" i="1"/>
  <c r="C4011" i="1"/>
  <c r="C4010" i="1"/>
  <c r="C4009" i="1"/>
  <c r="C4008" i="1"/>
  <c r="C4007" i="1"/>
  <c r="C4006" i="1"/>
  <c r="C4005" i="1"/>
  <c r="C4004" i="1"/>
  <c r="C4003" i="1"/>
  <c r="C4002" i="1"/>
  <c r="C4001" i="1"/>
  <c r="C4000" i="1"/>
  <c r="C3999" i="1"/>
  <c r="C3998" i="1"/>
  <c r="C3997" i="1"/>
  <c r="C3996" i="1"/>
  <c r="C3995" i="1"/>
  <c r="C3994" i="1"/>
  <c r="C3993" i="1"/>
  <c r="C3992" i="1"/>
  <c r="C3991" i="1"/>
  <c r="C3990" i="1"/>
  <c r="C3989" i="1"/>
  <c r="C3988" i="1"/>
  <c r="C3987" i="1"/>
  <c r="C3986" i="1"/>
  <c r="C3985" i="1"/>
  <c r="C3984" i="1"/>
  <c r="C3983" i="1"/>
  <c r="C3982" i="1"/>
  <c r="C3981" i="1"/>
  <c r="C3980" i="1"/>
  <c r="C3979" i="1"/>
  <c r="C3978" i="1"/>
  <c r="C3977" i="1"/>
  <c r="C3976" i="1"/>
  <c r="C3975" i="1"/>
  <c r="C3974" i="1"/>
  <c r="C3973" i="1"/>
  <c r="C3972" i="1"/>
  <c r="C3971" i="1"/>
  <c r="C3970" i="1"/>
  <c r="C3969" i="1"/>
  <c r="C3968" i="1"/>
  <c r="C3967" i="1"/>
  <c r="C3966" i="1"/>
  <c r="C3965" i="1"/>
  <c r="C3964" i="1"/>
  <c r="C3963" i="1"/>
  <c r="C3962" i="1"/>
  <c r="C3961" i="1"/>
  <c r="C3959" i="1"/>
  <c r="C3958" i="1"/>
  <c r="C3957" i="1"/>
  <c r="C3956" i="1"/>
  <c r="C3955" i="1"/>
  <c r="C3954" i="1"/>
  <c r="C3953" i="1"/>
  <c r="C3952" i="1"/>
  <c r="C3951" i="1"/>
  <c r="C3950" i="1"/>
  <c r="C3949" i="1"/>
  <c r="C3948" i="1"/>
  <c r="C3946" i="1"/>
  <c r="C3944" i="1"/>
  <c r="C3942" i="1"/>
  <c r="C3941" i="1"/>
  <c r="C3939" i="1"/>
  <c r="C3937" i="1"/>
  <c r="C3936" i="1"/>
  <c r="C3935" i="1"/>
  <c r="C3934" i="1"/>
  <c r="C3932" i="1"/>
  <c r="C3931" i="1"/>
  <c r="C3930" i="1"/>
  <c r="C3929" i="1"/>
  <c r="C3928" i="1"/>
  <c r="C3927" i="1"/>
  <c r="C3926" i="1"/>
  <c r="C3925" i="1"/>
  <c r="C3924" i="1"/>
  <c r="C3923" i="1"/>
  <c r="C3922" i="1"/>
  <c r="C3921" i="1"/>
  <c r="C3920" i="1"/>
  <c r="C3919" i="1"/>
  <c r="C3918" i="1"/>
  <c r="C3917" i="1"/>
  <c r="C3916" i="1"/>
  <c r="C3915" i="1"/>
  <c r="C3914" i="1"/>
  <c r="C3913" i="1"/>
  <c r="C3912" i="1"/>
  <c r="C3911" i="1"/>
  <c r="C3910" i="1"/>
  <c r="C3909" i="1"/>
  <c r="C3908" i="1"/>
  <c r="C3907" i="1"/>
  <c r="C3906" i="1"/>
  <c r="C3905" i="1"/>
  <c r="C3904" i="1"/>
  <c r="C3903" i="1"/>
  <c r="C3902" i="1"/>
  <c r="C3901" i="1"/>
  <c r="C3899" i="1"/>
  <c r="C3898" i="1"/>
  <c r="C3897" i="1"/>
  <c r="C3896" i="1"/>
  <c r="C3895" i="1"/>
  <c r="C3894" i="1"/>
  <c r="C3893" i="1"/>
  <c r="C3891" i="1"/>
  <c r="C3890" i="1"/>
  <c r="C3889" i="1"/>
  <c r="C3887" i="1"/>
  <c r="C3886" i="1"/>
  <c r="C3885" i="1"/>
  <c r="C3884" i="1"/>
  <c r="C3883" i="1"/>
  <c r="C3882" i="1"/>
  <c r="C3881" i="1"/>
  <c r="C3879" i="1"/>
  <c r="C3878" i="1"/>
  <c r="C3877" i="1"/>
  <c r="C3876" i="1"/>
  <c r="C3875" i="1"/>
  <c r="C3874" i="1"/>
  <c r="C3873" i="1"/>
  <c r="C3872" i="1"/>
  <c r="C3871" i="1"/>
  <c r="C3870" i="1"/>
  <c r="C3869" i="1"/>
  <c r="C3868" i="1"/>
  <c r="C3867" i="1"/>
  <c r="C3866" i="1"/>
  <c r="C3864" i="1"/>
  <c r="C3862" i="1"/>
  <c r="C3860" i="1"/>
  <c r="C3856" i="1"/>
  <c r="C3853" i="1"/>
  <c r="C3852" i="1"/>
  <c r="C3850" i="1"/>
  <c r="C3849" i="1"/>
  <c r="C3846" i="1"/>
  <c r="C3845" i="1"/>
  <c r="C3843" i="1"/>
  <c r="C3842" i="1"/>
  <c r="C3841" i="1"/>
  <c r="C3840" i="1"/>
  <c r="C3839" i="1"/>
  <c r="C3838" i="1"/>
  <c r="C3837" i="1"/>
  <c r="C3836" i="1"/>
  <c r="C3835" i="1"/>
  <c r="C3834" i="1"/>
  <c r="C3833" i="1"/>
  <c r="C3832" i="1"/>
  <c r="C3830" i="1"/>
  <c r="C3829" i="1"/>
  <c r="C3828" i="1"/>
  <c r="C3827" i="1"/>
  <c r="C3826" i="1"/>
  <c r="C3825" i="1"/>
  <c r="C3824" i="1"/>
  <c r="C3823" i="1"/>
  <c r="C3822" i="1"/>
  <c r="C3821" i="1"/>
  <c r="C3820" i="1"/>
  <c r="C3818" i="1"/>
  <c r="C3815" i="1"/>
  <c r="C3812" i="1"/>
  <c r="C3811" i="1"/>
  <c r="C3808" i="1"/>
  <c r="C3807" i="1"/>
  <c r="C3803" i="1"/>
  <c r="C3800" i="1"/>
  <c r="C3799" i="1"/>
  <c r="C3798" i="1"/>
  <c r="C3797" i="1"/>
  <c r="C3795" i="1"/>
  <c r="C3794" i="1"/>
  <c r="C3793" i="1"/>
  <c r="C3792" i="1"/>
  <c r="C3791" i="1"/>
  <c r="C3790" i="1"/>
  <c r="C3789" i="1"/>
  <c r="C3788" i="1"/>
  <c r="C3787" i="1"/>
  <c r="C3786" i="1"/>
  <c r="C3785" i="1"/>
  <c r="C3784" i="1"/>
  <c r="C3783" i="1"/>
  <c r="C3782" i="1"/>
  <c r="C3781" i="1"/>
  <c r="C3780" i="1"/>
  <c r="C3779" i="1"/>
  <c r="C3778" i="1"/>
  <c r="C3777" i="1"/>
  <c r="C3776" i="1"/>
  <c r="C3775" i="1"/>
  <c r="C3774" i="1"/>
  <c r="C3773" i="1"/>
  <c r="C3772" i="1"/>
  <c r="C3771" i="1"/>
  <c r="C3770" i="1"/>
  <c r="C3769" i="1"/>
  <c r="C3768" i="1"/>
  <c r="C3764" i="1"/>
  <c r="C3762" i="1"/>
  <c r="C3761" i="1"/>
  <c r="C3760" i="1"/>
  <c r="C3759" i="1"/>
  <c r="C3758" i="1"/>
  <c r="C3757" i="1"/>
  <c r="C3756" i="1"/>
  <c r="C3755" i="1"/>
  <c r="C3754" i="1"/>
  <c r="C3753" i="1"/>
  <c r="C3752" i="1"/>
  <c r="C3751" i="1"/>
  <c r="C3750" i="1"/>
  <c r="C3749" i="1"/>
  <c r="C3748" i="1"/>
  <c r="C3747" i="1"/>
  <c r="C3744" i="1"/>
  <c r="C3743" i="1"/>
  <c r="C3742" i="1"/>
  <c r="C3741" i="1"/>
  <c r="C3740" i="1"/>
  <c r="C3739" i="1"/>
  <c r="C3738" i="1"/>
  <c r="C3737" i="1"/>
  <c r="C3736" i="1"/>
  <c r="C3735" i="1"/>
  <c r="C3734" i="1"/>
  <c r="C3733" i="1"/>
  <c r="C3732" i="1"/>
  <c r="C3731" i="1"/>
  <c r="C3730" i="1"/>
  <c r="C3729" i="1"/>
  <c r="C3728" i="1"/>
  <c r="C3727" i="1"/>
  <c r="C3726" i="1"/>
  <c r="C3725" i="1"/>
  <c r="C3724" i="1"/>
  <c r="C3722" i="1"/>
  <c r="C3721" i="1"/>
  <c r="C3720" i="1"/>
  <c r="C3719" i="1"/>
  <c r="C3718" i="1"/>
  <c r="C3717" i="1"/>
  <c r="C3716" i="1"/>
  <c r="C3715" i="1"/>
  <c r="C3714" i="1"/>
  <c r="C3713" i="1"/>
  <c r="C3712" i="1"/>
  <c r="C3711" i="1"/>
  <c r="C3710" i="1"/>
  <c r="C3709" i="1"/>
  <c r="C3708" i="1"/>
  <c r="C3707" i="1"/>
  <c r="C3706" i="1"/>
  <c r="C3705" i="1"/>
  <c r="C3704" i="1"/>
  <c r="C3703" i="1"/>
  <c r="C3702" i="1"/>
  <c r="C3701" i="1"/>
  <c r="C3700" i="1"/>
  <c r="C3699" i="1"/>
  <c r="C3698" i="1"/>
  <c r="C3697" i="1"/>
  <c r="C3696" i="1"/>
  <c r="C3695" i="1"/>
  <c r="C3694" i="1"/>
  <c r="C3693" i="1"/>
  <c r="C3692" i="1"/>
  <c r="C3691" i="1"/>
  <c r="C3690" i="1"/>
  <c r="C3689" i="1"/>
  <c r="C3688" i="1"/>
  <c r="C3687" i="1"/>
  <c r="C3686" i="1"/>
  <c r="C3685" i="1"/>
  <c r="C3684" i="1"/>
  <c r="C3683" i="1"/>
  <c r="C3682" i="1"/>
  <c r="C3681" i="1"/>
  <c r="C3680" i="1"/>
  <c r="C3679" i="1"/>
  <c r="C3678" i="1"/>
  <c r="C3677" i="1"/>
  <c r="C3676" i="1"/>
  <c r="C3675" i="1"/>
  <c r="C3674" i="1"/>
  <c r="C3673" i="1"/>
  <c r="C3672" i="1"/>
  <c r="C3671" i="1"/>
  <c r="C3670" i="1"/>
  <c r="C3669" i="1"/>
  <c r="C3668" i="1"/>
  <c r="C3667" i="1"/>
  <c r="C3666" i="1"/>
  <c r="C3665" i="1"/>
  <c r="C3664" i="1"/>
  <c r="C3663" i="1"/>
  <c r="C3662" i="1"/>
  <c r="C3661" i="1"/>
  <c r="C3660" i="1"/>
  <c r="C3659" i="1"/>
  <c r="C3658" i="1"/>
  <c r="C3657" i="1"/>
  <c r="C3656" i="1"/>
  <c r="C3655" i="1"/>
  <c r="C3654" i="1"/>
  <c r="C3653" i="1"/>
  <c r="C3652" i="1"/>
  <c r="C3651" i="1"/>
  <c r="C3650" i="1"/>
  <c r="C3649" i="1"/>
  <c r="C3648" i="1"/>
  <c r="C3647" i="1"/>
  <c r="C3646" i="1"/>
  <c r="C3645" i="1"/>
  <c r="C3644" i="1"/>
  <c r="C3643" i="1"/>
  <c r="C3642" i="1"/>
  <c r="C3641" i="1"/>
  <c r="C3640" i="1"/>
  <c r="C3639" i="1"/>
  <c r="C3638" i="1"/>
  <c r="C3637" i="1"/>
  <c r="C3636" i="1"/>
  <c r="C3635" i="1"/>
  <c r="C3634" i="1"/>
  <c r="C3633" i="1"/>
  <c r="C3632" i="1"/>
  <c r="C3631" i="1"/>
  <c r="C3630" i="1"/>
  <c r="C3629" i="1"/>
  <c r="C3628" i="1"/>
  <c r="C3627" i="1"/>
  <c r="C3626" i="1"/>
  <c r="C3625" i="1"/>
  <c r="C3624" i="1"/>
  <c r="C3623" i="1"/>
  <c r="C3622" i="1"/>
  <c r="C3621" i="1"/>
  <c r="C3620" i="1"/>
  <c r="C3619" i="1"/>
  <c r="C3618" i="1"/>
  <c r="C3617" i="1"/>
  <c r="C3616" i="1"/>
  <c r="C3615" i="1"/>
  <c r="C3614" i="1"/>
  <c r="C3613" i="1"/>
  <c r="C3612" i="1"/>
  <c r="C3611" i="1"/>
  <c r="C3610" i="1"/>
  <c r="C3609" i="1"/>
  <c r="C3608" i="1"/>
  <c r="C3607" i="1"/>
  <c r="C3606" i="1"/>
  <c r="C3605" i="1"/>
  <c r="C3604" i="1"/>
  <c r="C3603" i="1"/>
  <c r="C3602" i="1"/>
  <c r="C3601" i="1"/>
  <c r="C3600" i="1"/>
  <c r="C3598" i="1"/>
  <c r="C3597" i="1"/>
  <c r="C3596" i="1"/>
  <c r="C3595" i="1"/>
  <c r="C3594" i="1"/>
  <c r="C3593" i="1"/>
  <c r="C3592" i="1"/>
  <c r="C3591" i="1"/>
  <c r="C3590" i="1"/>
  <c r="C3589" i="1"/>
  <c r="C3588" i="1"/>
  <c r="C3587" i="1"/>
  <c r="C3586" i="1"/>
  <c r="C3585" i="1"/>
  <c r="C3584" i="1"/>
  <c r="C3583" i="1"/>
  <c r="C3582" i="1"/>
  <c r="C3581" i="1"/>
  <c r="C3580" i="1"/>
  <c r="C3579" i="1"/>
  <c r="C3578" i="1"/>
  <c r="C3577" i="1"/>
  <c r="C3576" i="1"/>
  <c r="C3575" i="1"/>
  <c r="C3574" i="1"/>
  <c r="C3573" i="1"/>
  <c r="C3572" i="1"/>
  <c r="C3571" i="1"/>
  <c r="C3570" i="1"/>
  <c r="C3569" i="1"/>
  <c r="C3568" i="1"/>
  <c r="C3567" i="1"/>
  <c r="C3566" i="1"/>
  <c r="C3564" i="1"/>
  <c r="C3562" i="1"/>
  <c r="C3561" i="1"/>
  <c r="C3560" i="1"/>
  <c r="C3559" i="1"/>
  <c r="C3558" i="1"/>
  <c r="C3557" i="1"/>
  <c r="C3556" i="1"/>
  <c r="C3555" i="1"/>
  <c r="C3554" i="1"/>
  <c r="C3553" i="1"/>
  <c r="C3552" i="1"/>
  <c r="C3551" i="1"/>
  <c r="C3550" i="1"/>
  <c r="C3549" i="1"/>
  <c r="C3548" i="1"/>
  <c r="C3547" i="1"/>
  <c r="C3546" i="1"/>
  <c r="C3545" i="1"/>
  <c r="C3544" i="1"/>
  <c r="C3543" i="1"/>
  <c r="C3542" i="1"/>
  <c r="C3541" i="1"/>
  <c r="C3540" i="1"/>
  <c r="C3539" i="1"/>
  <c r="C3538" i="1"/>
  <c r="C3537" i="1"/>
  <c r="C3536" i="1"/>
  <c r="C3535" i="1"/>
  <c r="C3534" i="1"/>
  <c r="C3533" i="1"/>
  <c r="C3532" i="1"/>
  <c r="C3531" i="1"/>
  <c r="C3530" i="1"/>
  <c r="C3529" i="1"/>
  <c r="C3528" i="1"/>
  <c r="C3527" i="1"/>
  <c r="C3526" i="1"/>
  <c r="C3525" i="1"/>
  <c r="C3524" i="1"/>
  <c r="C3523" i="1"/>
  <c r="C3522" i="1"/>
  <c r="C3521" i="1"/>
  <c r="C3520" i="1"/>
  <c r="C3519" i="1"/>
  <c r="C3518" i="1"/>
  <c r="C3517" i="1"/>
  <c r="C3516" i="1"/>
  <c r="C3515" i="1"/>
  <c r="C3514" i="1"/>
  <c r="C3513" i="1"/>
  <c r="C3512" i="1"/>
  <c r="C3511" i="1"/>
  <c r="C3510" i="1"/>
  <c r="C3509" i="1"/>
  <c r="C3508" i="1"/>
  <c r="C3507" i="1"/>
  <c r="C3506" i="1"/>
  <c r="C3505" i="1"/>
  <c r="C3504" i="1"/>
  <c r="C3503" i="1"/>
  <c r="C3502" i="1"/>
  <c r="C3501" i="1"/>
  <c r="C3500" i="1"/>
  <c r="C3499" i="1"/>
  <c r="C3498" i="1"/>
  <c r="C3497" i="1"/>
  <c r="C3496" i="1"/>
  <c r="C3495" i="1"/>
  <c r="C3494" i="1"/>
  <c r="C3493" i="1"/>
  <c r="C3492" i="1"/>
  <c r="C3491" i="1"/>
  <c r="C3490" i="1"/>
  <c r="C3489" i="1"/>
  <c r="C3488" i="1"/>
  <c r="C3487" i="1"/>
  <c r="C3486" i="1"/>
  <c r="C3485" i="1"/>
  <c r="C3484" i="1"/>
  <c r="C3483" i="1"/>
  <c r="C3482" i="1"/>
  <c r="C3481" i="1"/>
  <c r="C3480" i="1"/>
  <c r="C3479" i="1"/>
  <c r="C3478" i="1"/>
  <c r="C3477" i="1"/>
  <c r="C3476" i="1"/>
  <c r="C3475" i="1"/>
  <c r="C3474" i="1"/>
  <c r="C3473" i="1"/>
  <c r="C3472" i="1"/>
  <c r="C3471" i="1"/>
  <c r="C3470" i="1"/>
  <c r="C3468" i="1"/>
  <c r="C3467" i="1"/>
  <c r="C3466" i="1"/>
  <c r="C3465" i="1"/>
  <c r="C3463" i="1"/>
  <c r="C3462" i="1"/>
  <c r="C3461" i="1"/>
  <c r="C3460" i="1"/>
  <c r="C3459" i="1"/>
  <c r="C3458" i="1"/>
  <c r="C3457" i="1"/>
  <c r="C3456" i="1"/>
  <c r="C3455" i="1"/>
  <c r="C3454" i="1"/>
  <c r="C3453" i="1"/>
  <c r="C3452" i="1"/>
  <c r="C3451" i="1"/>
  <c r="C3450" i="1"/>
  <c r="C3449" i="1"/>
  <c r="C3448" i="1"/>
  <c r="C3447" i="1"/>
  <c r="C3446" i="1"/>
  <c r="C3445" i="1"/>
  <c r="C3444" i="1"/>
  <c r="C3443" i="1"/>
  <c r="C3442" i="1"/>
  <c r="C3441" i="1"/>
  <c r="C3440" i="1"/>
  <c r="C3439" i="1"/>
  <c r="C3438" i="1"/>
  <c r="C3437" i="1"/>
  <c r="C3436" i="1"/>
  <c r="C3435" i="1"/>
  <c r="C3434" i="1"/>
  <c r="C3433" i="1"/>
  <c r="C3432" i="1"/>
  <c r="C3431" i="1"/>
  <c r="C3430" i="1"/>
  <c r="C3429" i="1"/>
  <c r="C3428" i="1"/>
  <c r="C3427" i="1"/>
  <c r="C3426" i="1"/>
  <c r="C3424" i="1"/>
  <c r="C3420" i="1"/>
  <c r="C3419" i="1"/>
  <c r="C3418" i="1"/>
  <c r="C3417" i="1"/>
  <c r="C3416" i="1"/>
  <c r="C3415" i="1"/>
  <c r="C3414" i="1"/>
  <c r="C3413" i="1"/>
  <c r="C3412" i="1"/>
  <c r="C3411" i="1"/>
  <c r="C3410" i="1"/>
  <c r="C3408" i="1"/>
  <c r="C3405" i="1"/>
  <c r="C3402" i="1"/>
  <c r="C3401" i="1"/>
  <c r="C3400" i="1"/>
  <c r="C3399" i="1"/>
  <c r="C3398" i="1"/>
  <c r="C3397" i="1"/>
  <c r="C3396" i="1"/>
  <c r="C3395" i="1"/>
  <c r="C3394" i="1"/>
  <c r="C3393" i="1"/>
  <c r="C3392" i="1"/>
  <c r="C3391" i="1"/>
  <c r="C3390" i="1"/>
  <c r="C3389" i="1"/>
  <c r="C3388" i="1"/>
  <c r="C3387" i="1"/>
  <c r="C3386" i="1"/>
  <c r="C3385" i="1"/>
  <c r="C3384" i="1"/>
  <c r="C3383" i="1"/>
  <c r="C3382" i="1"/>
  <c r="C3381" i="1"/>
  <c r="C3380" i="1"/>
  <c r="C3379" i="1"/>
  <c r="C3378" i="1"/>
  <c r="C3377" i="1"/>
  <c r="C3376" i="1"/>
  <c r="C3375" i="1"/>
  <c r="C3374" i="1"/>
  <c r="C3373" i="1"/>
  <c r="C3372" i="1"/>
  <c r="C3371" i="1"/>
  <c r="C3370" i="1"/>
  <c r="C3369" i="1"/>
  <c r="C3368" i="1"/>
  <c r="C3367" i="1"/>
  <c r="C3365" i="1"/>
  <c r="C3364" i="1"/>
  <c r="C3363" i="1"/>
  <c r="C3362" i="1"/>
  <c r="C3361" i="1"/>
  <c r="C3360" i="1"/>
  <c r="C3359" i="1"/>
  <c r="C3358" i="1"/>
  <c r="C3357" i="1"/>
  <c r="C3356" i="1"/>
  <c r="C3355" i="1"/>
  <c r="C3354" i="1"/>
  <c r="C3353" i="1"/>
  <c r="C3352" i="1"/>
  <c r="C3351" i="1"/>
  <c r="C3350" i="1"/>
  <c r="C3349" i="1"/>
  <c r="C3348" i="1"/>
  <c r="C3347" i="1"/>
  <c r="C3346" i="1"/>
  <c r="C3345" i="1"/>
  <c r="C3343" i="1"/>
  <c r="C3342" i="1"/>
  <c r="C3341" i="1"/>
  <c r="C3339" i="1"/>
  <c r="C3338" i="1"/>
  <c r="C3337" i="1"/>
  <c r="C3336" i="1"/>
  <c r="C3335" i="1"/>
  <c r="C3334" i="1"/>
  <c r="C3333" i="1"/>
  <c r="C3332" i="1"/>
  <c r="C3331" i="1"/>
  <c r="C3330" i="1"/>
  <c r="C3329" i="1"/>
  <c r="C3327" i="1"/>
  <c r="C3326" i="1"/>
  <c r="C3324" i="1"/>
  <c r="C3323" i="1"/>
  <c r="C3322" i="1"/>
  <c r="C3321" i="1"/>
  <c r="C3320" i="1"/>
  <c r="C3319" i="1"/>
  <c r="C3318" i="1"/>
  <c r="C3317" i="1"/>
  <c r="C3316" i="1"/>
  <c r="C3315" i="1"/>
  <c r="C3314" i="1"/>
  <c r="C3313" i="1"/>
  <c r="C3312" i="1"/>
  <c r="C3311" i="1"/>
  <c r="C3309" i="1"/>
  <c r="C3308" i="1"/>
  <c r="C3305" i="1"/>
  <c r="C3304" i="1"/>
  <c r="C3303" i="1"/>
  <c r="C3302" i="1"/>
  <c r="C3301" i="1"/>
  <c r="C3300" i="1"/>
  <c r="C3299" i="1"/>
  <c r="C3298" i="1"/>
  <c r="C3297" i="1"/>
  <c r="C3296" i="1"/>
  <c r="C3295" i="1"/>
  <c r="C3294" i="1"/>
  <c r="C3293" i="1"/>
  <c r="C3292" i="1"/>
  <c r="C3291" i="1"/>
  <c r="C3288" i="1"/>
  <c r="C3287" i="1"/>
  <c r="C3286" i="1"/>
  <c r="C3282" i="1"/>
  <c r="C3281" i="1"/>
  <c r="C3280" i="1"/>
  <c r="C3279" i="1"/>
  <c r="C3278" i="1"/>
  <c r="C3277" i="1"/>
  <c r="C3276" i="1"/>
  <c r="C3274" i="1"/>
  <c r="C3273" i="1"/>
  <c r="C3272" i="1"/>
  <c r="C3271" i="1"/>
  <c r="C3267" i="1"/>
  <c r="C3263" i="1"/>
  <c r="C3262" i="1"/>
  <c r="C3261" i="1"/>
  <c r="C3260" i="1"/>
  <c r="C3259" i="1"/>
  <c r="C3258" i="1"/>
  <c r="C3257" i="1"/>
  <c r="C3256" i="1"/>
  <c r="C3255" i="1"/>
  <c r="C3254" i="1"/>
  <c r="C3253" i="1"/>
  <c r="C3251" i="1"/>
  <c r="C3248" i="1"/>
  <c r="C3247" i="1"/>
  <c r="C3245" i="1"/>
  <c r="C3243" i="1"/>
  <c r="C3242" i="1"/>
  <c r="C3241" i="1"/>
  <c r="C3240" i="1"/>
  <c r="C3238" i="1"/>
  <c r="C3237" i="1"/>
  <c r="C3236" i="1"/>
  <c r="C3235" i="1"/>
  <c r="C3234" i="1"/>
  <c r="C3233" i="1"/>
  <c r="C3231" i="1"/>
  <c r="C3230" i="1"/>
  <c r="C3229" i="1"/>
  <c r="C3228" i="1"/>
  <c r="C3227" i="1"/>
  <c r="C3226" i="1"/>
  <c r="C3225" i="1"/>
  <c r="C3224" i="1"/>
  <c r="C3222" i="1"/>
  <c r="C3221" i="1"/>
  <c r="C3220" i="1"/>
  <c r="C3219" i="1"/>
  <c r="C3218" i="1"/>
  <c r="C3217" i="1"/>
  <c r="C3216" i="1"/>
  <c r="C3215" i="1"/>
  <c r="C3214" i="1"/>
  <c r="C3213" i="1"/>
  <c r="C3212" i="1"/>
  <c r="C3211" i="1"/>
  <c r="C3210" i="1"/>
  <c r="C3209" i="1"/>
  <c r="C3208" i="1"/>
  <c r="C3206" i="1"/>
  <c r="C3205" i="1"/>
  <c r="C3204" i="1"/>
  <c r="C3203" i="1"/>
  <c r="C3202" i="1"/>
  <c r="C3201" i="1"/>
  <c r="C3200" i="1"/>
  <c r="C3199" i="1"/>
  <c r="C3198" i="1"/>
  <c r="C3197" i="1"/>
  <c r="C3196" i="1"/>
  <c r="C3195" i="1"/>
  <c r="C3194" i="1"/>
  <c r="C3193" i="1"/>
  <c r="C3192" i="1"/>
  <c r="C3191" i="1"/>
  <c r="C3190" i="1"/>
  <c r="C3189" i="1"/>
  <c r="C3188" i="1"/>
  <c r="C3187" i="1"/>
  <c r="C3186" i="1"/>
  <c r="C3185" i="1"/>
  <c r="C3184" i="1"/>
  <c r="C3183" i="1"/>
  <c r="C3182" i="1"/>
  <c r="C3181" i="1"/>
  <c r="C3180" i="1"/>
  <c r="C3179" i="1"/>
  <c r="C3178" i="1"/>
  <c r="C3177" i="1"/>
  <c r="C3176" i="1"/>
  <c r="C3175" i="1"/>
  <c r="C3174" i="1"/>
  <c r="C3173" i="1"/>
  <c r="C3172" i="1"/>
  <c r="C3171" i="1"/>
  <c r="C3170" i="1"/>
  <c r="C3169" i="1"/>
  <c r="C3168" i="1"/>
  <c r="C3167" i="1"/>
  <c r="C3166" i="1"/>
  <c r="C3165" i="1"/>
  <c r="C3164" i="1"/>
  <c r="C3163" i="1"/>
  <c r="C3162" i="1"/>
  <c r="C3161" i="1"/>
  <c r="C3160" i="1"/>
  <c r="C3159" i="1"/>
  <c r="C3158" i="1"/>
  <c r="C3157" i="1"/>
  <c r="C3156" i="1"/>
  <c r="C3155" i="1"/>
  <c r="C3154" i="1"/>
  <c r="C3153" i="1"/>
  <c r="C3152" i="1"/>
  <c r="C3151" i="1"/>
  <c r="C3150" i="1"/>
  <c r="C3149" i="1"/>
  <c r="C3148" i="1"/>
  <c r="C3147" i="1"/>
  <c r="C3146" i="1"/>
  <c r="C3145" i="1"/>
  <c r="C3144" i="1"/>
  <c r="C3143" i="1"/>
  <c r="C3142" i="1"/>
  <c r="C3141" i="1"/>
  <c r="C3140" i="1"/>
  <c r="C3139" i="1"/>
  <c r="C3138" i="1"/>
  <c r="C3137" i="1"/>
  <c r="C3136" i="1"/>
  <c r="C3135" i="1"/>
  <c r="C3134" i="1"/>
  <c r="C3133" i="1"/>
  <c r="C3132" i="1"/>
  <c r="C3131" i="1"/>
  <c r="C3130" i="1"/>
  <c r="C3129" i="1"/>
  <c r="C3128" i="1"/>
  <c r="C3127" i="1"/>
  <c r="C3126" i="1"/>
  <c r="C3125" i="1"/>
  <c r="C3124" i="1"/>
  <c r="C3123" i="1"/>
  <c r="C3122" i="1"/>
  <c r="C3121" i="1"/>
  <c r="C3120" i="1"/>
  <c r="C3119" i="1"/>
  <c r="C3118" i="1"/>
  <c r="C3117" i="1"/>
  <c r="C3116" i="1"/>
  <c r="C3115" i="1"/>
  <c r="C3114" i="1"/>
  <c r="C3113" i="1"/>
  <c r="C3112" i="1"/>
  <c r="C3111" i="1"/>
  <c r="C3110" i="1"/>
  <c r="C3109" i="1"/>
  <c r="C3108" i="1"/>
  <c r="C3107" i="1"/>
  <c r="C3106" i="1"/>
  <c r="C3105" i="1"/>
  <c r="C3104" i="1"/>
  <c r="C3103" i="1"/>
  <c r="C3102" i="1"/>
  <c r="C3101" i="1"/>
  <c r="C3100" i="1"/>
  <c r="C3099" i="1"/>
  <c r="C3098" i="1"/>
  <c r="C3097" i="1"/>
  <c r="C3096" i="1"/>
  <c r="C3095" i="1"/>
  <c r="C3094" i="1"/>
  <c r="C3093" i="1"/>
  <c r="C3092" i="1"/>
  <c r="C3091" i="1"/>
  <c r="C3090" i="1"/>
  <c r="C3089" i="1"/>
  <c r="C3088" i="1"/>
  <c r="C3087" i="1"/>
  <c r="C3086" i="1"/>
  <c r="C3085" i="1"/>
  <c r="C3084" i="1"/>
  <c r="C3083" i="1"/>
  <c r="C3082" i="1"/>
  <c r="C3081" i="1"/>
  <c r="C3080" i="1"/>
  <c r="C3079" i="1"/>
  <c r="C3078" i="1"/>
  <c r="C3077" i="1"/>
  <c r="C3075" i="1"/>
  <c r="C3074" i="1"/>
  <c r="C3073" i="1"/>
  <c r="C3072" i="1"/>
  <c r="C3071" i="1"/>
  <c r="C3070" i="1"/>
  <c r="C3069" i="1"/>
  <c r="C3068" i="1"/>
  <c r="C3066" i="1"/>
  <c r="C3065" i="1"/>
  <c r="C3063" i="1"/>
  <c r="C3062" i="1"/>
  <c r="C3061" i="1"/>
  <c r="C3060" i="1"/>
  <c r="C3059" i="1"/>
  <c r="C3058" i="1"/>
  <c r="C3057" i="1"/>
  <c r="C3056" i="1"/>
  <c r="C3055" i="1"/>
  <c r="C3054" i="1"/>
  <c r="C3052" i="1"/>
  <c r="C3051" i="1"/>
  <c r="C3050" i="1"/>
  <c r="C3049" i="1"/>
  <c r="C3048" i="1"/>
  <c r="C3047" i="1"/>
  <c r="C3046" i="1"/>
  <c r="C3044" i="1"/>
  <c r="C3043" i="1"/>
  <c r="C3042" i="1"/>
  <c r="C3041" i="1"/>
  <c r="C3040" i="1"/>
  <c r="C3039" i="1"/>
  <c r="C3038" i="1"/>
  <c r="C3037" i="1"/>
  <c r="C3036" i="1"/>
  <c r="C3035" i="1"/>
  <c r="C3034" i="1"/>
  <c r="C3033" i="1"/>
  <c r="C3032" i="1"/>
  <c r="C3031" i="1"/>
  <c r="C3030" i="1"/>
  <c r="C3029" i="1"/>
  <c r="C3028" i="1"/>
  <c r="C3027" i="1"/>
  <c r="C3026" i="1"/>
  <c r="C3025" i="1"/>
  <c r="C3024" i="1"/>
  <c r="C3023" i="1"/>
  <c r="C3021" i="1"/>
  <c r="C3020" i="1"/>
  <c r="C3019" i="1"/>
  <c r="C3018" i="1"/>
  <c r="C3017" i="1"/>
  <c r="C3016" i="1"/>
  <c r="C3015" i="1"/>
  <c r="C3013" i="1"/>
  <c r="C3012" i="1"/>
  <c r="C3011" i="1"/>
  <c r="C3010" i="1"/>
  <c r="C3009" i="1"/>
  <c r="C3008" i="1"/>
  <c r="C3007" i="1"/>
  <c r="C3006" i="1"/>
  <c r="C3005" i="1"/>
  <c r="C3004" i="1"/>
  <c r="C3002" i="1"/>
  <c r="C3001" i="1"/>
  <c r="C3000" i="1"/>
  <c r="C2999" i="1"/>
  <c r="C2997" i="1"/>
  <c r="C2996" i="1"/>
  <c r="C2995" i="1"/>
  <c r="C2994" i="1"/>
  <c r="C2993" i="1"/>
  <c r="C2992" i="1"/>
  <c r="C2991" i="1"/>
  <c r="C2990" i="1"/>
  <c r="C2989" i="1"/>
  <c r="C2988" i="1"/>
  <c r="C2987" i="1"/>
  <c r="C2986" i="1"/>
  <c r="C2985" i="1"/>
  <c r="C2984" i="1"/>
  <c r="C2983" i="1"/>
  <c r="C2982" i="1"/>
  <c r="C2981" i="1"/>
  <c r="C2980" i="1"/>
  <c r="C2979" i="1"/>
  <c r="C2977" i="1"/>
  <c r="C2976" i="1"/>
  <c r="C2974" i="1"/>
  <c r="C2972" i="1"/>
  <c r="C2968" i="1"/>
  <c r="C2967" i="1"/>
  <c r="C2966" i="1"/>
  <c r="C2965" i="1"/>
  <c r="C2964" i="1"/>
  <c r="C2962" i="1"/>
  <c r="C2959" i="1"/>
  <c r="C2958" i="1"/>
  <c r="C2957" i="1"/>
  <c r="C2956" i="1"/>
  <c r="C2955" i="1"/>
  <c r="C2954" i="1"/>
  <c r="C2952" i="1"/>
  <c r="C2951" i="1"/>
  <c r="C2950" i="1"/>
  <c r="C2949" i="1"/>
  <c r="C2948" i="1"/>
  <c r="C2947" i="1"/>
  <c r="C2946" i="1"/>
  <c r="C2945" i="1"/>
  <c r="C2944" i="1"/>
  <c r="C2943" i="1"/>
  <c r="C2942" i="1"/>
  <c r="C2941" i="1"/>
  <c r="C2940" i="1"/>
  <c r="C2939" i="1"/>
  <c r="C2938" i="1"/>
  <c r="C2937" i="1"/>
  <c r="C2934" i="1"/>
  <c r="C2933" i="1"/>
  <c r="C2932" i="1"/>
  <c r="C2931" i="1"/>
  <c r="C2930" i="1"/>
  <c r="C2928" i="1"/>
  <c r="C2926" i="1"/>
  <c r="C2925" i="1"/>
  <c r="C2924" i="1"/>
  <c r="C2923" i="1"/>
  <c r="C2922" i="1"/>
  <c r="C2921" i="1"/>
  <c r="C2920" i="1"/>
  <c r="C2919" i="1"/>
  <c r="C2918" i="1"/>
  <c r="C2917" i="1"/>
  <c r="C2916" i="1"/>
  <c r="C2915" i="1"/>
  <c r="C2914" i="1"/>
  <c r="C2912" i="1"/>
  <c r="C2911" i="1"/>
  <c r="C2909" i="1"/>
  <c r="C2908" i="1"/>
  <c r="C2906" i="1"/>
  <c r="C2905" i="1"/>
  <c r="C2904" i="1"/>
  <c r="C2901" i="1"/>
  <c r="C2899" i="1"/>
  <c r="C2898" i="1"/>
  <c r="C2897" i="1"/>
  <c r="C2894" i="1"/>
  <c r="C2893" i="1"/>
  <c r="C2892" i="1"/>
  <c r="C2891" i="1"/>
  <c r="C2888" i="1"/>
  <c r="C2887" i="1"/>
  <c r="C2886" i="1"/>
  <c r="C2885" i="1"/>
  <c r="C2884" i="1"/>
  <c r="C2883" i="1"/>
  <c r="C2882" i="1"/>
  <c r="C2881" i="1"/>
  <c r="C2879" i="1"/>
  <c r="C2877" i="1"/>
  <c r="C2876" i="1"/>
  <c r="C2875" i="1"/>
  <c r="C2874" i="1"/>
  <c r="C2873" i="1"/>
  <c r="C2872" i="1"/>
  <c r="C2871" i="1"/>
  <c r="C2870" i="1"/>
  <c r="C2869" i="1"/>
  <c r="C2868" i="1"/>
  <c r="C2867" i="1"/>
  <c r="C2866" i="1"/>
  <c r="C2865" i="1"/>
  <c r="C2864" i="1"/>
  <c r="C2863" i="1"/>
  <c r="C2862" i="1"/>
  <c r="C2861" i="1"/>
  <c r="C2860" i="1"/>
  <c r="C2859" i="1"/>
  <c r="C2858" i="1"/>
  <c r="C2857" i="1"/>
  <c r="C2856" i="1"/>
  <c r="C2855" i="1"/>
  <c r="C2854" i="1"/>
  <c r="C2853" i="1"/>
  <c r="C2852" i="1"/>
  <c r="C2851" i="1"/>
  <c r="C2850" i="1"/>
  <c r="C2849" i="1"/>
  <c r="C2848" i="1"/>
  <c r="C2847" i="1"/>
  <c r="C2846" i="1"/>
  <c r="C2845" i="1"/>
  <c r="C2844" i="1"/>
  <c r="C2843" i="1"/>
  <c r="C2840" i="1"/>
  <c r="C2838" i="1"/>
  <c r="C2837" i="1"/>
  <c r="C2836" i="1"/>
  <c r="C2834" i="1"/>
  <c r="C2833" i="1"/>
  <c r="C2832" i="1"/>
  <c r="C2829" i="1"/>
  <c r="C2828" i="1"/>
  <c r="C2827" i="1"/>
  <c r="C2826" i="1"/>
  <c r="C2825" i="1"/>
  <c r="C2824" i="1"/>
  <c r="C2823" i="1"/>
  <c r="C2822" i="1"/>
  <c r="C2821" i="1"/>
  <c r="C2820" i="1"/>
  <c r="C2819" i="1"/>
  <c r="C2818" i="1"/>
  <c r="C2817" i="1"/>
  <c r="C2816" i="1"/>
  <c r="C2815" i="1"/>
  <c r="C2814" i="1"/>
  <c r="C2813" i="1"/>
  <c r="C2812" i="1"/>
  <c r="C2811" i="1"/>
  <c r="C2810" i="1"/>
  <c r="C2809" i="1"/>
  <c r="C2808" i="1"/>
  <c r="C2807" i="1"/>
  <c r="C2806" i="1"/>
  <c r="C2805" i="1"/>
  <c r="C2804" i="1"/>
  <c r="C2803" i="1"/>
  <c r="C2801" i="1"/>
  <c r="C2800" i="1"/>
  <c r="C2799" i="1"/>
  <c r="C2798" i="1"/>
  <c r="C2797" i="1"/>
  <c r="C2796" i="1"/>
  <c r="C2795" i="1"/>
  <c r="C2794" i="1"/>
  <c r="C2793" i="1"/>
  <c r="C2792" i="1"/>
  <c r="C2791" i="1"/>
  <c r="C2790" i="1"/>
  <c r="C2789" i="1"/>
  <c r="C2788" i="1"/>
  <c r="C2787" i="1"/>
  <c r="C2786" i="1"/>
  <c r="C2785" i="1"/>
  <c r="C2784" i="1"/>
  <c r="C2783" i="1"/>
  <c r="C2782" i="1"/>
  <c r="C2781" i="1"/>
  <c r="C2780" i="1"/>
  <c r="C2779" i="1"/>
  <c r="C2778" i="1"/>
  <c r="C2777" i="1"/>
  <c r="C2776" i="1"/>
  <c r="C2775" i="1"/>
  <c r="C2774" i="1"/>
  <c r="C2773" i="1"/>
  <c r="C2772" i="1"/>
  <c r="C2771" i="1"/>
  <c r="C2770" i="1"/>
  <c r="C2769" i="1"/>
  <c r="C2768" i="1"/>
  <c r="C2767" i="1"/>
  <c r="C2766" i="1"/>
  <c r="C2765" i="1"/>
  <c r="C2764" i="1"/>
  <c r="C2763" i="1"/>
  <c r="C2762" i="1"/>
  <c r="C2761" i="1"/>
  <c r="C2760" i="1"/>
  <c r="C2759" i="1"/>
  <c r="C2758" i="1"/>
  <c r="C2757" i="1"/>
  <c r="C2756" i="1"/>
  <c r="C2755" i="1"/>
  <c r="C2754" i="1"/>
  <c r="C2753" i="1"/>
  <c r="C2752" i="1"/>
  <c r="C2751" i="1"/>
  <c r="C2750" i="1"/>
  <c r="C2749" i="1"/>
  <c r="C2748" i="1"/>
  <c r="C2747" i="1"/>
  <c r="C2746" i="1"/>
  <c r="C2745" i="1"/>
  <c r="C2744" i="1"/>
  <c r="C2743" i="1"/>
  <c r="C2742" i="1"/>
  <c r="C2741" i="1"/>
  <c r="C2740" i="1"/>
  <c r="C2739" i="1"/>
  <c r="C2738" i="1"/>
  <c r="C2737" i="1"/>
  <c r="C2736" i="1"/>
  <c r="C2735" i="1"/>
  <c r="C2734" i="1"/>
  <c r="C2733" i="1"/>
  <c r="C2732" i="1"/>
  <c r="C2731" i="1"/>
  <c r="C2730" i="1"/>
  <c r="C2729" i="1"/>
  <c r="C2728" i="1"/>
  <c r="C2727" i="1"/>
  <c r="C2726" i="1"/>
  <c r="C2725" i="1"/>
  <c r="C2724" i="1"/>
  <c r="C2723" i="1"/>
  <c r="C2722" i="1"/>
  <c r="C2721" i="1"/>
  <c r="C2720" i="1"/>
  <c r="C2719" i="1"/>
  <c r="C2718" i="1"/>
  <c r="C2717" i="1"/>
  <c r="C2716" i="1"/>
  <c r="C2715" i="1"/>
  <c r="C2714" i="1"/>
  <c r="C2713" i="1"/>
  <c r="C2712" i="1"/>
  <c r="C2711" i="1"/>
  <c r="C2710" i="1"/>
  <c r="C2709" i="1"/>
  <c r="C2708" i="1"/>
  <c r="C2707" i="1"/>
  <c r="C2706" i="1"/>
  <c r="C2705" i="1"/>
  <c r="C2704" i="1"/>
  <c r="C2703" i="1"/>
  <c r="C2702" i="1"/>
  <c r="C2701" i="1"/>
  <c r="C2700" i="1"/>
  <c r="C2699" i="1"/>
  <c r="C2698" i="1"/>
  <c r="C2697" i="1"/>
  <c r="C2696" i="1"/>
  <c r="C2695" i="1"/>
  <c r="C2694" i="1"/>
  <c r="C2693" i="1"/>
  <c r="C2692" i="1"/>
  <c r="C2691" i="1"/>
  <c r="C2690" i="1"/>
  <c r="C2689" i="1"/>
  <c r="C2688" i="1"/>
  <c r="C2687" i="1"/>
  <c r="C2686" i="1"/>
  <c r="C2685" i="1"/>
  <c r="C2684" i="1"/>
  <c r="C2683" i="1"/>
  <c r="C2682" i="1"/>
  <c r="C2681" i="1"/>
  <c r="C2679" i="1"/>
  <c r="C2678" i="1"/>
  <c r="C2677" i="1"/>
  <c r="C2676" i="1"/>
  <c r="C2675" i="1"/>
  <c r="C2674" i="1"/>
  <c r="C2673" i="1"/>
  <c r="C2672" i="1"/>
  <c r="C2671" i="1"/>
  <c r="C2670" i="1"/>
  <c r="C2669" i="1"/>
  <c r="C2668" i="1"/>
  <c r="C2667" i="1"/>
  <c r="C2666" i="1"/>
  <c r="C2665" i="1"/>
  <c r="C2664" i="1"/>
  <c r="C2663" i="1"/>
  <c r="C2662" i="1"/>
  <c r="C2660" i="1"/>
  <c r="C2659" i="1"/>
  <c r="C2658" i="1"/>
  <c r="C2657" i="1"/>
  <c r="C2656" i="1"/>
  <c r="C2655" i="1"/>
  <c r="C2654" i="1"/>
  <c r="C2653" i="1"/>
  <c r="C2652" i="1"/>
  <c r="C2651" i="1"/>
  <c r="C2650" i="1"/>
  <c r="C2649" i="1"/>
  <c r="C2648" i="1"/>
  <c r="C2647" i="1"/>
  <c r="C2646" i="1"/>
  <c r="C2645" i="1"/>
  <c r="C2644" i="1"/>
  <c r="C2643" i="1"/>
  <c r="C2642" i="1"/>
  <c r="C2641" i="1"/>
  <c r="C2640" i="1"/>
  <c r="C2639" i="1"/>
  <c r="C2638" i="1"/>
  <c r="C2637" i="1"/>
  <c r="C2636" i="1"/>
  <c r="C2635" i="1"/>
  <c r="C2634" i="1"/>
  <c r="C2633" i="1"/>
  <c r="C2632" i="1"/>
  <c r="C2631" i="1"/>
  <c r="C2630" i="1"/>
  <c r="C2629" i="1"/>
  <c r="C2628" i="1"/>
  <c r="C2627" i="1"/>
  <c r="C2626" i="1"/>
  <c r="C2625" i="1"/>
  <c r="C2624" i="1"/>
  <c r="C2623" i="1"/>
  <c r="C2622" i="1"/>
  <c r="C2621" i="1"/>
  <c r="C2620" i="1"/>
  <c r="C2619" i="1"/>
  <c r="C2618" i="1"/>
  <c r="C2617" i="1"/>
  <c r="C2616" i="1"/>
  <c r="C2615" i="1"/>
  <c r="C2614" i="1"/>
  <c r="C2613" i="1"/>
  <c r="C2612" i="1"/>
  <c r="C2611" i="1"/>
  <c r="C2610" i="1"/>
  <c r="C2609" i="1"/>
  <c r="C2608" i="1"/>
  <c r="C2607" i="1"/>
  <c r="C2606" i="1"/>
  <c r="C2605" i="1"/>
  <c r="C2604" i="1"/>
  <c r="C2603" i="1"/>
  <c r="C2602" i="1"/>
  <c r="C2601" i="1"/>
  <c r="C2600" i="1"/>
  <c r="C2599" i="1"/>
  <c r="C2598" i="1"/>
  <c r="C2597" i="1"/>
  <c r="C2596" i="1"/>
  <c r="C2595" i="1"/>
  <c r="C2594" i="1"/>
  <c r="C2593" i="1"/>
  <c r="C2592" i="1"/>
  <c r="C2591" i="1"/>
  <c r="C2590" i="1"/>
  <c r="C2589" i="1"/>
  <c r="C2587" i="1"/>
  <c r="C2586" i="1"/>
  <c r="C2585" i="1"/>
  <c r="C2584" i="1"/>
  <c r="C2583" i="1"/>
  <c r="C2581" i="1"/>
  <c r="C2580" i="1"/>
  <c r="C2579" i="1"/>
  <c r="C2578" i="1"/>
  <c r="C2577" i="1"/>
  <c r="C2576" i="1"/>
  <c r="C2575" i="1"/>
  <c r="C2574" i="1"/>
  <c r="C2573" i="1"/>
  <c r="C2572" i="1"/>
  <c r="C2571" i="1"/>
  <c r="C2570" i="1"/>
  <c r="C2569" i="1"/>
  <c r="C2568" i="1"/>
  <c r="C2567" i="1"/>
  <c r="C2566" i="1"/>
  <c r="C2565" i="1"/>
  <c r="C2564" i="1"/>
  <c r="C2563" i="1"/>
  <c r="C2562" i="1"/>
  <c r="C2561" i="1"/>
  <c r="C2560" i="1"/>
  <c r="C2559" i="1"/>
  <c r="C2558" i="1"/>
  <c r="C2557" i="1"/>
  <c r="C2556" i="1"/>
  <c r="C2555" i="1"/>
  <c r="C2554" i="1"/>
  <c r="C2553" i="1"/>
  <c r="C2552" i="1"/>
  <c r="C2551" i="1"/>
  <c r="C2550" i="1"/>
  <c r="C2549" i="1"/>
  <c r="C2548" i="1"/>
  <c r="C2547" i="1"/>
  <c r="C2546" i="1"/>
  <c r="C2545" i="1"/>
  <c r="C2544" i="1"/>
  <c r="C2543" i="1"/>
  <c r="C2542" i="1"/>
  <c r="C2541" i="1"/>
  <c r="C2540" i="1"/>
  <c r="C2538" i="1"/>
  <c r="C2537" i="1"/>
  <c r="C2536" i="1"/>
  <c r="C2535" i="1"/>
  <c r="C2534" i="1"/>
  <c r="C2533" i="1"/>
  <c r="C2532" i="1"/>
  <c r="C2531" i="1"/>
  <c r="C2530" i="1"/>
  <c r="C2529" i="1"/>
  <c r="C2528" i="1"/>
  <c r="C2527" i="1"/>
  <c r="C2526" i="1"/>
  <c r="C2525" i="1"/>
  <c r="C2524" i="1"/>
  <c r="C2523" i="1"/>
  <c r="C2522" i="1"/>
  <c r="C2521" i="1"/>
  <c r="C2520" i="1"/>
  <c r="C2519" i="1"/>
  <c r="C2518" i="1"/>
  <c r="C2517" i="1"/>
  <c r="C2516" i="1"/>
  <c r="C2515" i="1"/>
  <c r="C2514" i="1"/>
  <c r="C2513" i="1"/>
  <c r="C2512" i="1"/>
  <c r="C2511" i="1"/>
  <c r="C2510" i="1"/>
  <c r="C2509" i="1"/>
  <c r="C2508" i="1"/>
  <c r="C2507" i="1"/>
  <c r="C2506" i="1"/>
  <c r="C2505" i="1"/>
  <c r="C2504" i="1"/>
  <c r="C2503" i="1"/>
  <c r="C2502" i="1"/>
  <c r="C2501" i="1"/>
  <c r="C2500" i="1"/>
  <c r="C2499" i="1"/>
  <c r="C2498" i="1"/>
  <c r="C2497" i="1"/>
  <c r="C2496" i="1"/>
  <c r="C2495" i="1"/>
  <c r="C2494" i="1"/>
  <c r="C2493" i="1"/>
  <c r="C2492" i="1"/>
  <c r="C2491" i="1"/>
  <c r="C2490" i="1"/>
  <c r="C2489" i="1"/>
  <c r="C2488" i="1"/>
  <c r="C2487" i="1"/>
  <c r="C2486" i="1"/>
  <c r="C2485" i="1"/>
  <c r="C2484" i="1"/>
  <c r="C2483" i="1"/>
  <c r="C2482" i="1"/>
  <c r="C2481" i="1"/>
  <c r="C2480" i="1"/>
  <c r="C2479" i="1"/>
  <c r="C2478" i="1"/>
  <c r="C2477" i="1"/>
  <c r="C2476" i="1"/>
  <c r="C2475" i="1"/>
  <c r="C2474" i="1"/>
  <c r="C2473" i="1"/>
  <c r="C2472" i="1"/>
  <c r="C2471" i="1"/>
  <c r="C2470" i="1"/>
  <c r="C2469" i="1"/>
  <c r="C2468" i="1"/>
  <c r="C2467" i="1"/>
  <c r="C2466" i="1"/>
  <c r="C2465" i="1"/>
  <c r="C2464" i="1"/>
  <c r="C2463" i="1"/>
  <c r="C2462" i="1"/>
  <c r="C2461" i="1"/>
  <c r="C2460" i="1"/>
  <c r="C2459" i="1"/>
  <c r="C2458" i="1"/>
  <c r="C2457" i="1"/>
  <c r="C2456" i="1"/>
  <c r="C2455" i="1"/>
  <c r="C2454" i="1"/>
  <c r="C2453" i="1"/>
  <c r="C2452" i="1"/>
  <c r="C2451" i="1"/>
  <c r="C2450" i="1"/>
  <c r="C2449" i="1"/>
  <c r="C2448" i="1"/>
  <c r="C2447" i="1"/>
  <c r="C2446" i="1"/>
  <c r="C2445" i="1"/>
  <c r="C2444" i="1"/>
  <c r="C2443" i="1"/>
  <c r="C2442" i="1"/>
  <c r="C2441" i="1"/>
  <c r="C2440" i="1"/>
  <c r="C2439" i="1"/>
  <c r="C2438" i="1"/>
  <c r="C2437" i="1"/>
  <c r="C2436" i="1"/>
  <c r="C2434" i="1"/>
  <c r="C2433" i="1"/>
  <c r="C2432" i="1"/>
  <c r="C2430" i="1"/>
  <c r="C2429" i="1"/>
  <c r="C2428" i="1"/>
  <c r="C2427" i="1"/>
  <c r="C2426" i="1"/>
  <c r="C2425" i="1"/>
  <c r="C2424" i="1"/>
  <c r="C2423" i="1"/>
  <c r="C2422" i="1"/>
  <c r="C2421" i="1"/>
  <c r="C2420" i="1"/>
  <c r="C2419" i="1"/>
  <c r="C2418" i="1"/>
  <c r="C2417" i="1"/>
  <c r="C2416" i="1"/>
  <c r="C2415" i="1"/>
  <c r="C2414" i="1"/>
  <c r="C2413" i="1"/>
  <c r="C2412" i="1"/>
  <c r="C2411" i="1"/>
  <c r="C2410" i="1"/>
  <c r="C2409" i="1"/>
  <c r="C2408" i="1"/>
  <c r="C2407" i="1"/>
  <c r="C2406" i="1"/>
  <c r="C2405" i="1"/>
  <c r="C2404" i="1"/>
  <c r="C2403" i="1"/>
  <c r="C2402" i="1"/>
  <c r="C2401" i="1"/>
  <c r="C2400" i="1"/>
  <c r="C2399" i="1"/>
  <c r="C2398" i="1"/>
  <c r="C2397" i="1"/>
  <c r="C2396" i="1"/>
  <c r="C2395" i="1"/>
  <c r="C2394" i="1"/>
  <c r="C2393" i="1"/>
  <c r="C2391" i="1"/>
  <c r="C2390" i="1"/>
  <c r="C2389" i="1"/>
  <c r="C2388" i="1"/>
  <c r="C2387" i="1"/>
  <c r="C2386" i="1"/>
  <c r="C2382" i="1"/>
  <c r="C2381" i="1"/>
  <c r="C2380" i="1"/>
  <c r="C2379" i="1"/>
  <c r="C2378" i="1"/>
  <c r="C2377" i="1"/>
  <c r="C2376" i="1"/>
  <c r="C2375" i="1"/>
  <c r="C2374" i="1"/>
  <c r="C2372" i="1"/>
  <c r="C2371" i="1"/>
  <c r="C2370" i="1"/>
  <c r="C2369" i="1"/>
  <c r="C2365" i="1"/>
  <c r="C2362" i="1"/>
  <c r="C2361" i="1"/>
  <c r="C2360" i="1"/>
  <c r="C2359" i="1"/>
  <c r="C2358" i="1"/>
  <c r="C2357" i="1"/>
  <c r="C2356" i="1"/>
  <c r="C2355" i="1"/>
  <c r="C2354" i="1"/>
  <c r="C2353" i="1"/>
  <c r="C2352" i="1"/>
  <c r="C2351" i="1"/>
  <c r="C2350" i="1"/>
  <c r="C2349" i="1"/>
  <c r="C2348" i="1"/>
  <c r="C2347" i="1"/>
  <c r="C2346" i="1"/>
  <c r="C2345" i="1"/>
  <c r="C2344" i="1"/>
  <c r="C2343" i="1"/>
  <c r="C2342" i="1"/>
  <c r="C2341" i="1"/>
  <c r="C2340" i="1"/>
  <c r="C2339" i="1"/>
  <c r="C2338" i="1"/>
  <c r="C2337" i="1"/>
  <c r="C2336" i="1"/>
  <c r="C2335" i="1"/>
  <c r="C2334" i="1"/>
  <c r="C2333" i="1"/>
  <c r="C2332" i="1"/>
  <c r="C2331" i="1"/>
  <c r="C2330" i="1"/>
  <c r="C2329" i="1"/>
  <c r="C2328" i="1"/>
  <c r="C2327" i="1"/>
  <c r="C2326" i="1"/>
  <c r="C2325" i="1"/>
  <c r="C2324" i="1"/>
  <c r="C2323" i="1"/>
  <c r="C2322" i="1"/>
  <c r="C2321" i="1"/>
  <c r="C2320" i="1"/>
  <c r="C2319" i="1"/>
  <c r="C2317" i="1"/>
  <c r="C2316" i="1"/>
  <c r="C2315" i="1"/>
  <c r="C2314" i="1"/>
  <c r="C2313" i="1"/>
  <c r="C2312" i="1"/>
  <c r="C2311" i="1"/>
  <c r="C2310" i="1"/>
  <c r="C2309" i="1"/>
  <c r="C2308" i="1"/>
  <c r="C2307" i="1"/>
  <c r="C2306" i="1"/>
  <c r="C2305" i="1"/>
  <c r="C2304" i="1"/>
  <c r="C2303" i="1"/>
  <c r="C2302" i="1"/>
  <c r="C2301" i="1"/>
  <c r="C2300" i="1"/>
  <c r="C2299" i="1"/>
  <c r="C2298" i="1"/>
  <c r="C2297" i="1"/>
  <c r="C2296" i="1"/>
  <c r="C2295" i="1"/>
  <c r="C2294" i="1"/>
  <c r="C2293" i="1"/>
  <c r="C2292" i="1"/>
  <c r="C2291" i="1"/>
  <c r="C2290" i="1"/>
  <c r="C2289" i="1"/>
  <c r="C2288" i="1"/>
  <c r="C2287" i="1"/>
  <c r="C2286" i="1"/>
  <c r="C2285" i="1"/>
  <c r="C2284" i="1"/>
  <c r="C2283" i="1"/>
  <c r="C2282" i="1"/>
  <c r="C2281" i="1"/>
  <c r="C2280" i="1"/>
  <c r="C2279" i="1"/>
  <c r="C2277" i="1"/>
  <c r="C2276" i="1"/>
  <c r="C2275" i="1"/>
  <c r="C2274" i="1"/>
  <c r="C2273" i="1"/>
  <c r="C2272" i="1"/>
  <c r="C2271" i="1"/>
  <c r="C2270" i="1"/>
  <c r="C2269" i="1"/>
  <c r="C2268" i="1"/>
  <c r="C2267" i="1"/>
  <c r="C2266" i="1"/>
  <c r="C2265" i="1"/>
  <c r="C2264" i="1"/>
  <c r="C2263" i="1"/>
  <c r="C2262" i="1"/>
  <c r="C2261" i="1"/>
  <c r="C2260" i="1"/>
  <c r="C2259" i="1"/>
  <c r="C2258" i="1"/>
  <c r="C2257" i="1"/>
  <c r="C2256" i="1"/>
  <c r="C2255" i="1"/>
  <c r="C2253" i="1"/>
  <c r="C2252" i="1"/>
  <c r="C2251" i="1"/>
  <c r="C2250" i="1"/>
  <c r="C2249" i="1"/>
  <c r="C2248" i="1"/>
  <c r="C2247" i="1"/>
  <c r="C2246" i="1"/>
  <c r="C2244" i="1"/>
  <c r="C2243" i="1"/>
  <c r="C2242" i="1"/>
  <c r="C2241" i="1"/>
  <c r="C2240" i="1"/>
  <c r="C2239" i="1"/>
  <c r="C2238" i="1"/>
  <c r="C2237" i="1"/>
  <c r="C2236" i="1"/>
  <c r="C2235" i="1"/>
  <c r="C2234" i="1"/>
  <c r="C2233" i="1"/>
  <c r="C2232" i="1"/>
  <c r="C2231" i="1"/>
  <c r="C2230" i="1"/>
  <c r="C2229" i="1"/>
  <c r="C2228" i="1"/>
  <c r="C2226" i="1"/>
  <c r="C2223" i="1"/>
  <c r="C2222" i="1"/>
  <c r="C2221" i="1"/>
  <c r="C2220" i="1"/>
  <c r="C2219" i="1"/>
  <c r="C2218" i="1"/>
  <c r="C2217" i="1"/>
  <c r="C2216" i="1"/>
  <c r="C2215" i="1"/>
  <c r="C2214" i="1"/>
  <c r="C2213" i="1"/>
  <c r="C2212" i="1"/>
  <c r="C2211" i="1"/>
  <c r="C2208" i="1"/>
  <c r="C2204" i="1"/>
  <c r="C2202" i="1"/>
  <c r="C2201" i="1"/>
  <c r="C2200" i="1"/>
  <c r="C2199" i="1"/>
  <c r="C2198" i="1"/>
  <c r="C2197" i="1"/>
  <c r="C2196" i="1"/>
  <c r="C2195" i="1"/>
  <c r="C2194" i="1"/>
  <c r="C2193" i="1"/>
  <c r="C2192" i="1"/>
  <c r="C2191" i="1"/>
  <c r="C2190" i="1"/>
  <c r="C2188" i="1"/>
  <c r="C2187" i="1"/>
  <c r="C2183" i="1"/>
  <c r="C2182" i="1"/>
  <c r="C2178" i="1"/>
  <c r="C2177" i="1"/>
  <c r="C2176" i="1"/>
  <c r="C2175" i="1"/>
  <c r="C2174" i="1"/>
  <c r="C2173" i="1"/>
  <c r="C2172" i="1"/>
  <c r="C2171" i="1"/>
  <c r="C2170" i="1"/>
  <c r="C2169" i="1"/>
  <c r="C2168" i="1"/>
  <c r="C2167" i="1"/>
  <c r="C2166" i="1"/>
  <c r="C2165" i="1"/>
  <c r="C2164" i="1"/>
  <c r="C2163" i="1"/>
  <c r="C2162" i="1"/>
  <c r="C2161" i="1"/>
  <c r="C2160" i="1"/>
  <c r="C2158" i="1"/>
  <c r="C2154" i="1"/>
  <c r="C2153" i="1"/>
  <c r="C2151" i="1"/>
  <c r="C2149" i="1"/>
  <c r="C2147" i="1"/>
  <c r="C2146" i="1"/>
  <c r="C2144" i="1"/>
  <c r="C2143" i="1"/>
  <c r="C2142" i="1"/>
  <c r="C2141" i="1"/>
  <c r="C2140" i="1"/>
  <c r="C2139" i="1"/>
  <c r="C2138" i="1"/>
  <c r="C2137" i="1"/>
  <c r="C2136" i="1"/>
  <c r="C2135" i="1"/>
  <c r="C2134" i="1"/>
  <c r="C2133" i="1"/>
  <c r="C2132" i="1"/>
  <c r="C2131" i="1"/>
  <c r="C2130" i="1"/>
  <c r="C2129" i="1"/>
  <c r="C2128" i="1"/>
  <c r="C2127" i="1"/>
  <c r="C2126" i="1"/>
  <c r="C2125" i="1"/>
  <c r="C2124" i="1"/>
  <c r="C2123" i="1"/>
  <c r="C2122" i="1"/>
  <c r="C2121" i="1"/>
  <c r="C2120" i="1"/>
  <c r="C2119" i="1"/>
  <c r="C2118" i="1"/>
  <c r="C2117" i="1"/>
  <c r="C2116" i="1"/>
  <c r="C2115" i="1"/>
  <c r="C2114" i="1"/>
  <c r="C2113" i="1"/>
  <c r="C2112" i="1"/>
  <c r="C2111" i="1"/>
  <c r="C2110" i="1"/>
  <c r="C2109" i="1"/>
  <c r="C2108" i="1"/>
  <c r="C2107" i="1"/>
  <c r="C2106" i="1"/>
  <c r="C2105" i="1"/>
  <c r="C2104" i="1"/>
  <c r="C2103" i="1"/>
  <c r="C2102" i="1"/>
  <c r="C2101" i="1"/>
  <c r="C2100" i="1"/>
  <c r="C2099" i="1"/>
  <c r="C2098" i="1"/>
  <c r="C2097" i="1"/>
  <c r="C2096" i="1"/>
  <c r="C2095" i="1"/>
  <c r="C2094" i="1"/>
  <c r="C2093" i="1"/>
  <c r="C2092" i="1"/>
  <c r="C2091" i="1"/>
  <c r="C2090" i="1"/>
  <c r="C2089" i="1"/>
  <c r="C2088" i="1"/>
  <c r="C2087" i="1"/>
  <c r="C2086" i="1"/>
  <c r="C2085" i="1"/>
  <c r="C2084" i="1"/>
  <c r="C2083" i="1"/>
  <c r="C2082" i="1"/>
  <c r="C2081" i="1"/>
  <c r="C2080" i="1"/>
  <c r="C2079" i="1"/>
  <c r="C2078" i="1"/>
  <c r="C2077" i="1"/>
  <c r="C2076" i="1"/>
  <c r="C2075" i="1"/>
  <c r="C2073" i="1"/>
  <c r="C2072" i="1"/>
  <c r="C2071" i="1"/>
  <c r="C2070" i="1"/>
  <c r="C2069" i="1"/>
  <c r="C2068" i="1"/>
  <c r="C2067" i="1"/>
  <c r="C2066" i="1"/>
  <c r="C2065" i="1"/>
  <c r="C2063" i="1"/>
  <c r="C2062" i="1"/>
  <c r="C2061" i="1"/>
  <c r="C2059" i="1"/>
  <c r="C2058" i="1"/>
  <c r="C2057" i="1"/>
  <c r="C2056" i="1"/>
  <c r="C2055" i="1"/>
  <c r="C2054" i="1"/>
  <c r="C2053" i="1"/>
  <c r="C2052" i="1"/>
  <c r="C2051" i="1"/>
  <c r="C2049" i="1"/>
  <c r="C2048" i="1"/>
  <c r="C2047" i="1"/>
  <c r="C2045" i="1"/>
  <c r="C2044" i="1"/>
  <c r="C2043" i="1"/>
  <c r="C2041" i="1"/>
  <c r="C2040" i="1"/>
  <c r="C2039" i="1"/>
  <c r="C2038" i="1"/>
  <c r="C2037" i="1"/>
  <c r="C2036" i="1"/>
  <c r="C2034" i="1"/>
  <c r="C2033" i="1"/>
  <c r="C2032" i="1"/>
  <c r="C2031" i="1"/>
  <c r="C2030" i="1"/>
  <c r="C2029" i="1"/>
  <c r="C2027" i="1"/>
  <c r="C2024" i="1"/>
  <c r="C2023" i="1"/>
  <c r="C2022" i="1"/>
  <c r="C2021" i="1"/>
  <c r="C2020" i="1"/>
  <c r="C2019" i="1"/>
  <c r="C2018" i="1"/>
  <c r="C2017" i="1"/>
  <c r="C2016" i="1"/>
  <c r="C2015" i="1"/>
  <c r="C2014" i="1"/>
  <c r="C2013" i="1"/>
  <c r="C2012" i="1"/>
  <c r="C2011" i="1"/>
  <c r="C2010" i="1"/>
  <c r="C2008" i="1"/>
  <c r="C2007" i="1"/>
  <c r="C2006" i="1"/>
  <c r="C2004" i="1"/>
  <c r="C2003" i="1"/>
  <c r="C2001" i="1"/>
  <c r="C1999" i="1"/>
  <c r="C1998" i="1"/>
  <c r="C1997" i="1"/>
  <c r="C1996" i="1"/>
  <c r="C1994" i="1"/>
  <c r="C1993" i="1"/>
  <c r="C1992" i="1"/>
  <c r="C1991" i="1"/>
  <c r="C1989" i="1"/>
  <c r="C1988" i="1"/>
  <c r="C1987" i="1"/>
  <c r="C1986" i="1"/>
  <c r="C1985" i="1"/>
  <c r="C1984" i="1"/>
  <c r="C1983" i="1"/>
  <c r="C1982" i="1"/>
  <c r="C1981" i="1"/>
  <c r="C1980" i="1"/>
  <c r="C1979" i="1"/>
  <c r="C1978" i="1"/>
  <c r="C1977" i="1"/>
  <c r="C1976" i="1"/>
  <c r="C1975" i="1"/>
  <c r="C1974" i="1"/>
  <c r="C1972" i="1"/>
  <c r="C1971" i="1"/>
  <c r="C1969" i="1"/>
  <c r="C1968" i="1"/>
  <c r="C1967" i="1"/>
  <c r="C1966" i="1"/>
  <c r="C1962" i="1"/>
  <c r="C1960" i="1"/>
  <c r="C1958" i="1"/>
  <c r="C1954" i="1"/>
  <c r="C1953" i="1"/>
  <c r="C1952" i="1"/>
  <c r="C1951" i="1"/>
  <c r="C1950" i="1"/>
  <c r="C1948" i="1"/>
  <c r="C1947" i="1"/>
  <c r="C1946" i="1"/>
  <c r="C1945" i="1"/>
  <c r="C1944" i="1"/>
  <c r="C1943" i="1"/>
  <c r="C1942" i="1"/>
  <c r="C1941" i="1"/>
  <c r="C1940" i="1"/>
  <c r="C1939" i="1"/>
  <c r="C1938" i="1"/>
  <c r="C1937" i="1"/>
  <c r="C1936" i="1"/>
  <c r="C1935" i="1"/>
  <c r="C1934" i="1"/>
  <c r="C1933" i="1"/>
  <c r="C1932" i="1"/>
  <c r="C1931" i="1"/>
  <c r="C1930" i="1"/>
  <c r="C1929" i="1"/>
  <c r="C1926" i="1"/>
  <c r="C1925" i="1"/>
  <c r="C1924" i="1"/>
  <c r="C1923" i="1"/>
  <c r="C1920" i="1"/>
  <c r="C1919" i="1"/>
  <c r="C1917" i="1"/>
  <c r="C1916" i="1"/>
  <c r="C1915" i="1"/>
  <c r="C1914" i="1"/>
  <c r="C1912" i="1"/>
  <c r="C1910" i="1"/>
  <c r="C1909" i="1"/>
  <c r="C1908" i="1"/>
  <c r="C1905" i="1"/>
  <c r="C1903" i="1"/>
  <c r="C1900" i="1"/>
  <c r="C1897" i="1"/>
  <c r="C1894" i="1"/>
  <c r="C1893" i="1"/>
  <c r="C1892" i="1"/>
  <c r="C1891" i="1"/>
  <c r="C1890" i="1"/>
  <c r="C1889" i="1"/>
  <c r="C1888" i="1"/>
  <c r="C1887" i="1"/>
  <c r="C1886" i="1"/>
  <c r="C1885" i="1"/>
  <c r="C1883" i="1"/>
  <c r="C1882" i="1"/>
  <c r="C1881" i="1"/>
  <c r="C1880" i="1"/>
  <c r="C1879" i="1"/>
  <c r="C1878" i="1"/>
  <c r="C1877" i="1"/>
  <c r="C1876" i="1"/>
  <c r="C1875" i="1"/>
  <c r="C1874" i="1"/>
  <c r="C1873" i="1"/>
  <c r="C1872" i="1"/>
  <c r="C1871" i="1"/>
  <c r="C1870" i="1"/>
  <c r="C1869" i="1"/>
  <c r="C1868" i="1"/>
  <c r="C1867" i="1"/>
  <c r="C1866" i="1"/>
  <c r="C1865" i="1"/>
  <c r="C1864" i="1"/>
  <c r="C1863" i="1"/>
  <c r="C1862" i="1"/>
  <c r="C1861" i="1"/>
  <c r="C1860" i="1"/>
  <c r="C1859" i="1"/>
  <c r="C1858" i="1"/>
  <c r="C1857" i="1"/>
  <c r="C1856" i="1"/>
  <c r="C1855" i="1"/>
  <c r="C1852" i="1"/>
  <c r="C1850" i="1"/>
  <c r="C1849" i="1"/>
  <c r="C1848" i="1"/>
  <c r="C1847" i="1"/>
  <c r="C1846" i="1"/>
  <c r="C1845" i="1"/>
  <c r="C1844" i="1"/>
  <c r="C1843" i="1"/>
  <c r="C1842" i="1"/>
  <c r="C1841" i="1"/>
  <c r="C1840" i="1"/>
  <c r="C1839" i="1"/>
  <c r="C1838" i="1"/>
  <c r="C1837" i="1"/>
  <c r="C1836" i="1"/>
  <c r="C1835" i="1"/>
  <c r="C1834" i="1"/>
  <c r="C1831" i="1"/>
  <c r="C1830" i="1"/>
  <c r="C1829" i="1"/>
  <c r="C1828" i="1"/>
  <c r="C1827" i="1"/>
  <c r="C1826" i="1"/>
  <c r="C1825" i="1"/>
  <c r="C1824" i="1"/>
  <c r="C1823" i="1"/>
  <c r="C1822" i="1"/>
  <c r="C1821" i="1"/>
  <c r="C1820" i="1"/>
  <c r="C1819" i="1"/>
  <c r="C1818" i="1"/>
  <c r="C1816" i="1"/>
  <c r="C1815" i="1"/>
  <c r="C1814" i="1"/>
  <c r="C1813" i="1"/>
  <c r="C1812" i="1"/>
  <c r="C1811" i="1"/>
  <c r="C1810" i="1"/>
  <c r="C1809" i="1"/>
  <c r="C1808" i="1"/>
  <c r="C1807" i="1"/>
  <c r="C1806" i="1"/>
  <c r="C1805" i="1"/>
  <c r="C1804" i="1"/>
  <c r="C1803" i="1"/>
  <c r="C1802" i="1"/>
  <c r="C1801" i="1"/>
  <c r="C1800" i="1"/>
  <c r="C1799" i="1"/>
  <c r="C1798" i="1"/>
  <c r="C1797" i="1"/>
  <c r="C1796" i="1"/>
  <c r="C1795" i="1"/>
  <c r="C1794" i="1"/>
  <c r="C1793" i="1"/>
  <c r="C1792" i="1"/>
  <c r="C1791" i="1"/>
  <c r="C1790" i="1"/>
  <c r="C1789" i="1"/>
  <c r="C1788" i="1"/>
  <c r="C1787" i="1"/>
  <c r="C1786" i="1"/>
  <c r="C1785" i="1"/>
  <c r="C1784" i="1"/>
  <c r="C1783" i="1"/>
  <c r="C1782" i="1"/>
  <c r="C1781" i="1"/>
  <c r="C1780" i="1"/>
  <c r="C1779" i="1"/>
  <c r="C1778" i="1"/>
  <c r="C1777" i="1"/>
  <c r="C1776" i="1"/>
  <c r="C1775" i="1"/>
  <c r="C1774" i="1"/>
  <c r="C1773" i="1"/>
  <c r="C1772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754" i="1"/>
  <c r="C1753" i="1"/>
  <c r="C1752" i="1"/>
  <c r="C1751" i="1"/>
  <c r="C1750" i="1"/>
  <c r="C1749" i="1"/>
  <c r="C1748" i="1"/>
  <c r="C1747" i="1"/>
  <c r="C1746" i="1"/>
  <c r="C1745" i="1"/>
  <c r="C1744" i="1"/>
  <c r="C1743" i="1"/>
  <c r="C1742" i="1"/>
  <c r="C1741" i="1"/>
  <c r="C1740" i="1"/>
  <c r="C1739" i="1"/>
  <c r="C1738" i="1"/>
  <c r="C1737" i="1"/>
  <c r="C1736" i="1"/>
  <c r="C1735" i="1"/>
  <c r="C1734" i="1"/>
  <c r="C1733" i="1"/>
  <c r="C1732" i="1"/>
  <c r="C1731" i="1"/>
  <c r="C1730" i="1"/>
  <c r="C1729" i="1"/>
  <c r="C1728" i="1"/>
  <c r="C1727" i="1"/>
  <c r="C1726" i="1"/>
  <c r="C1725" i="1"/>
  <c r="C1724" i="1"/>
  <c r="C1723" i="1"/>
  <c r="C1721" i="1"/>
  <c r="C1720" i="1"/>
  <c r="C1719" i="1"/>
  <c r="C1718" i="1"/>
  <c r="C1717" i="1"/>
  <c r="C1716" i="1"/>
  <c r="C1715" i="1"/>
  <c r="C1714" i="1"/>
  <c r="C1713" i="1"/>
  <c r="C1712" i="1"/>
  <c r="C1711" i="1"/>
  <c r="C1710" i="1"/>
  <c r="C1709" i="1"/>
  <c r="C1708" i="1"/>
  <c r="C1707" i="1"/>
  <c r="C1706" i="1"/>
  <c r="C1705" i="1"/>
  <c r="C1704" i="1"/>
  <c r="C1703" i="1"/>
  <c r="C1702" i="1"/>
  <c r="C1701" i="1"/>
  <c r="C1700" i="1"/>
  <c r="C1699" i="1"/>
  <c r="C1698" i="1"/>
  <c r="C1697" i="1"/>
  <c r="C1696" i="1"/>
  <c r="C1695" i="1"/>
  <c r="C1694" i="1"/>
  <c r="C1693" i="1"/>
  <c r="C1692" i="1"/>
  <c r="C1691" i="1"/>
  <c r="C1690" i="1"/>
  <c r="C1689" i="1"/>
  <c r="C1688" i="1"/>
  <c r="C1687" i="1"/>
  <c r="C1686" i="1"/>
  <c r="C1685" i="1"/>
  <c r="C1684" i="1"/>
  <c r="C1683" i="1"/>
  <c r="C1682" i="1"/>
  <c r="C1681" i="1"/>
  <c r="C1680" i="1"/>
  <c r="C1679" i="1"/>
  <c r="C1678" i="1"/>
  <c r="C1677" i="1"/>
  <c r="C1675" i="1"/>
  <c r="C1674" i="1"/>
  <c r="C1672" i="1"/>
  <c r="C1671" i="1"/>
  <c r="C1670" i="1"/>
  <c r="C1669" i="1"/>
  <c r="C1668" i="1"/>
  <c r="C1667" i="1"/>
  <c r="C1666" i="1"/>
  <c r="C1665" i="1"/>
  <c r="C1664" i="1"/>
  <c r="C1663" i="1"/>
  <c r="C1662" i="1"/>
  <c r="C1661" i="1"/>
  <c r="C1660" i="1"/>
  <c r="C1659" i="1"/>
  <c r="C1658" i="1"/>
  <c r="C1657" i="1"/>
  <c r="C1656" i="1"/>
  <c r="C1655" i="1"/>
  <c r="C1654" i="1"/>
  <c r="C1653" i="1"/>
  <c r="C1652" i="1"/>
  <c r="C1651" i="1"/>
  <c r="C1650" i="1"/>
  <c r="C1649" i="1"/>
  <c r="C1648" i="1"/>
  <c r="C1647" i="1"/>
  <c r="C1646" i="1"/>
  <c r="C1645" i="1"/>
  <c r="C1644" i="1"/>
  <c r="C1643" i="1"/>
  <c r="C1642" i="1"/>
  <c r="C1641" i="1"/>
  <c r="C1640" i="1"/>
  <c r="C1639" i="1"/>
  <c r="C1638" i="1"/>
  <c r="C1637" i="1"/>
  <c r="C1636" i="1"/>
  <c r="C1634" i="1"/>
  <c r="C1633" i="1"/>
  <c r="C1632" i="1"/>
  <c r="C1631" i="1"/>
  <c r="C1630" i="1"/>
  <c r="C1629" i="1"/>
  <c r="C1628" i="1"/>
  <c r="C1627" i="1"/>
  <c r="C1626" i="1"/>
  <c r="C1625" i="1"/>
  <c r="C1624" i="1"/>
  <c r="C1623" i="1"/>
  <c r="C1622" i="1"/>
  <c r="C1621" i="1"/>
  <c r="C1620" i="1"/>
  <c r="C1619" i="1"/>
  <c r="C1618" i="1"/>
  <c r="C1617" i="1"/>
  <c r="C1616" i="1"/>
  <c r="C1615" i="1"/>
  <c r="C1614" i="1"/>
  <c r="C1613" i="1"/>
  <c r="C1612" i="1"/>
  <c r="C1611" i="1"/>
  <c r="C1610" i="1"/>
  <c r="C1609" i="1"/>
  <c r="C1608" i="1"/>
  <c r="C1607" i="1"/>
  <c r="C1606" i="1"/>
  <c r="C1605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590" i="1"/>
  <c r="C1589" i="1"/>
  <c r="C1588" i="1"/>
  <c r="C1587" i="1"/>
  <c r="C1586" i="1"/>
  <c r="C1585" i="1"/>
  <c r="C1584" i="1"/>
  <c r="C1583" i="1"/>
  <c r="C1582" i="1"/>
  <c r="C1581" i="1"/>
  <c r="C1580" i="1"/>
  <c r="C1579" i="1"/>
  <c r="C1578" i="1"/>
  <c r="C1577" i="1"/>
  <c r="C1576" i="1"/>
  <c r="C1575" i="1"/>
  <c r="C1574" i="1"/>
  <c r="C1573" i="1"/>
  <c r="C1572" i="1"/>
  <c r="C1571" i="1"/>
  <c r="C1570" i="1"/>
  <c r="C1569" i="1"/>
  <c r="C1568" i="1"/>
  <c r="C1567" i="1"/>
  <c r="C1566" i="1"/>
  <c r="C1565" i="1"/>
  <c r="C1564" i="1"/>
  <c r="C1561" i="1"/>
  <c r="C1560" i="1"/>
  <c r="C1559" i="1"/>
  <c r="C1557" i="1"/>
  <c r="C1556" i="1"/>
  <c r="C1555" i="1"/>
  <c r="C1554" i="1"/>
  <c r="C1553" i="1"/>
  <c r="C1552" i="1"/>
  <c r="C1551" i="1"/>
  <c r="C1550" i="1"/>
  <c r="C1549" i="1"/>
  <c r="C1548" i="1"/>
  <c r="C1547" i="1"/>
  <c r="C1546" i="1"/>
  <c r="C1545" i="1"/>
  <c r="C1544" i="1"/>
  <c r="C1543" i="1"/>
  <c r="C1542" i="1"/>
  <c r="C1541" i="1"/>
  <c r="C1540" i="1"/>
  <c r="C1539" i="1"/>
  <c r="C1538" i="1"/>
  <c r="C1537" i="1"/>
  <c r="C1536" i="1"/>
  <c r="C1535" i="1"/>
  <c r="C1534" i="1"/>
  <c r="C1533" i="1"/>
  <c r="C1532" i="1"/>
  <c r="C1531" i="1"/>
  <c r="C1530" i="1"/>
  <c r="C1529" i="1"/>
  <c r="C1528" i="1"/>
  <c r="C1527" i="1"/>
  <c r="C1526" i="1"/>
  <c r="C1525" i="1"/>
  <c r="C1524" i="1"/>
  <c r="C1522" i="1"/>
  <c r="C1521" i="1"/>
  <c r="C1520" i="1"/>
  <c r="C1519" i="1"/>
  <c r="C1518" i="1"/>
  <c r="C1517" i="1"/>
  <c r="C1516" i="1"/>
  <c r="C1514" i="1"/>
  <c r="C1513" i="1"/>
  <c r="C1512" i="1"/>
  <c r="C1511" i="1"/>
  <c r="C1510" i="1"/>
  <c r="C1509" i="1"/>
  <c r="C1507" i="1"/>
  <c r="C1506" i="1"/>
  <c r="C1505" i="1"/>
  <c r="C1502" i="1"/>
  <c r="C1499" i="1"/>
  <c r="C1498" i="1"/>
  <c r="C1497" i="1"/>
  <c r="C1496" i="1"/>
  <c r="C1495" i="1"/>
  <c r="C1494" i="1"/>
  <c r="C1493" i="1"/>
  <c r="C1492" i="1"/>
  <c r="C1491" i="1"/>
  <c r="C1490" i="1"/>
  <c r="C1489" i="1"/>
  <c r="C1488" i="1"/>
  <c r="C1487" i="1"/>
  <c r="C1486" i="1"/>
  <c r="C1485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470" i="1"/>
  <c r="C1469" i="1"/>
  <c r="C1468" i="1"/>
  <c r="C1467" i="1"/>
  <c r="C1466" i="1"/>
  <c r="C1465" i="1"/>
  <c r="C1464" i="1"/>
  <c r="C1463" i="1"/>
  <c r="C1462" i="1"/>
  <c r="C1460" i="1"/>
  <c r="C1459" i="1"/>
  <c r="C1458" i="1"/>
  <c r="C1457" i="1"/>
  <c r="C1456" i="1"/>
  <c r="C1455" i="1"/>
  <c r="C1454" i="1"/>
  <c r="C1453" i="1"/>
  <c r="C1452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437" i="1"/>
  <c r="C1436" i="1"/>
  <c r="C1435" i="1"/>
  <c r="C1434" i="1"/>
  <c r="C1433" i="1"/>
  <c r="C1432" i="1"/>
  <c r="C1431" i="1"/>
  <c r="C1430" i="1"/>
  <c r="C1429" i="1"/>
  <c r="C1428" i="1"/>
  <c r="C1427" i="1"/>
  <c r="C1426" i="1"/>
  <c r="C1424" i="1"/>
  <c r="C1423" i="1"/>
  <c r="C1422" i="1"/>
  <c r="C1421" i="1"/>
  <c r="C1420" i="1"/>
  <c r="C1419" i="1"/>
  <c r="C1417" i="1"/>
  <c r="C1416" i="1"/>
  <c r="C1415" i="1"/>
  <c r="C1413" i="1"/>
  <c r="C1412" i="1"/>
  <c r="C1411" i="1"/>
  <c r="C1410" i="1"/>
  <c r="C1409" i="1"/>
  <c r="C1408" i="1"/>
  <c r="C1407" i="1"/>
  <c r="C1406" i="1"/>
  <c r="C1405" i="1"/>
  <c r="C1404" i="1"/>
  <c r="C1403" i="1"/>
  <c r="C1402" i="1"/>
  <c r="C1401" i="1"/>
  <c r="C1400" i="1"/>
  <c r="C1399" i="1"/>
  <c r="C1397" i="1"/>
  <c r="C1396" i="1"/>
  <c r="C1393" i="1"/>
  <c r="C1390" i="1"/>
  <c r="C1389" i="1"/>
  <c r="C1388" i="1"/>
  <c r="C1387" i="1"/>
  <c r="C1386" i="1"/>
  <c r="C1385" i="1"/>
  <c r="C1384" i="1"/>
  <c r="C1383" i="1"/>
  <c r="C1382" i="1"/>
  <c r="C1379" i="1"/>
  <c r="C1378" i="1"/>
  <c r="C1375" i="1"/>
  <c r="C1373" i="1"/>
  <c r="C1372" i="1"/>
  <c r="C1371" i="1"/>
  <c r="C1370" i="1"/>
  <c r="C1369" i="1"/>
  <c r="C1368" i="1"/>
  <c r="C1367" i="1"/>
  <c r="C1366" i="1"/>
  <c r="C1365" i="1"/>
  <c r="C1364" i="1"/>
  <c r="C1362" i="1"/>
  <c r="C1361" i="1"/>
  <c r="C1360" i="1"/>
  <c r="C1359" i="1"/>
  <c r="C1355" i="1"/>
  <c r="C1354" i="1"/>
  <c r="C1353" i="1"/>
  <c r="C1352" i="1"/>
  <c r="C1351" i="1"/>
  <c r="C1350" i="1"/>
  <c r="C1349" i="1"/>
  <c r="C1348" i="1"/>
  <c r="C1347" i="1"/>
  <c r="C1346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20" i="1"/>
  <c r="C23" i="1"/>
  <c r="C27" i="1"/>
  <c r="C28" i="1"/>
  <c r="C29" i="1"/>
  <c r="C30" i="1"/>
  <c r="C32" i="1"/>
  <c r="C33" i="1"/>
  <c r="C34" i="1"/>
  <c r="C35" i="1"/>
  <c r="C36" i="1"/>
  <c r="C37" i="1"/>
  <c r="C38" i="1"/>
  <c r="C39" i="1"/>
  <c r="C40" i="1"/>
  <c r="C41" i="1"/>
  <c r="C42" i="1"/>
  <c r="C44" i="1"/>
  <c r="C47" i="1"/>
  <c r="C48" i="1"/>
  <c r="C49" i="1"/>
  <c r="C50" i="1"/>
  <c r="C51" i="1"/>
  <c r="C53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2" i="1"/>
  <c r="C73" i="1"/>
  <c r="C74" i="1"/>
  <c r="C76" i="1"/>
  <c r="C77" i="1"/>
  <c r="C78" i="1"/>
  <c r="C79" i="1"/>
  <c r="C80" i="1"/>
  <c r="C81" i="1"/>
  <c r="C82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2" i="1"/>
  <c r="C103" i="1"/>
  <c r="C104" i="1"/>
  <c r="C105" i="1"/>
  <c r="C106" i="1"/>
  <c r="C107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9" i="1"/>
  <c r="C221" i="1"/>
  <c r="C223" i="1"/>
  <c r="C225" i="1"/>
  <c r="C229" i="1"/>
  <c r="C230" i="1"/>
  <c r="C231" i="1"/>
  <c r="C232" i="1"/>
  <c r="C233" i="1"/>
  <c r="C235" i="1"/>
  <c r="C236" i="1"/>
  <c r="C237" i="1"/>
  <c r="C238" i="1"/>
  <c r="C239" i="1"/>
  <c r="C240" i="1"/>
  <c r="C241" i="1"/>
  <c r="C242" i="1"/>
  <c r="C243" i="1"/>
  <c r="C244" i="1"/>
  <c r="C247" i="1"/>
  <c r="C248" i="1"/>
  <c r="C249" i="1"/>
  <c r="C250" i="1"/>
  <c r="C251" i="1"/>
  <c r="C252" i="1"/>
  <c r="C253" i="1"/>
  <c r="C254" i="1"/>
  <c r="C255" i="1"/>
  <c r="C259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1" i="1"/>
  <c r="C342" i="1"/>
  <c r="C343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9" i="1"/>
  <c r="C550" i="1"/>
  <c r="C551" i="1"/>
  <c r="C552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4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9" i="1"/>
  <c r="C971" i="1"/>
  <c r="C973" i="1"/>
  <c r="C974" i="1"/>
  <c r="C975" i="1"/>
  <c r="C976" i="1"/>
  <c r="C977" i="1"/>
  <c r="C978" i="1"/>
  <c r="C979" i="1"/>
  <c r="C980" i="1"/>
  <c r="C981" i="1"/>
  <c r="C982" i="1"/>
  <c r="C985" i="1"/>
  <c r="C986" i="1"/>
  <c r="C987" i="1"/>
  <c r="C988" i="1"/>
  <c r="C992" i="1"/>
  <c r="C996" i="1"/>
  <c r="C997" i="1"/>
  <c r="C998" i="1"/>
  <c r="C999" i="1"/>
  <c r="C1000" i="1"/>
  <c r="C1001" i="1"/>
  <c r="C1002" i="1"/>
  <c r="C1003" i="1"/>
  <c r="C1006" i="1"/>
  <c r="C1009" i="1"/>
  <c r="C1012" i="1"/>
  <c r="C1015" i="1"/>
  <c r="C1017" i="1"/>
  <c r="C1019" i="1"/>
  <c r="C1021" i="1"/>
  <c r="C1022" i="1"/>
  <c r="C1023" i="1"/>
  <c r="C1024" i="1"/>
  <c r="C1026" i="1"/>
  <c r="C1027" i="1"/>
  <c r="C1029" i="1"/>
  <c r="C1030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6" i="1"/>
  <c r="C1047" i="1"/>
  <c r="C1048" i="1"/>
  <c r="C1049" i="1"/>
  <c r="C1050" i="1"/>
  <c r="C1053" i="1"/>
  <c r="C1054" i="1"/>
  <c r="C1055" i="1"/>
  <c r="C1056" i="1"/>
  <c r="C1058" i="1"/>
  <c r="C1059" i="1"/>
  <c r="C1060" i="1"/>
  <c r="C1061" i="1"/>
  <c r="C1062" i="1"/>
  <c r="C1063" i="1"/>
  <c r="C1064" i="1"/>
  <c r="C1065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1" i="1"/>
  <c r="C1082" i="1"/>
  <c r="C1083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8" i="1"/>
  <c r="C1109" i="1"/>
  <c r="C1110" i="1"/>
  <c r="C1111" i="1"/>
  <c r="C1112" i="1"/>
  <c r="C1113" i="1"/>
  <c r="C1115" i="1"/>
  <c r="C1116" i="1"/>
  <c r="C1117" i="1"/>
  <c r="C1118" i="1"/>
  <c r="C1119" i="1"/>
  <c r="C1120" i="1"/>
  <c r="C1121" i="1"/>
  <c r="C1122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1" i="1"/>
  <c r="C1162" i="1"/>
  <c r="C1163" i="1"/>
  <c r="C1165" i="1"/>
  <c r="C1167" i="1"/>
  <c r="C1168" i="1"/>
  <c r="C1169" i="1"/>
  <c r="C1170" i="1"/>
  <c r="C1171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2" i="1"/>
  <c r="C1324" i="1"/>
  <c r="C1325" i="1"/>
  <c r="C1326" i="1"/>
  <c r="C1328" i="1"/>
  <c r="C1329" i="1"/>
  <c r="C1331" i="1"/>
  <c r="C1333" i="1"/>
  <c r="C1337" i="1"/>
  <c r="C1338" i="1"/>
  <c r="C1339" i="1"/>
  <c r="C1340" i="1"/>
  <c r="C1341" i="1"/>
  <c r="C1343" i="1"/>
  <c r="C1344" i="1"/>
</calcChain>
</file>

<file path=xl/sharedStrings.xml><?xml version="1.0" encoding="utf-8"?>
<sst xmlns="http://schemas.openxmlformats.org/spreadsheetml/2006/main" count="19192" uniqueCount="5294">
  <si>
    <t xml:space="preserve">Component                                                                                           </t>
  </si>
  <si>
    <t xml:space="preserve">Component name                                                                                      </t>
  </si>
  <si>
    <t xml:space="preserve">Note number                                                                                         </t>
  </si>
  <si>
    <t xml:space="preserve">Note version                                                                                        </t>
  </si>
  <si>
    <t xml:space="preserve">Note description                                                                                    </t>
  </si>
  <si>
    <t xml:space="preserve">Note priority                                                                                       </t>
  </si>
  <si>
    <t>AC</t>
  </si>
  <si>
    <t>Accounting General</t>
  </si>
  <si>
    <t>AC-COB</t>
  </si>
  <si>
    <t>Coding Block</t>
  </si>
  <si>
    <t>Operation field (VORNR_AUF) disappears from coding block</t>
  </si>
  <si>
    <t>Correction with high priority</t>
  </si>
  <si>
    <t>Foreign key check for customer field in FI fast entry</t>
  </si>
  <si>
    <t>Correction with low priority</t>
  </si>
  <si>
    <t>AC-INT</t>
  </si>
  <si>
    <t>Accounting Interface</t>
  </si>
  <si>
    <t>SG 105 for foreign currency valuation posting using BAPI</t>
  </si>
  <si>
    <t>Correction with medium priority</t>
  </si>
  <si>
    <t>BAPI: RW 619 for direct tax posting</t>
  </si>
  <si>
    <t>BAPI: Amount fields not filled in validation</t>
  </si>
  <si>
    <t>Error message 3G 473 in account assignment block check (II)</t>
  </si>
  <si>
    <t>Incorrect exchange rates with partial reversal from CRM</t>
  </si>
  <si>
    <t>RW 011 when navigating to FI subsequent document</t>
  </si>
  <si>
    <t>Adding the "Partial reversal" field to ACCIT</t>
  </si>
  <si>
    <t>Posting via BAPI without transaction currency</t>
  </si>
  <si>
    <t>REMOTE Flag Cannot be Maintained in View TTYP</t>
  </si>
  <si>
    <t>AC-INT-ECS</t>
  </si>
  <si>
    <t>Error Correction</t>
  </si>
  <si>
    <t>Error F5 693 during mass correction of amounts in ECS</t>
  </si>
  <si>
    <t>ECS: Errors from first-level check in incorrect ECS item</t>
  </si>
  <si>
    <t>GLE_UI_ECS 006 during correction posting in ECS</t>
  </si>
  <si>
    <t>ECS Hard Error leads to Soft Error:Posted Values not updated</t>
  </si>
  <si>
    <t>BC</t>
  </si>
  <si>
    <t>Basis Components</t>
  </si>
  <si>
    <t>BC-MUS</t>
  </si>
  <si>
    <t>Musing Tools</t>
  </si>
  <si>
    <t>BC-MUS-FPB</t>
  </si>
  <si>
    <t>Personalization Fram</t>
  </si>
  <si>
    <t>Dummy-Hinweis für CHECKMAN und ACCESSABILITY</t>
  </si>
  <si>
    <t>BC-SRV</t>
  </si>
  <si>
    <t>Basis Services/Communication Interfaces</t>
  </si>
  <si>
    <t>BC-SRV-GBT</t>
  </si>
  <si>
    <t>Please use subcomponents</t>
  </si>
  <si>
    <t>BC-SRV-GBT-DRB</t>
  </si>
  <si>
    <t>Document Relation</t>
  </si>
  <si>
    <t>DRB: FI and CO documents not found</t>
  </si>
  <si>
    <t>BW</t>
  </si>
  <si>
    <t>SAP Business Information Warehouse</t>
  </si>
  <si>
    <t>BW-BCT</t>
  </si>
  <si>
    <t>Business Content and Extractors</t>
  </si>
  <si>
    <t>BW-BCT-CO</t>
  </si>
  <si>
    <t>Controlling</t>
  </si>
  <si>
    <t>BW-BCT-CO-OM</t>
  </si>
  <si>
    <t>Overhead Cost Cont.</t>
  </si>
  <si>
    <t>CO-OM: External call of total DataSources</t>
  </si>
  <si>
    <t>BW-BCT-CO-PC</t>
  </si>
  <si>
    <t>Product Cost Control</t>
  </si>
  <si>
    <t>0CO_PC_PCP_03: materials missing in extract</t>
  </si>
  <si>
    <t>0CO_PC_PCP_10: Field KALNR is not transferred correctly</t>
  </si>
  <si>
    <t>DataSource 0CO_PC_PCP_20: No PCC cost estimates</t>
  </si>
  <si>
    <t>BW-BCT-FI</t>
  </si>
  <si>
    <t>Financial Accounting</t>
  </si>
  <si>
    <t>BW-BCT-FI-AA</t>
  </si>
  <si>
    <t>Asset Accounting</t>
  </si>
  <si>
    <t>0ASSET_ATTR_TEXT: Incomprehensible values for delta extracti</t>
  </si>
  <si>
    <t>0ASSET_ATTR_TEXT loads incorrect value in field LANGU (langu</t>
  </si>
  <si>
    <t>BW-BCT-FI-GL</t>
  </si>
  <si>
    <t>General Ledger</t>
  </si>
  <si>
    <t>Bad performance of 0FI_GL_14 for DB6</t>
  </si>
  <si>
    <t>0FI_GL_14: Direct access does not work correctly</t>
  </si>
  <si>
    <t>0FI_GL_14: Direct access not extracting some fields</t>
  </si>
  <si>
    <t>Program changes for exclusive lock in BW delta extraction</t>
  </si>
  <si>
    <t>Log function incorrect if multiple ADDD datasources used</t>
  </si>
  <si>
    <t>NewGL Totals Extractor: Ledger not filled</t>
  </si>
  <si>
    <t>0FI_GL_50: TSV_TNEW_PAGE_ALLOC_FAILED</t>
  </si>
  <si>
    <t>3FI_GL* Datasource enthält das Feld 'TIMESTAMP' nicht</t>
  </si>
  <si>
    <t>BW-BCT-FI-SL</t>
  </si>
  <si>
    <t>Special Purpose Ledg</t>
  </si>
  <si>
    <t>Unable to generate line item DataSource for ICR tables</t>
  </si>
  <si>
    <t>CA</t>
  </si>
  <si>
    <t>Cross-Application Components</t>
  </si>
  <si>
    <t>CA-BK</t>
  </si>
  <si>
    <t>Bank</t>
  </si>
  <si>
    <t>SEPA debit memos: Integration with HR</t>
  </si>
  <si>
    <t>CA-GTF</t>
  </si>
  <si>
    <t>General Application Functions</t>
  </si>
  <si>
    <t>CA-GTF-CSC</t>
  </si>
  <si>
    <t>Country specific application interface objects</t>
  </si>
  <si>
    <t>CA-GTF-CSC-DME</t>
  </si>
  <si>
    <t>Data Medium Exchange</t>
  </si>
  <si>
    <t>DMEE: performance improvement in DMEE_PROVIDE_ABA_FUNC</t>
  </si>
  <si>
    <t>CA-GTF-DRT</t>
  </si>
  <si>
    <t>Data Retention Tool</t>
  </si>
  <si>
    <t>New standard views for SD data</t>
  </si>
  <si>
    <t>Recommendations / Additional Info</t>
  </si>
  <si>
    <t>Missing Authorizations at company code in FTWF, FTWL</t>
  </si>
  <si>
    <t>FTW1A: SD billing documents when using FI-CA</t>
  </si>
  <si>
    <t>FTWH/FTWY: Termination DBIF_RSQL_SQL_ERROR in case of duplic</t>
  </si>
  <si>
    <t>CA-GTF-TS</t>
  </si>
  <si>
    <t>Technical Application Support</t>
  </si>
  <si>
    <t>CA-GTF-TS-BRHF</t>
  </si>
  <si>
    <t>Basis-rel. Help Func</t>
  </si>
  <si>
    <t>FAGL_BATCH_HEADING/RSBTCHH0: Problem when printing</t>
  </si>
  <si>
    <t>CA-MDG</t>
  </si>
  <si>
    <t>Master Data Governance</t>
  </si>
  <si>
    <t>CA-MDG-APP</t>
  </si>
  <si>
    <t>Applications</t>
  </si>
  <si>
    <t>CA-MDG-APP-FIN</t>
  </si>
  <si>
    <t>MDG Financials</t>
  </si>
  <si>
    <t>Error FBS_SE number 202 during company replication (LANGU)</t>
  </si>
  <si>
    <t>Error FBS_SE 202 during company replication CURR or CNTRY</t>
  </si>
  <si>
    <t>Enhancements in enterprise services for MDG-F 7.0</t>
  </si>
  <si>
    <t>CA-SUR</t>
  </si>
  <si>
    <t>Web Survey</t>
  </si>
  <si>
    <t>Checkman, other errors and marginal corrections</t>
  </si>
  <si>
    <t>CO</t>
  </si>
  <si>
    <t>Planning processor ignores lowercase for commercial unit</t>
  </si>
  <si>
    <t>CO-OM</t>
  </si>
  <si>
    <t>Hinweis für Korrekturen</t>
  </si>
  <si>
    <t>Minor change to documentation for BF FIN_CO_ORPLAN</t>
  </si>
  <si>
    <t>CO-OM tools: Outer join selection enhancement</t>
  </si>
  <si>
    <t>Batchman with logical file dump</t>
  </si>
  <si>
    <t>Fix duplicate lines issue in KSB5N</t>
  </si>
  <si>
    <t>CO-OM tools: Search function for drilldown</t>
  </si>
  <si>
    <t>CO-OM tools: technical enhancement SE16H - ALV on SAP HANA</t>
  </si>
  <si>
    <t>Syntax error in include LFCOM_MD_ORDERF02</t>
  </si>
  <si>
    <t>Support with MDG logic in CO-OM master data BAPIs</t>
  </si>
  <si>
    <t>HR interface: Read cost center texts</t>
  </si>
  <si>
    <t>CO-OM-ABC</t>
  </si>
  <si>
    <t>Activity-Based Costing</t>
  </si>
  <si>
    <t>CO-OM-ABC-F</t>
  </si>
  <si>
    <t>Period-end Closing</t>
  </si>
  <si>
    <t>Template allocation: Functional area not filled</t>
  </si>
  <si>
    <t>Transaction CTU6: Short dump with new template function</t>
  </si>
  <si>
    <t>Template maintenance: Error message DB 861</t>
  </si>
  <si>
    <t>CO-OM-ACT</t>
  </si>
  <si>
    <t>Activity Types</t>
  </si>
  <si>
    <t>CO-OM-ACT-A</t>
  </si>
  <si>
    <t>Master Data</t>
  </si>
  <si>
    <t>BAPI_ACTTYPE_CHANGEMULTIPLE: Several errors are not issued</t>
  </si>
  <si>
    <t>CO-OM-ACT-F</t>
  </si>
  <si>
    <t>Program RKSS0_KSS2: No detail lists in the spool</t>
  </si>
  <si>
    <t>Splittung nach Bewertungssicht - Behebung kleiner Fehler</t>
  </si>
  <si>
    <t>KSII: Wrong revaluation</t>
  </si>
  <si>
    <t>Missing cost component split</t>
  </si>
  <si>
    <t>Price calculation: CCS not updated in object currency</t>
  </si>
  <si>
    <t>COGM: revaluation of internal orders &amp; WBS elements</t>
  </si>
  <si>
    <t>CO-OM-CCA</t>
  </si>
  <si>
    <t>Cost Center Accounting</t>
  </si>
  <si>
    <t>CO-OM-CCA-A</t>
  </si>
  <si>
    <t>Error while trying to edit or refer cost center group</t>
  </si>
  <si>
    <t>KS12: Message FAGL_REORGANIZATION 601 without justification</t>
  </si>
  <si>
    <t>CO-OM-CCA-B</t>
  </si>
  <si>
    <t>Planning</t>
  </si>
  <si>
    <t>New planning applications in CO: check fixed/variable</t>
  </si>
  <si>
    <t>KP26: Undefined credit line is not deleted</t>
  </si>
  <si>
    <t>CO-OM-CCA-D</t>
  </si>
  <si>
    <t>Commitments</t>
  </si>
  <si>
    <t>Duplicate commitment entries following FB01 posting</t>
  </si>
  <si>
    <t>CO-OM-CCA-E</t>
  </si>
  <si>
    <t>Postings</t>
  </si>
  <si>
    <t>KbxxN: initial screen after posting with transaction variant</t>
  </si>
  <si>
    <t>Termination MESSAGE_TYPE_X in KB61 with K5011</t>
  </si>
  <si>
    <t>KB61: Termination DBIF_RSQL_INVALID_RSQL</t>
  </si>
  <si>
    <t>COGM real-time integration: Not all ledgers updated</t>
  </si>
  <si>
    <t>CO-OM-CCA-F</t>
  </si>
  <si>
    <t>Allocations: Incorrect entry for auxiliary account assignmt</t>
  </si>
  <si>
    <t>Allocations: Cumulation with statistical CO objects</t>
  </si>
  <si>
    <t>ALLOCATION: performance of WBS elements</t>
  </si>
  <si>
    <t>ALLOCATIONS: settings for detail list and journal</t>
  </si>
  <si>
    <t>ALLOCATIONS: Cost element group not taken into account</t>
  </si>
  <si>
    <t>Allocations: GA 776 in cumulation with statistical objects</t>
  </si>
  <si>
    <t>CO-OM-CCA-G</t>
  </si>
  <si>
    <t>Reporting, iViews</t>
  </si>
  <si>
    <t>Converted auxiliary objects in exit for customer fields</t>
  </si>
  <si>
    <t>CO-OM-CEL</t>
  </si>
  <si>
    <t>Cost Element Accounting</t>
  </si>
  <si>
    <t>CO-OM-CEL-A</t>
  </si>
  <si>
    <t>FS00: Cost elements are not created automatically</t>
  </si>
  <si>
    <t>CO-OM-CEL-E</t>
  </si>
  <si>
    <t>Msg "CO update locked" when creating forecast of revenue</t>
  </si>
  <si>
    <t>CO-OM-IS</t>
  </si>
  <si>
    <t>Infosystem, iViews</t>
  </si>
  <si>
    <t>Reports: Incorrect authorization check</t>
  </si>
  <si>
    <t>KAEP: Line item reporting w/ SAP HANA: not enough hits</t>
  </si>
  <si>
    <t>CCSS-Reporting on cost objects with all objects</t>
  </si>
  <si>
    <t>RWCOOM: Budget report displays incorrect budget data</t>
  </si>
  <si>
    <t>CO-OM-OPA</t>
  </si>
  <si>
    <t>Overhead Orders</t>
  </si>
  <si>
    <t>CO-OM-OPA-A</t>
  </si>
  <si>
    <t>AIAB: Settlement sender as receiver in distribution rule</t>
  </si>
  <si>
    <t>KZE2 message KA474 Enter fund, functional area or grant</t>
  </si>
  <si>
    <t>K_ORDER_SRULE_ADD</t>
  </si>
  <si>
    <t>Incorrect plant in distribution rule to material</t>
  </si>
  <si>
    <t>Display of archived order instead of internal order</t>
  </si>
  <si>
    <t>CO-OM-OPA-B</t>
  </si>
  <si>
    <t>Planning/budgeting: Unexplained values after totalling up</t>
  </si>
  <si>
    <t>CO-OM-OPA-C</t>
  </si>
  <si>
    <t>Budgeting</t>
  </si>
  <si>
    <t>Incorrect EM BP 671 upon activation of availability control</t>
  </si>
  <si>
    <t>No check for GR/service entry despite SAP Note 696362</t>
  </si>
  <si>
    <t>IM_AVCHANA_ORD/WBS: Dumps DBSQL_SQL_ERROR, MESSAGE_TYPE_X</t>
  </si>
  <si>
    <t>BPFCTRA0: Unjustified message 00208</t>
  </si>
  <si>
    <t>IM_AVCHANA_ORD/WBS: Dump SAPSQL_PARSE_ERROR</t>
  </si>
  <si>
    <t>Adjustments for calling function modules HDB_VIEW_DROP, HDB_</t>
  </si>
  <si>
    <t>CO-OM-OPA-D</t>
  </si>
  <si>
    <t>Test option for RKANBU01</t>
  </si>
  <si>
    <t>Commitment carried forward: no selection variant for all ord</t>
  </si>
  <si>
    <t>CO-OM-OPA-F</t>
  </si>
  <si>
    <t>Function area update in multilevel settlement.</t>
  </si>
  <si>
    <t>Overhead Calc/CK11n: Object Currency not filled -&amp;gt; WOGBTR</t>
  </si>
  <si>
    <t>Abrechnung von parallelen Herstellkosten (COGM)</t>
  </si>
  <si>
    <t>Overhead: Double overhead when PSM active and Fund deactive</t>
  </si>
  <si>
    <t>OHA: Cumulative overhead costing reads incorrect entries</t>
  </si>
  <si>
    <t>Double overhead posting due to COKEY attributes</t>
  </si>
  <si>
    <t>Overhead rates: User exit base does not display characterist</t>
  </si>
  <si>
    <t>Settlement of refurbishment orders: Price differences</t>
  </si>
  <si>
    <t>Overhead rates: slight correction for planned overheads</t>
  </si>
  <si>
    <t>OKGK: Entries not sorted by capitalization key</t>
  </si>
  <si>
    <t>Real-time ov.rates: COEP_ITEMS_FILL:"Balance not zero" error</t>
  </si>
  <si>
    <t>Overhead costs: No overheads for active PSM &amp; deactivated fu</t>
  </si>
  <si>
    <t>CO-OM-OPA-G</t>
  </si>
  <si>
    <t>KOB1: Termination MESSAGE_TYPE_X in SAPLKAEP</t>
  </si>
  <si>
    <t>CO-PA</t>
  </si>
  <si>
    <t>Profitab. analysis</t>
  </si>
  <si>
    <t>HDB CE4-Presearch</t>
  </si>
  <si>
    <t>HANA: Allocation: KEU5 ends with GA710 error</t>
  </si>
  <si>
    <t>Missing authorization check in CO-PA</t>
  </si>
  <si>
    <t>SLO: PA ledgers missing when copying CO-PA data</t>
  </si>
  <si>
    <t>KER1: Enable display authorization</t>
  </si>
  <si>
    <t>ALLOCATION: Segment texts are deleted</t>
  </si>
  <si>
    <t>KE91: Account-based profitability analysis</t>
  </si>
  <si>
    <t>KEDZ: CONVT_OVERFLOW</t>
  </si>
  <si>
    <t>KEHC: Checking the HDB replication</t>
  </si>
  <si>
    <t>KE1x,KE28: improvement of internal parameters handling.</t>
  </si>
  <si>
    <t>CO-PA-ACT</t>
  </si>
  <si>
    <t>Flow of actual value</t>
  </si>
  <si>
    <t>SETTLEMENT: wrong fix/variable in company code currency</t>
  </si>
  <si>
    <t>Allocation CO-PA: FAGL_COFI025 error issued</t>
  </si>
  <si>
    <t>KE28L - Recipient with initial tracing factor</t>
  </si>
  <si>
    <t>KE28L: Incorrect decimal places for sender/receiver</t>
  </si>
  <si>
    <t>Cross-company-code FI document only partially posted</t>
  </si>
  <si>
    <t>CO-PA-IS</t>
  </si>
  <si>
    <t>Information System</t>
  </si>
  <si>
    <t>KE30: Error message KE 515</t>
  </si>
  <si>
    <t>Performance optimization KE24 for account-based CO-PA</t>
  </si>
  <si>
    <t>Transport of reports/forms creates object R3TR KXOB</t>
  </si>
  <si>
    <t>CO-PA-MD</t>
  </si>
  <si>
    <t>KEAI: Display of differences between SD and FI</t>
  </si>
  <si>
    <t>CO-PA-SPP</t>
  </si>
  <si>
    <t>Sales/profit plan.</t>
  </si>
  <si>
    <t>KE1V - doubled values after transfer</t>
  </si>
  <si>
    <t>KE1x: Database locks in update tasks</t>
  </si>
  <si>
    <t>KE1A-KE1G: auth. check done against improper activity type.</t>
  </si>
  <si>
    <t>CO-PA-TO</t>
  </si>
  <si>
    <t>Tools</t>
  </si>
  <si>
    <t>Archiving of segment levels - performance</t>
  </si>
  <si>
    <t>COPAC_xxxx: preprocesing program not updated</t>
  </si>
  <si>
    <t>RKEREOCE4: No profitability segment is deactivated</t>
  </si>
  <si>
    <t>COPAC preprocessing: Authorization error</t>
  </si>
  <si>
    <t>Preprocessing with intervals does not work correctly</t>
  </si>
  <si>
    <t>COPAC preprocessing: DBIF_RSQL_INVALID_CURSOR</t>
  </si>
  <si>
    <t>CO-PC</t>
  </si>
  <si>
    <t>Product Cost Controlling</t>
  </si>
  <si>
    <t>CO-PC-ACT</t>
  </si>
  <si>
    <t>Actual Costing/M. L.</t>
  </si>
  <si>
    <t>Do not display error msg CKMLLA 102 for actual price zero</t>
  </si>
  <si>
    <t>Field Overflow with External Ending Inventory Valuation</t>
  </si>
  <si>
    <t>Error with closing entry in test run</t>
  </si>
  <si>
    <t>FCML: performance optimization during online update</t>
  </si>
  <si>
    <t>CO_ML_BEL: Performance for archiving documents of same year</t>
  </si>
  <si>
    <t>FCML: Price differences after CKMM</t>
  </si>
  <si>
    <t>FCML: Error in cost component split. The actual cost compone</t>
  </si>
  <si>
    <t>Missing cost component split for goods receipt (2)</t>
  </si>
  <si>
    <t>Error CKMLLA 100 in closing entry</t>
  </si>
  <si>
    <t>Long runtime in function module CKMS_BUFFER_GET</t>
  </si>
  <si>
    <t>FCML_CCS_REP - Doubled values</t>
  </si>
  <si>
    <t>CO-PC-ACT-WIP</t>
  </si>
  <si>
    <t>revaluation of WIP</t>
  </si>
  <si>
    <t>Error KJ(464) during WIP determination with KKAO or KKAX</t>
  </si>
  <si>
    <t>CO-PC-IS</t>
  </si>
  <si>
    <t>Info.Syst. CO-PC</t>
  </si>
  <si>
    <t>Production Version in CO Summarization of Cost Collectors</t>
  </si>
  <si>
    <t>Product Drilldown: Production Version for Cost Collectors</t>
  </si>
  <si>
    <t>KKRC/RKKRCO00: LOAD_PROGRAM_NOT_FOUND termination</t>
  </si>
  <si>
    <t>CO-PC-IS-MTO</t>
  </si>
  <si>
    <t>IS Prod.Cst. by SO</t>
  </si>
  <si>
    <t>Reporting: ASL calculation not supported correctly</t>
  </si>
  <si>
    <t>CO-PC-OBJ</t>
  </si>
  <si>
    <t>Cost Object Control.</t>
  </si>
  <si>
    <t>Overhead applicatn of orders despite debit/cr. indicator = L</t>
  </si>
  <si>
    <t>Order planned costs: timestamp not updated</t>
  </si>
  <si>
    <t>Results analysis for valuation views '5', '6' and '7'</t>
  </si>
  <si>
    <t>RA version for settlement in valuations 5,6 and 7</t>
  </si>
  <si>
    <t>Resetting and regeneration of the results analysis</t>
  </si>
  <si>
    <t>Overhead for debit is zero with balance that is not zero</t>
  </si>
  <si>
    <t>PKOSA: Missing target costs for overheads</t>
  </si>
  <si>
    <t>Overhead not calculated, no error message</t>
  </si>
  <si>
    <t>CO-PC-OBJ-ORD</t>
  </si>
  <si>
    <t>ProductCost by Order</t>
  </si>
  <si>
    <t>Message KD537/KD213 in settlement</t>
  </si>
  <si>
    <t>CO-PC-PCP</t>
  </si>
  <si>
    <t>Product Cost Plan.</t>
  </si>
  <si>
    <t>Incorrect goods receipt valuation after order split</t>
  </si>
  <si>
    <t>Product costing rework: overhead rates</t>
  </si>
  <si>
    <t>Costing: internal activities without values in itemization</t>
  </si>
  <si>
    <t>CKAPP03: only sales orders with a status object processed</t>
  </si>
  <si>
    <t>Cost estimate: Message CK869 when displaying itemization</t>
  </si>
  <si>
    <t>Error message CK468 for operation with subcontracting</t>
  </si>
  <si>
    <t>Incorrect price quantity unit in costing II</t>
  </si>
  <si>
    <t>CK457: error in planned cost calculation for prod. order</t>
  </si>
  <si>
    <t>Dump CL_SPECIAL_FUNCTIONS_CK, CALL_FUNCTION_CONFLICT_LENG</t>
  </si>
  <si>
    <t>No profit center for planned overhead for network activity</t>
  </si>
  <si>
    <t>ILM enablement for archiving object CO_COPC</t>
  </si>
  <si>
    <t>Error message CK 457 when determining order credit</t>
  </si>
  <si>
    <t>Sales order costing: status KA although total value &amp;lt; 0</t>
  </si>
  <si>
    <t>Order BOM cost estimate: Nav. to sales document not possible</t>
  </si>
  <si>
    <t>Checkman im SAP_FIN</t>
  </si>
  <si>
    <t>Problems/dump when importing SAP Note 1875407</t>
  </si>
  <si>
    <t>BAPI_COSTESTIMATE_GETEXPLOSION: performance issues</t>
  </si>
  <si>
    <t>CO-PC-PCP-PRU</t>
  </si>
  <si>
    <t>Price Updates</t>
  </si>
  <si>
    <t>BAPIs for marking/price change: incorrect value in ERROR</t>
  </si>
  <si>
    <t>BAPI_COSTESTIMATE_MARKING: Periods not taken into account</t>
  </si>
  <si>
    <t>CO-PC-PCP-REF</t>
  </si>
  <si>
    <t>Ref.a.SimulationCstg</t>
  </si>
  <si>
    <t>CJ9ECP, CJ20N: Incorr totals for display of ECP for project</t>
  </si>
  <si>
    <t>ECP: dump for Drag&amp;Drop</t>
  </si>
  <si>
    <t>CO-PC-PCP-WOQ</t>
  </si>
  <si>
    <t>Prod.Cstg w/oQtyStr.</t>
  </si>
  <si>
    <t>CK74N, KKPAN: error message GM020; version not defined</t>
  </si>
  <si>
    <t>Unit costing: stock transfer from a different company code</t>
  </si>
  <si>
    <t>CO-PC-PCP-WQS</t>
  </si>
  <si>
    <t>Prod.Cstg w/Qty Str.</t>
  </si>
  <si>
    <t>CK11N: Termination with exception KEKO_NOT_FOUND</t>
  </si>
  <si>
    <t>Calculation: Text in log display not specific enough</t>
  </si>
  <si>
    <t>Termination BCD_FIELD_OVERFLOW during costing</t>
  </si>
  <si>
    <t>Sales order costing: Cancellation date is incorrect</t>
  </si>
  <si>
    <t>CRM</t>
  </si>
  <si>
    <t>Customer Relationship Management</t>
  </si>
  <si>
    <t>CRM-BE</t>
  </si>
  <si>
    <t>Billing</t>
  </si>
  <si>
    <t>CRM-BE-FI</t>
  </si>
  <si>
    <t>Transf.to Accounting</t>
  </si>
  <si>
    <t>Very large SL documents when posting via CRM billing</t>
  </si>
  <si>
    <t>CRM-BF</t>
  </si>
  <si>
    <t>Basic Functions</t>
  </si>
  <si>
    <t>CRM-BF-TAX</t>
  </si>
  <si>
    <t>Tax Determination</t>
  </si>
  <si>
    <t>Tax Number Architecture</t>
  </si>
  <si>
    <t>CRM-IC</t>
  </si>
  <si>
    <t>Interaction Center WebClient</t>
  </si>
  <si>
    <t>CRM-IC-ACO</t>
  </si>
  <si>
    <t>Accounting</t>
  </si>
  <si>
    <t>Shared Service Request from Transaction MIR4: Fiscal Year</t>
  </si>
  <si>
    <t>CRM-IM</t>
  </si>
  <si>
    <t>Media</t>
  </si>
  <si>
    <t>CRM-IM-IPM</t>
  </si>
  <si>
    <t>Int.Prop. Management</t>
  </si>
  <si>
    <t>The payment amount is multiplied when applying payment</t>
  </si>
  <si>
    <t>EC</t>
  </si>
  <si>
    <t>Enterprise Controlling</t>
  </si>
  <si>
    <t>EC-CS</t>
  </si>
  <si>
    <t>Legal Consolidation</t>
  </si>
  <si>
    <t>EC-CS-CSF</t>
  </si>
  <si>
    <t>Consolidation Functions</t>
  </si>
  <si>
    <t>EC-CS-CSF-J</t>
  </si>
  <si>
    <t>Consolidation of inv</t>
  </si>
  <si>
    <t>Goodwill amortization missing after step acquisition</t>
  </si>
  <si>
    <t>EC-CS-INT</t>
  </si>
  <si>
    <t>Data Transfer/int.</t>
  </si>
  <si>
    <t>Update: Default business area is not set</t>
  </si>
  <si>
    <t>F4 for rollup in transaction FAGLSL25 displays no values</t>
  </si>
  <si>
    <t>EC-CS-IS</t>
  </si>
  <si>
    <t>Navigation to FI document ends up with an error</t>
  </si>
  <si>
    <t>Missing authorization check in EC-CS</t>
  </si>
  <si>
    <t>EC-EIS</t>
  </si>
  <si>
    <t>Executive Information System</t>
  </si>
  <si>
    <t>EC-EIS-DB</t>
  </si>
  <si>
    <t>Database</t>
  </si>
  <si>
    <t>Dummy note for deletion of Program RKCDMREF</t>
  </si>
  <si>
    <t>EC-EIS: Buffering of number range object</t>
  </si>
  <si>
    <t>EC-EIS: Hierarchy processing in IS-B</t>
  </si>
  <si>
    <t>EC-EIS-DCM</t>
  </si>
  <si>
    <t>Data Collection</t>
  </si>
  <si>
    <t>EC-EIS: Generated structures for data transfer</t>
  </si>
  <si>
    <t>EC-EIS-DD</t>
  </si>
  <si>
    <t>Interactive Report.</t>
  </si>
  <si>
    <t>WRITE_TO_OFFSET_TOOLARGE - via EIS_REPORT_NAVIGATE_COMPLEX</t>
  </si>
  <si>
    <t>Fiscal-year-dependent period text during navigation</t>
  </si>
  <si>
    <t>Message KH 058 during navigation</t>
  </si>
  <si>
    <t>ASSIGN_TYPE_ILLEGAL_CAST during download to appl. server</t>
  </si>
  <si>
    <t>Wrong codepage used during download to appl. server</t>
  </si>
  <si>
    <t>KE39: Deletion of frozen data does not delete COIX_DATA40</t>
  </si>
  <si>
    <t>EC-PCA</t>
  </si>
  <si>
    <t>Profit Center Accounting</t>
  </si>
  <si>
    <t>EC-PCA-ACT</t>
  </si>
  <si>
    <t>Actual Data</t>
  </si>
  <si>
    <t>EC-PCA-ACT-AL</t>
  </si>
  <si>
    <t>Allocations</t>
  </si>
  <si>
    <t>Allocations: Result overview shows non-existing documents</t>
  </si>
  <si>
    <t>EC-PCA-ACT-EN</t>
  </si>
  <si>
    <t>Direct Data Entry</t>
  </si>
  <si>
    <t>9KE0: Customizing check of partner profit center is too stri</t>
  </si>
  <si>
    <t>EC-PCA-ACT-PE</t>
  </si>
  <si>
    <t>Periodic Data Transf</t>
  </si>
  <si>
    <t>1KEJ: "Create opening balance" also posts in test run</t>
  </si>
  <si>
    <t>EC-PCA-IS</t>
  </si>
  <si>
    <t>KE5Z: Set filters for object classes</t>
  </si>
  <si>
    <t>EC-PCA-MD</t>
  </si>
  <si>
    <t>Profit center check: Control of buffer reset</t>
  </si>
  <si>
    <t>UC_OBJECTS_NOT_CONVERTIBLE when creating authorization role</t>
  </si>
  <si>
    <t>PRCMAS: "Verantwortlicher Benutzer" fehlt in IDoc</t>
  </si>
  <si>
    <t>EC-PCA-PLN</t>
  </si>
  <si>
    <t>Planning Data</t>
  </si>
  <si>
    <t>BAPI_COSTACTPLN_POSTPRIMCOST does not return the error</t>
  </si>
  <si>
    <t>1KE0 - Long runtime when transfering profitability segments</t>
  </si>
  <si>
    <t>EP</t>
  </si>
  <si>
    <t>Enterprise Portal</t>
  </si>
  <si>
    <t>EP-PCT</t>
  </si>
  <si>
    <t>Portal Content</t>
  </si>
  <si>
    <t>EP-PCT-MGR</t>
  </si>
  <si>
    <t>Manager functionality</t>
  </si>
  <si>
    <t>EP-PCT-MGR-CO</t>
  </si>
  <si>
    <t>BP for MSS FI</t>
  </si>
  <si>
    <t>0CO_OM_CCA_P_AUTH returns incorrect intervals</t>
  </si>
  <si>
    <t>FI</t>
  </si>
  <si>
    <t>FI-AA</t>
  </si>
  <si>
    <t>OVERFLOW runtime error at fiscal year change</t>
  </si>
  <si>
    <t>ILM Enabling AM_ASSET</t>
  </si>
  <si>
    <t>Doku/IMG: FI-AA (neu) Doppelpflege EHP8/7</t>
  </si>
  <si>
    <t>S2I: Changes to programs SAPMF05A and SAPMF05L</t>
  </si>
  <si>
    <t>S2I: Changes for working with worklists</t>
  </si>
  <si>
    <t>S2I: Changes to objects in package AA_BAS_CUS_SFWS</t>
  </si>
  <si>
    <t>S2I: Changes to function group AMDP</t>
  </si>
  <si>
    <t>S2I: Changes in program F110SFB0_BELEG_ERZEUGEN</t>
  </si>
  <si>
    <t>S2I: Changes to class CL_FAA_CFG_SERVICES</t>
  </si>
  <si>
    <t>S2I: Enhancements to interfaces IF_FAA_...</t>
  </si>
  <si>
    <t>S2I: Changes to function groups AMIN and FAA_RWIN</t>
  </si>
  <si>
    <t>S2I: Changes in master data maintenance and legacy data tran</t>
  </si>
  <si>
    <t>S2I: Changes to function group FACI</t>
  </si>
  <si>
    <t>FI-AA-AA</t>
  </si>
  <si>
    <t>IMS: Capital lease special G/L indicator</t>
  </si>
  <si>
    <t>S2I: Changes to function group AMFA</t>
  </si>
  <si>
    <t>S2I: ABAP Dictionary objects for SAP Note 1896292</t>
  </si>
  <si>
    <t>S2I: Changes for settlement</t>
  </si>
  <si>
    <t>S2I: EA-FIN und SAP_FIN 617 - Techn. Hinweis wg. Downport</t>
  </si>
  <si>
    <t>S2I: DDIC, ABAP objects for S2I notes</t>
  </si>
  <si>
    <t>Short dump: SYNTAX_ERROR in program SAPLACC5</t>
  </si>
  <si>
    <t>S2I: Changes to logical database ADA</t>
  </si>
  <si>
    <t>S2I: Changes to Customizing objects</t>
  </si>
  <si>
    <t>FI-AA-AA-A</t>
  </si>
  <si>
    <t>Maint. of rem. no. of units: Incorr. values in subs. periods</t>
  </si>
  <si>
    <t>SV 043 when maintaining simulation variants</t>
  </si>
  <si>
    <t>Derivation of profit centre: BAdI for control</t>
  </si>
  <si>
    <t>AuC: Derivation of profit center and segment</t>
  </si>
  <si>
    <t>Fields to be reconciled not visible in AAPM synchronization</t>
  </si>
  <si>
    <t>Error AIST001 for ANLH-ANLHTXT when creating fixed asset fro</t>
  </si>
  <si>
    <t>Substitution w/ prerequisite ANLB not executed</t>
  </si>
  <si>
    <t>AAPM: Error IS 806 when creating subnumbers</t>
  </si>
  <si>
    <t>AS11: Not all intervals of time-dependent data transferred t</t>
  </si>
  <si>
    <t>RAARCH01 - AuCs for investment measures deleted</t>
  </si>
  <si>
    <t>FI-AA-AA-B</t>
  </si>
  <si>
    <t>Transaction Figures</t>
  </si>
  <si>
    <t>Posting to a prior period in closed fiscal years</t>
  </si>
  <si>
    <t>The AuC settlement does not update line items in asset value</t>
  </si>
  <si>
    <t>FI-AA-AA-C</t>
  </si>
  <si>
    <t>Transactions</t>
  </si>
  <si>
    <t>Document header text incorrect for asset postings III</t>
  </si>
  <si>
    <t>Settlement to asset under construction: Dump COLLECT_OVERFLO</t>
  </si>
  <si>
    <t>F110: Error AAPO 219 in down payment clearing</t>
  </si>
  <si>
    <t>AU 102 when changing an asset master record</t>
  </si>
  <si>
    <t>F5 702 for settlement to G/L acc. and addtnl acc. assignment</t>
  </si>
  <si>
    <t>Settlement: runtime error COLLECT_OVERFLOW_TYPE_P</t>
  </si>
  <si>
    <t>Posting to asset: Terminatn SAPSQL_ARRAY_INSERT_DUPREC ANLC</t>
  </si>
  <si>
    <t>Termination AA 816 after entry of transaction type in postin</t>
  </si>
  <si>
    <t>AA571 not triggered during settlement of Investment Measures</t>
  </si>
  <si>
    <t>FF 716 Error in assigning the tax group</t>
  </si>
  <si>
    <t>Asset retirement posting: Poor performance</t>
  </si>
  <si>
    <t>FBA7: Error AA 444 without reason</t>
  </si>
  <si>
    <t>S2I: Write-up from gains/losses for retirement</t>
  </si>
  <si>
    <t>FI-AA-AA-D</t>
  </si>
  <si>
    <t>Net Worth Tax</t>
  </si>
  <si>
    <t>Changeover to phase that does not aut.calculate depreciation</t>
  </si>
  <si>
    <t>Termination when deactivating area in asset class</t>
  </si>
  <si>
    <t>Deleting a depreciation area: Dependent tables still exist</t>
  </si>
  <si>
    <t>BC set for account maintenance: Error message ACC_AA 23</t>
  </si>
  <si>
    <t>IMS: OABC aborts with warning</t>
  </si>
  <si>
    <t>Account can be maintained in display mode</t>
  </si>
  <si>
    <t>FI-AA-AA-E</t>
  </si>
  <si>
    <t>Periodic Posting</t>
  </si>
  <si>
    <t>Schedule Monitor: RAPOST2000 with termination message</t>
  </si>
  <si>
    <t>Direct posting: Error AA 481</t>
  </si>
  <si>
    <t>Error during fiscal year change - fixed assets not switched</t>
  </si>
  <si>
    <t>RAKOPL02: Termination with message number AB18</t>
  </si>
  <si>
    <t>FI-AA-AA-H</t>
  </si>
  <si>
    <t>Revaluation</t>
  </si>
  <si>
    <t>Impairment posting: AB 173 when using BAdI</t>
  </si>
  <si>
    <t>FI-AA-IS</t>
  </si>
  <si>
    <t>Reporting: Selecting assets from worklist</t>
  </si>
  <si>
    <t>RAAEND01: Runtime is slower in ERP 6.0</t>
  </si>
  <si>
    <t>BW - determination of asset bal. sh. acc. frm parallel areas</t>
  </si>
  <si>
    <t>No depreciation vals displayed in transact data reports (II)</t>
  </si>
  <si>
    <t>Totals list: Display of individual list for group level</t>
  </si>
  <si>
    <t>Worklist: No information about posting dates</t>
  </si>
  <si>
    <t>RASIMU_ALV01: runtime error for depreciation area "*"</t>
  </si>
  <si>
    <t>AW01N branch to depreciation log</t>
  </si>
  <si>
    <t>Reporting - hidden fields in ALV list</t>
  </si>
  <si>
    <t>Reporting - runtime error UNCAUGHT_EXCEPTION</t>
  </si>
  <si>
    <t>RAGITT_ALV01 - missing transactions</t>
  </si>
  <si>
    <t>Reporting - No profit center from IMKEY</t>
  </si>
  <si>
    <t>RASIMU_ALV01 -  changes to asset value display</t>
  </si>
  <si>
    <t>Incorrect net book value for posted depreciations</t>
  </si>
  <si>
    <t>RAGITT_ALV01: No retirement simulation for posted values</t>
  </si>
  <si>
    <t>RASIMU_ALV01 annual values in the wrong fiscal years</t>
  </si>
  <si>
    <t>Reporting - missing assets</t>
  </si>
  <si>
    <t>The Changes to Special Reserves report - Incorrect setting/w</t>
  </si>
  <si>
    <t>RASIMU - Incorrect depreciation calculation with planned ret</t>
  </si>
  <si>
    <t>Reporting - Quantity totaling not acc. to unit of measure</t>
  </si>
  <si>
    <t>AW01N - no display of the related objects</t>
  </si>
  <si>
    <t>FI-AF</t>
  </si>
  <si>
    <t>Additional Functions</t>
  </si>
  <si>
    <t>FI-AF-PEO</t>
  </si>
  <si>
    <t>Partly Exempt Org.</t>
  </si>
  <si>
    <t>PEO: Asset Is in Process by User</t>
  </si>
  <si>
    <t>PEO: Balance Is not Zero in FB05</t>
  </si>
  <si>
    <t>FI-AP</t>
  </si>
  <si>
    <t>Accounts Payable</t>
  </si>
  <si>
    <t>Invoice Journal: Clarification Text BAdI Help</t>
  </si>
  <si>
    <t>FI-AP-AP</t>
  </si>
  <si>
    <t>FI-AP-AP-A</t>
  </si>
  <si>
    <t>Pstng/Clrg/SpecG.Led</t>
  </si>
  <si>
    <t>ME2DP/FPDP_CREATE: Deleted and statistical items</t>
  </si>
  <si>
    <t>FB01: Payment terms not transferred correctly</t>
  </si>
  <si>
    <t>FB02/ALV list: ZFBDT is always ready for input</t>
  </si>
  <si>
    <t>MIRO: Due date determined incorrectly</t>
  </si>
  <si>
    <t>ENJOY: IBAN&amp;BIC display in ENJOY transactions</t>
  </si>
  <si>
    <t>FI: BVTYP can be selected in simulation using F4 input help</t>
  </si>
  <si>
    <t>FB01/Installment payment: ZFBDT is not set correctly</t>
  </si>
  <si>
    <t>FBA8: Message FPDP_DOWN_PAYMENTS 020 is incorrect</t>
  </si>
  <si>
    <t>EnjoySAP: Changes in dealing with ZFBDT</t>
  </si>
  <si>
    <t>FB02/FB03: Alt. ref.no. not displayed in ALV list display</t>
  </si>
  <si>
    <t>ENJOY: Manually entered local currency not considered</t>
  </si>
  <si>
    <t>EnjoySAP: Transaction text is incorrect</t>
  </si>
  <si>
    <t>FB60:Proposal for MWSKZ although rec. acct not tax-relev. II</t>
  </si>
  <si>
    <t>ENJOY: IBAN&amp;BIC display in ENJOY transactions II</t>
  </si>
  <si>
    <t>F-58 check printing: Referece of invoice for partial payment</t>
  </si>
  <si>
    <t>FB02/ind. payee: BSEC not deleted</t>
  </si>
  <si>
    <t>Down payments: Operation for non-OLC-relevant orders</t>
  </si>
  <si>
    <t>FI-AP-AP-B</t>
  </si>
  <si>
    <t>Payment prg. /trnsf.</t>
  </si>
  <si>
    <t>F110/F111: House Bank IBAN</t>
  </si>
  <si>
    <t>F110: Update BSE_CLR for Down Payment on Request</t>
  </si>
  <si>
    <t>FBZ0/FBZ8: Text Correction</t>
  </si>
  <si>
    <t>F110: "Create Lists" indicator only in proposal run</t>
  </si>
  <si>
    <t>F110: Withholding tax not calculated correctly</t>
  </si>
  <si>
    <t>F110: Incorrect grouping for payment per due day</t>
  </si>
  <si>
    <t>RFZALI20: Corrections to SAP Note 1704184</t>
  </si>
  <si>
    <t>FBZP: Input help for payt method in bank selection incorrect</t>
  </si>
  <si>
    <t>SEPA: Supporting COR1 (2. Customizing)</t>
  </si>
  <si>
    <t>Check for inconsistencies when creating a payment run</t>
  </si>
  <si>
    <t>SEPA: Supporting COR1 (4. Payment medium)</t>
  </si>
  <si>
    <t>FBZ0: SEPA sequence type in payment data</t>
  </si>
  <si>
    <t>SEPA: Supporting COR1 (3. Payment programs F110/F111)</t>
  </si>
  <si>
    <t>SEPA: Supporting COR1 (1. Preparation note)</t>
  </si>
  <si>
    <t>PRL: Assignment to non-existent list is possible</t>
  </si>
  <si>
    <t>F110/SEPA sequence type for direct debit pre-notifications</t>
  </si>
  <si>
    <t>FIN_PRL:  Prozessschnittstelle 00001811 (intern verwendet)</t>
  </si>
  <si>
    <t>RFZALI20: IBAN of house bank not included in totals list II.</t>
  </si>
  <si>
    <t>F110/SEPA: Termination due to invalid factory calendar</t>
  </si>
  <si>
    <t>F110: Runtime error COLLECT_OVERFLOW</t>
  </si>
  <si>
    <t>SEPA: Unnecessary logging of used one-time mandates</t>
  </si>
  <si>
    <t>FBZ0: Display error after maintenance of the proposal run</t>
  </si>
  <si>
    <t>SEPA F110 - BAdI for mandate selection per item</t>
  </si>
  <si>
    <t>F110/SEPA: Individual payee for lease-outs</t>
  </si>
  <si>
    <t>PMW: IBAN of house bank not included in payment summary</t>
  </si>
  <si>
    <t>F110: Error during clearing of payment requests</t>
  </si>
  <si>
    <t>F110: Error after execution of BTE 1830</t>
  </si>
  <si>
    <t>V_T042B: Text "Vendor" instead of "Creditor identifier"</t>
  </si>
  <si>
    <t>FBZP: Unable to delete clearing account</t>
  </si>
  <si>
    <t>Tax number is not unique; FZ 529</t>
  </si>
  <si>
    <t>FBZ0: Number of proposed payments is not correct</t>
  </si>
  <si>
    <t>F110: House bank is missing in the clearing item</t>
  </si>
  <si>
    <t>SEPA F110: BAdI example implementation (for example, cont)</t>
  </si>
  <si>
    <t>F110/PPA: Calculation of penalty interest</t>
  </si>
  <si>
    <t>F110/FBZ0 maintenance of proposal run after sensitive change</t>
  </si>
  <si>
    <t>Exchange rate differences in group currency during vendor pa</t>
  </si>
  <si>
    <t>F110/F111/SEPA: Duplicate first usage (FRST) due to lock</t>
  </si>
  <si>
    <t>FBZ0/SEPA: Error in maintenance of the proposal run</t>
  </si>
  <si>
    <t>F110/F111: Supplement to BAdI SAPF110S_SEPA_ADD_DAYS_ADJUST</t>
  </si>
  <si>
    <t>F110/PRL: PRL Cash discount data in payment program</t>
  </si>
  <si>
    <t>F110/SEPA: Posting period check for direct debit pre-notif.</t>
  </si>
  <si>
    <t>SEPA direct debit pre-notifications with incorrect +/- sign</t>
  </si>
  <si>
    <t>Payment Release List: no change to item status for clearing</t>
  </si>
  <si>
    <t>Accounts receivable pledging indicator is not transferred</t>
  </si>
  <si>
    <t>F110: "Create Lists" function is not provided</t>
  </si>
  <si>
    <t>F110: Inconsistencies between selected house bank and pstng</t>
  </si>
  <si>
    <t>F110: Error when using splitting amount</t>
  </si>
  <si>
    <t>SEPA/F110 Incomprehensible message FZ796</t>
  </si>
  <si>
    <t>FI-AP-AP-B1</t>
  </si>
  <si>
    <t>Payment transfer</t>
  </si>
  <si>
    <t>Ireland RCT - Payment Proposal Enhancement</t>
  </si>
  <si>
    <t>PT-CBR: Portugal Central Bank Reporting</t>
  </si>
  <si>
    <t>RFFONO_T: Error after the application of note 1820817</t>
  </si>
  <si>
    <t>PL: RFFOPL_OVRDUE_INV: Poland Overdue Invoices Report</t>
  </si>
  <si>
    <t>CH_EZAG: Transaction 37 not populated in the output DME file</t>
  </si>
  <si>
    <t>RFFOIT_B:BONIF format SEPA compliant</t>
  </si>
  <si>
    <t>Italy CUP/CIG: FM GET_CUP_CIG_IT Performance Issues</t>
  </si>
  <si>
    <t>RFEBNO00: Error while converting bank account number</t>
  </si>
  <si>
    <t>RFFOJP_L: Additional correction to note 1858211</t>
  </si>
  <si>
    <t>RFFOPT_CBR: Changes for the SDR curr and foreign transaction</t>
  </si>
  <si>
    <t>RFFOGB_T: RTI information passed wrongly to Non-RTI payments</t>
  </si>
  <si>
    <t>RFFOJP_L: DME File created in server when program terminates</t>
  </si>
  <si>
    <t>RFFOF__T:Date displayed as zeros if it's blank</t>
  </si>
  <si>
    <t>RFFOPT_CBR: ISO code changes</t>
  </si>
  <si>
    <t>RFIDATEB00:F4 help provided for codepage on selection screen</t>
  </si>
  <si>
    <t>FBWE: Time out error occured for Bills of Exchange Italy</t>
  </si>
  <si>
    <t>RFFOJP_L: Legal Change for Special Message to Bank</t>
  </si>
  <si>
    <t>RFEBNORDIC: Payment order not retreived from BANSTA file</t>
  </si>
  <si>
    <t>V3_IZV: Incorrect values populated in nodes 3412 &amp; 3413</t>
  </si>
  <si>
    <t>RFFOPT_CBR: Vat Reg No. and Register ID fields in XML file</t>
  </si>
  <si>
    <t>RFESR000: Field 'KUNNR' not being filled for cleared items</t>
  </si>
  <si>
    <t>RFFOHK_A:Incorrect bank account selected for the Employee</t>
  </si>
  <si>
    <t>RFFOPT_CBR: G/L Balances has to be reported</t>
  </si>
  <si>
    <t>RFFOIT_FOR:Incorrect DME split because of currency differenc</t>
  </si>
  <si>
    <t>HR_MBB_SAL:Leading space for old IC number not removed</t>
  </si>
  <si>
    <t>RFIDATEB00: Short dump for empty Debmul/Cremul files</t>
  </si>
  <si>
    <t>RFFOM100:IC number not coming for retired employees</t>
  </si>
  <si>
    <t>RFFOJP_L:Beneficiary's address not passed in the DME file</t>
  </si>
  <si>
    <t>CUP/CIG:Bank details not fetched during Automatic Payments</t>
  </si>
  <si>
    <t>FI-AP-AP-G</t>
  </si>
  <si>
    <t>Cl. Ops./Period-End</t>
  </si>
  <si>
    <t>RFBNUM10: Document with several open items</t>
  </si>
  <si>
    <t>Program SAPF130K_PDF</t>
  </si>
  <si>
    <t>FI-AP-AP-J</t>
  </si>
  <si>
    <t>Int./Acc.Interface</t>
  </si>
  <si>
    <t>FOIQ: Withholding tax base amt for classic WT is incorrect</t>
  </si>
  <si>
    <t>FF 753 after Direct Tax Posting using BAPI</t>
  </si>
  <si>
    <t>Change to one-time data using FI_DOCUMENT_CHANGE</t>
  </si>
  <si>
    <t>Down payment clearing for GR: Incorrect invoice reference ty</t>
  </si>
  <si>
    <t>Error F5 650 issued in an ALE sender system</t>
  </si>
  <si>
    <t>MIRO: LWSTE and LWBAS incorrect for down payment clearing</t>
  </si>
  <si>
    <t>F5 265 for posting to alternative payee</t>
  </si>
  <si>
    <t>KIDNO calculation in modulo 11 procedure for Norway</t>
  </si>
  <si>
    <t>Problems with direct tax posting using BAPI</t>
  </si>
  <si>
    <t>FI-AP-AP-M</t>
  </si>
  <si>
    <t>Ext. Interfaces</t>
  </si>
  <si>
    <t>INVOIC/FBV1: Error message FD 191 when item amount is 0</t>
  </si>
  <si>
    <t>FI-AP-AP-N</t>
  </si>
  <si>
    <t>RFKKVZ00/RFDKVZ00: Display irregularities page 2 and follow.</t>
  </si>
  <si>
    <t>Change documents for contact persons</t>
  </si>
  <si>
    <t>No display of archived change documents</t>
  </si>
  <si>
    <t>Incorrect company code is transferred to the mandate</t>
  </si>
  <si>
    <t>F110/F111/SEPA: Runtime error CALL_FUNCTION_PARM_UNKNOWN</t>
  </si>
  <si>
    <t>FSEPA_M4: F4 input help for paying company code</t>
  </si>
  <si>
    <t>FI-AP-AP-Q</t>
  </si>
  <si>
    <t>WithholdingTax(Calc)</t>
  </si>
  <si>
    <t>Change of section code parameter of the note:1820571</t>
  </si>
  <si>
    <t>Change of section code parameter of the note:1727705</t>
  </si>
  <si>
    <t>FB60: Withholding tax missing when you repeat the simulation</t>
  </si>
  <si>
    <t>FI-AP-AP-Q1</t>
  </si>
  <si>
    <t>WithholdingTax(Rptg)</t>
  </si>
  <si>
    <t>Dummy Note</t>
  </si>
  <si>
    <t>RF0KQST5 Corrections to file format</t>
  </si>
  <si>
    <t>RFIDYYWT : Corrections to Thailand Withholding tax forms</t>
  </si>
  <si>
    <t>RF0KQST5- Wrong amounts are getting displayed</t>
  </si>
  <si>
    <t>RFIDYYWT:Issues with US reporting</t>
  </si>
  <si>
    <t>Colombia Legal Change for Withholding Tax adjustment</t>
  </si>
  <si>
    <t>IE_RCT_UPDATE:Automatic updation of payment block</t>
  </si>
  <si>
    <t>RFIDYYWT: Error in one-time vendor for Belgium</t>
  </si>
  <si>
    <t>RFIDYYWT-Error in Reporting of Down Payments and Invoices</t>
  </si>
  <si>
    <t>IE RCT Tax Registration Number Check-Correction</t>
  </si>
  <si>
    <t>Philippines Legal Change- Addition of official key WI 142</t>
  </si>
  <si>
    <t>RFIDYYWT-Tax number(STENR) is not getting reported</t>
  </si>
  <si>
    <t>RF0KQST5: Wrong amount for position 21 in file output</t>
  </si>
  <si>
    <t>J_1HDTAX:Multiple issues in case of partial payment document</t>
  </si>
  <si>
    <t>RF0KQST5: 19 and 23 position should be right aligned in file</t>
  </si>
  <si>
    <t>RF0KQST5:Withholding tax base amount is incorrectly reported</t>
  </si>
  <si>
    <t>RF0KQST5: WHT base amount is incorrect across fiscal years</t>
  </si>
  <si>
    <t>RF0KQST5:WHT base amount is incorrect in case of credit memo</t>
  </si>
  <si>
    <t>RF0KQST5:Documents reported incorrectly incase of user-exits</t>
  </si>
  <si>
    <t>J_1HDTAX: Incorrect base amount in case of partial payment</t>
  </si>
  <si>
    <t>RF0KQST5: Wrong amount for position 25 in file</t>
  </si>
  <si>
    <t>FI-AP-AP-W</t>
  </si>
  <si>
    <t>Pre Posting/Workflow</t>
  </si>
  <si>
    <t>FBV0/BKPFF: Message 00349 for extended withholding tax</t>
  </si>
  <si>
    <t>FBV0: No posting possible due to message FP 148</t>
  </si>
  <si>
    <t>ENJOY: PROPDER is ready for input even though not active</t>
  </si>
  <si>
    <t>FI-AR</t>
  </si>
  <si>
    <t>Accounts Receivable</t>
  </si>
  <si>
    <t>AR CHIP : Key Figure : Future Outstanding Amounts</t>
  </si>
  <si>
    <t>CHIP "Customers New in dunning level" dumps</t>
  </si>
  <si>
    <t>SEPA: Return from Bank</t>
  </si>
  <si>
    <t>CHIPs for Overdue-Analysis and Due Forecast are obsolete</t>
  </si>
  <si>
    <t>Expiring currencies, missing documentation for recurring ent</t>
  </si>
  <si>
    <t>Collective Note sFIN - prereq. Notes</t>
  </si>
  <si>
    <t>FI-AR-AR</t>
  </si>
  <si>
    <t>Reports and CHIPs for top N lists too slow</t>
  </si>
  <si>
    <t>SEPA: Enhancements for FI SEPA navigation from the CVI</t>
  </si>
  <si>
    <t>Top N list shows items due today as overdue</t>
  </si>
  <si>
    <t>FI-AR-AR-A</t>
  </si>
  <si>
    <t>Entering the SEPA mandate reference for FI postings</t>
  </si>
  <si>
    <t>FB05: Tax code is passed on incorrectly</t>
  </si>
  <si>
    <t>FBR2: new VAT identification no. is not copied</t>
  </si>
  <si>
    <t>FI: input help for special G/L indicators displayed wrongly</t>
  </si>
  <si>
    <t>One-time mandate: incorrect data for payee</t>
  </si>
  <si>
    <t>FB70: incorrect exception for FI_CUSTOMER_DATA</t>
  </si>
  <si>
    <t>FB11: Dump error when you import the object T_MANDATE</t>
  </si>
  <si>
    <t>FB02/FB03: Changing/displaying a mandate reference</t>
  </si>
  <si>
    <t>FI-AR-AR-C</t>
  </si>
  <si>
    <t>Dunning/Interest</t>
  </si>
  <si>
    <t>F150: Int. rate change not taken into account in dunning</t>
  </si>
  <si>
    <t>F150: printing using Smart Forms - incorrect print preview</t>
  </si>
  <si>
    <t>Fixed amount for interest: from which date?</t>
  </si>
  <si>
    <t>RFDZIS00_PDF: Total amount transferred from previous letter</t>
  </si>
  <si>
    <t>F150: FINAA receives data from predecessor</t>
  </si>
  <si>
    <t>FINTSHOW: Reversal terminates</t>
  </si>
  <si>
    <t>F150: F4 help with free selection</t>
  </si>
  <si>
    <t>F150: Dunning with e-mail and SAPScript: error during sendin</t>
  </si>
  <si>
    <t>F150: print log not displayed in dunning logs</t>
  </si>
  <si>
    <t>F150 deletes T047I Smart Forms sender</t>
  </si>
  <si>
    <t>V_T047I: Input help and value check missing for Smart Forms</t>
  </si>
  <si>
    <t>F150: PDF form printing - interest is displayed, which is in</t>
  </si>
  <si>
    <t>FINT: Error due to posting specifications that are not used</t>
  </si>
  <si>
    <t>FINTSHOW: MSINT401 for "Group Items Subjd to Interest"</t>
  </si>
  <si>
    <t>F150: Further status messages for the number of dunning noti</t>
  </si>
  <si>
    <t>F150: Incorrect log messages II</t>
  </si>
  <si>
    <t>F150: Dunning level is reduced below minimum amount</t>
  </si>
  <si>
    <t>Dunning: ISR reference number on the inpayment slip</t>
  </si>
  <si>
    <t>F150: Termination in RFMAHN20 ("Dunning History")</t>
  </si>
  <si>
    <t>F150: Dunning via email with intro text</t>
  </si>
  <si>
    <t>F150: Error during clearing of vendor and customer</t>
  </si>
  <si>
    <t>FI-AR-AR-D</t>
  </si>
  <si>
    <t>Reporting/Display</t>
  </si>
  <si>
    <t>Line items: "Current cash discount amount" field incorrect</t>
  </si>
  <si>
    <t>RFDSLD00/RFKSLD00: fields missing from one-time accnt data</t>
  </si>
  <si>
    <t>Line items: mass change - message MSITEM006 (field DKAC)</t>
  </si>
  <si>
    <t>FI-AR-AR-H</t>
  </si>
  <si>
    <t>Bill of exchange</t>
  </si>
  <si>
    <t>FBWE: Incorrect file creation for PMW formats</t>
  </si>
  <si>
    <t>FI-AR-AR-J</t>
  </si>
  <si>
    <t>F5080 for agency business with different company codes</t>
  </si>
  <si>
    <t>F5 008 for down payment request with alternative reconciliat</t>
  </si>
  <si>
    <t>FI-AR-AR-N</t>
  </si>
  <si>
    <t>RFDKVZ00/RFKKVZ00: only default e-mail address is displayed</t>
  </si>
  <si>
    <t>FIN_APAR_SEPA_CONV: log, data processing, dump</t>
  </si>
  <si>
    <t>SEPA mandates customers: Terminology change</t>
  </si>
  <si>
    <t>SEPA mandates customers: Fld description for customer incorr</t>
  </si>
  <si>
    <t>SEPA : Preparation for integration of IS-H</t>
  </si>
  <si>
    <t>SEPA Mandates Authorization check enhancement</t>
  </si>
  <si>
    <t>Empty spool entries are generated</t>
  </si>
  <si>
    <t>SEPA mandate customers: Enhancement for determining FRST/RCU</t>
  </si>
  <si>
    <t>FI_APAR_SEPA_CONV: Mandates created twice</t>
  </si>
  <si>
    <t>sFIN: Check when reconciliation account changed</t>
  </si>
  <si>
    <t>SEPA event module in FI to enhance mandate data</t>
  </si>
  <si>
    <t>SEPA: Creating new mandate; company code cannot be selected</t>
  </si>
  <si>
    <t>Account/document changes: Error 555 occurs with Call Transac</t>
  </si>
  <si>
    <t>SEPA mandate customers: no field status control</t>
  </si>
  <si>
    <t>FI-AR-AR-W</t>
  </si>
  <si>
    <t>ENJOY: No functions despite corrected validation error</t>
  </si>
  <si>
    <t>FI-AR-CR</t>
  </si>
  <si>
    <t>Credit Management</t>
  </si>
  <si>
    <t>F.31: Incorrect Company codes displayed in balance list</t>
  </si>
  <si>
    <t>Message F4778 after Credit account change</t>
  </si>
  <si>
    <t>FI-AR-IS</t>
  </si>
  <si>
    <t>CHIP Customers per Risk Class shows incorrect data</t>
  </si>
  <si>
    <t>Correction of F.30 Due date analysis currency conv</t>
  </si>
  <si>
    <t>dummy note - not for release</t>
  </si>
  <si>
    <t>FI-BL</t>
  </si>
  <si>
    <t>Bank-Related Accounting</t>
  </si>
  <si>
    <t>FI-BL-MD</t>
  </si>
  <si>
    <t>FIBPU: Bank chain without IBAN cannot be saved</t>
  </si>
  <si>
    <t>FI12: IBAN button has no effect (IBAN defined as mandatory f</t>
  </si>
  <si>
    <t>FI12: IBAN of house bank is not transported</t>
  </si>
  <si>
    <t>FI12: Correction to SAP Note 1913503</t>
  </si>
  <si>
    <t>FI-BL-PT</t>
  </si>
  <si>
    <t>Payment Transactions</t>
  </si>
  <si>
    <t>FI-BL-PT-BA</t>
  </si>
  <si>
    <t>bank statement</t>
  </si>
  <si>
    <t>DTAUS: Conversion error for server upload</t>
  </si>
  <si>
    <t>FB736: House bank table: No entry with bank key &amp; and acct &amp;</t>
  </si>
  <si>
    <t>BIC of business partner is incomplete</t>
  </si>
  <si>
    <t>ZENGINKYOU: CX_SY_CONVERSION_NO_NUMBER</t>
  </si>
  <si>
    <t>SAPSQL_ARRAY_INSERT_DUPREC during import</t>
  </si>
  <si>
    <t>Electronic Bank Receipt</t>
  </si>
  <si>
    <t>Account statement: Algorithm 019: Invalid REFFNO</t>
  </si>
  <si>
    <t>FTE_BSM: Bank statements are not selected</t>
  </si>
  <si>
    <t>FTE_BSM: Frequent output of error message FV204</t>
  </si>
  <si>
    <t>Customizing: House bank data for foreign currency</t>
  </si>
  <si>
    <t>FTE_BSM: Cannot determine G/L account balance</t>
  </si>
  <si>
    <t>Bank statement: Potential directory traversal</t>
  </si>
  <si>
    <t>Bank statement form not mirrored</t>
  </si>
  <si>
    <t>Structure FEBKO_TY cannot be enhanced</t>
  </si>
  <si>
    <t>Preventing payment note advices in the bank statement</t>
  </si>
  <si>
    <t>RFEBSE00: Error when creating Multicash from Total IN</t>
  </si>
  <si>
    <t>Account statement: Check payment documents for a DME file</t>
  </si>
  <si>
    <t>FI-BL-PT-CJ</t>
  </si>
  <si>
    <t>Cash Journal</t>
  </si>
  <si>
    <t>FBCJ: Message KI 806: Posting not allowed</t>
  </si>
  <si>
    <t>FBCJ: Trading partner missing in FI document</t>
  </si>
  <si>
    <t>FBCJ: Error messages displayed as information messages</t>
  </si>
  <si>
    <t>FBCJ: Substitution does not change data in cash journal</t>
  </si>
  <si>
    <t>RFCJ10: incorrect messages II</t>
  </si>
  <si>
    <t>FBCJ: Balance incorrect after archiving</t>
  </si>
  <si>
    <t>FBCJ:Incorr. balance display w/ extended withholding tax III</t>
  </si>
  <si>
    <t>FBCJ: Message F5747 when posting - CpD data</t>
  </si>
  <si>
    <t>FBCJ: Business place (field BUPLA) not ready for input</t>
  </si>
  <si>
    <t>FBCJ: Down payments for extended withholding tax not support</t>
  </si>
  <si>
    <t>FBCJ: Short dump RAISE_EXCEPTION: TRANSNAME_NOT_FOUND</t>
  </si>
  <si>
    <t>FBCJ: Balance incorrect after archiving II (if end bal zero)</t>
  </si>
  <si>
    <t>RFCASH20: some fields are not available II</t>
  </si>
  <si>
    <t>Performance: Size of log table DBTABLOG increases due to TCJ</t>
  </si>
  <si>
    <t>FI-BL-PT-FO</t>
  </si>
  <si>
    <t>payment forms</t>
  </si>
  <si>
    <t>TA OBPM1: Fields empty after button 'Position'</t>
  </si>
  <si>
    <t>Removing conversion to UTF-8 from BAdI</t>
  </si>
  <si>
    <t>SEPA_DD: Transferring the sequence type from table REGUH</t>
  </si>
  <si>
    <t>PMW transaction OBPM3: Exits are not displayed / exit 25</t>
  </si>
  <si>
    <t>DIRDEB IDOC PEXR2003 with mandate data: Seq. type FRST/RCUR</t>
  </si>
  <si>
    <t>Missing characters in note to payee</t>
  </si>
  <si>
    <t>SEPA credit transfers: Integration with HR</t>
  </si>
  <si>
    <t>Printing prenotification/payment advice note: One-time accou</t>
  </si>
  <si>
    <t>Payment summary: Transaction currency in ISO code</t>
  </si>
  <si>
    <t>Directory traversal in FI-AP-AP-B1</t>
  </si>
  <si>
    <t>PMW - missing item texts for HR payments</t>
  </si>
  <si>
    <t>FI-BL-PT-PR</t>
  </si>
  <si>
    <t>payment prog/request</t>
  </si>
  <si>
    <t>BAPI_PAYMENTREQ_STARTPAYMENT: Duplicate payment run IDs</t>
  </si>
  <si>
    <t>F8BX: Error during determination of payment method</t>
  </si>
  <si>
    <t>RFPRQZLP: Error when using system variants</t>
  </si>
  <si>
    <t>SEPA/IHC: Check of T042B in PAYRQ_MANDATE_CHECK</t>
  </si>
  <si>
    <t>RFPRQZLP: Error when using system variant 2</t>
  </si>
  <si>
    <t>Payment Program for Payment Requests: New Extensions (BTEs)</t>
  </si>
  <si>
    <t>Rejected payment proposal contains only one entry</t>
  </si>
  <si>
    <t>SEPA/IHC: Mandate information for payment medium</t>
  </si>
  <si>
    <t>Message PAYMENTREQUEST_CREATE not consistent with BAPI</t>
  </si>
  <si>
    <t>Incorrect payment group</t>
  </si>
  <si>
    <t>F111/SEPA: mandate from request not adopted</t>
  </si>
  <si>
    <t>F111/SEPA: Specified mandate is not used</t>
  </si>
  <si>
    <t>FI-BL-PT-US</t>
  </si>
  <si>
    <t>USbank statem/lockbx</t>
  </si>
  <si>
    <t>FF7A - wrong sign on current day planning levels.</t>
  </si>
  <si>
    <t>NO distinct memo record found error on second Intraday MT942</t>
  </si>
  <si>
    <t>Issue with Intra-day BAI transactions with split funds.</t>
  </si>
  <si>
    <t>FI-FM</t>
  </si>
  <si>
    <t>Funds Management</t>
  </si>
  <si>
    <t>Zero-balance OIM lines: Enable BAdI acc.det. for sp. ledgers</t>
  </si>
  <si>
    <t>Prerequisite note for 1865662</t>
  </si>
  <si>
    <t>FI-GL</t>
  </si>
  <si>
    <t>General Ledger Acctg</t>
  </si>
  <si>
    <t>CheckMan Corrections</t>
  </si>
  <si>
    <t>Dump DYNPRO_SEND_IN_BACKGROUND in FAGL_CHECK_GENERATION</t>
  </si>
  <si>
    <t>Simulate General Ledger does not derive segment</t>
  </si>
  <si>
    <t>Prerequisite for performance optimizations in FIN</t>
  </si>
  <si>
    <t>RGUCOMP4 and SAPFGVTR can not be called via RFC</t>
  </si>
  <si>
    <t>Long runtime when copying document number ranges</t>
  </si>
  <si>
    <t>EA-FI 200: Decoupling part</t>
  </si>
  <si>
    <t>BAPI_FAGL_PLANNING_POST does not fill LOGSYS</t>
  </si>
  <si>
    <t>SLL: Changes in package FAGL_SWITCH_LEADING_LEDGER</t>
  </si>
  <si>
    <t>SLL: Change to funct. groups FAGL_CUST_BELNR, FAGL_LEDGER</t>
  </si>
  <si>
    <t>Data aging: Fix no Macro FINS_SET_STACK_TEMPERATURE and BADI</t>
  </si>
  <si>
    <t>FI-GL-BA</t>
  </si>
  <si>
    <t>Business Area Acctg</t>
  </si>
  <si>
    <t>F.5D: Rounding differences, smaller amnts not distributed</t>
  </si>
  <si>
    <t>SAPF181 terminates with error FR 451</t>
  </si>
  <si>
    <t>Unique business area is not inherited (2)</t>
  </si>
  <si>
    <t>SAPF181: Functional area is not filled in the list</t>
  </si>
  <si>
    <t>FI-GL-CP</t>
  </si>
  <si>
    <t>Cons. preparation</t>
  </si>
  <si>
    <t>ALE FI FIDCCP02: GLT3 is not updated</t>
  </si>
  <si>
    <t>GC41: Wrong general ledger balance due to plan data</t>
  </si>
  <si>
    <t>FI-GL-CU</t>
  </si>
  <si>
    <t>Foreign Currency Accounting</t>
  </si>
  <si>
    <t>FI-GL-CU-MCA</t>
  </si>
  <si>
    <t>Multi Currency Accou</t>
  </si>
  <si>
    <t>MCA P&amp;L does not take reversed documents into account</t>
  </si>
  <si>
    <t>GMCA_FXV: posting to special periods</t>
  </si>
  <si>
    <t>GMCA_RUNADM: "Ledger Environment" field missing from the val</t>
  </si>
  <si>
    <t>Translation into first local currency is not performed</t>
  </si>
  <si>
    <t>GMCA_BILA: transaction currency in header</t>
  </si>
  <si>
    <t>GMCA_FXA: Aggregation is performed too late</t>
  </si>
  <si>
    <t>Converting fixed values from the fixed value variant</t>
  </si>
  <si>
    <t>GMCA_PLT: Deletion of account assignment relevant to cost ac</t>
  </si>
  <si>
    <t>MCA Customizing: Parameters not needed for non P&amp;L Process</t>
  </si>
  <si>
    <t>MCA Customizing Check Report: FXR for Balance Sheet accounts</t>
  </si>
  <si>
    <t>Incorrect data element for the exchange rate in the output s</t>
  </si>
  <si>
    <t>GMCA_PLL_D: Reversal produces incorrect values</t>
  </si>
  <si>
    <t>FI-GL-FL</t>
  </si>
  <si>
    <t>Flexible Structures</t>
  </si>
  <si>
    <t>Erweiterung ERP2005+</t>
  </si>
  <si>
    <t>MR8M: Incorrect account assignments</t>
  </si>
  <si>
    <t>G/L view (e.g. FAGLFLEXA) is missing for mass postings</t>
  </si>
  <si>
    <t>JVA assignments in NON JVA CC during doc splitting- NewGL</t>
  </si>
  <si>
    <t>Negative posting: Problems with reversal in special periods</t>
  </si>
  <si>
    <t>Unit of measure filled in general ledger view despite value</t>
  </si>
  <si>
    <t>Doc after reversal: MESSAGE_TYPE_X in P_ITEMS_POST(_PREPARE)</t>
  </si>
  <si>
    <t>FAGL_OBJCHECK: Enhancement of functions (3)</t>
  </si>
  <si>
    <t>NGLM: Error during data analysis</t>
  </si>
  <si>
    <t>Deleting field from General Ledger (New) totals table: CONVT</t>
  </si>
  <si>
    <t>Document split: Reversal of AWTYP = "EBKPF"</t>
  </si>
  <si>
    <t>Performance during assignment of ledger to ledger group</t>
  </si>
  <si>
    <t>New G/L: Deleting a generated ledger group</t>
  </si>
  <si>
    <t>General ledger simulation: Lines with value zero in all curr</t>
  </si>
  <si>
    <t>Tax code for split of SD documents</t>
  </si>
  <si>
    <t>FAGL_GINS: Deleting table groups in certain namespaces</t>
  </si>
  <si>
    <t>Syntax error with "open cursor with hold"</t>
  </si>
  <si>
    <t>FI-GL-GL</t>
  </si>
  <si>
    <t>Account Planning Level not replicated via SOA</t>
  </si>
  <si>
    <t>FI-GL-GL-A</t>
  </si>
  <si>
    <t>Posting/Clearing</t>
  </si>
  <si>
    <t>Es ist nicht möglich das Ergebnisobjekt zu setzen</t>
  </si>
  <si>
    <t>RFOB5200 without complete intervals</t>
  </si>
  <si>
    <t>SU24/F.80: Some objects no longer have proposal</t>
  </si>
  <si>
    <t>SU24/ENJOY: Some objects no longer have default values</t>
  </si>
  <si>
    <t>FB50L: 'FAGL_POST_SERVICE051' despite empty ledger group</t>
  </si>
  <si>
    <t>FB03L: Incorrect title in document overview</t>
  </si>
  <si>
    <t>Unnecessary realized exch. rate diff. lines during clearing</t>
  </si>
  <si>
    <t>ENJOY: VBUND not checked after change of document type</t>
  </si>
  <si>
    <t>FBU3/new general ledger: Incorrect document overview (II)</t>
  </si>
  <si>
    <t>FI: Message F5216 is incorrectly issued</t>
  </si>
  <si>
    <t>FB03: Switching to new document leads to incorrect title</t>
  </si>
  <si>
    <t>FB03: irrelevant error message on initial screen</t>
  </si>
  <si>
    <t>FB03/header data: No tooltips available</t>
  </si>
  <si>
    <t>FI: No tooltips for various abbreviated fields</t>
  </si>
  <si>
    <t>FBD1/FBM1: Update of purchase order history</t>
  </si>
  <si>
    <t>SAPF120: Error 00 348 for amount fields</t>
  </si>
  <si>
    <t>FB03: Text of reference transaction not displayed</t>
  </si>
  <si>
    <t>FB03/list: Payment cards/card numbers are not masked</t>
  </si>
  <si>
    <t>RFOB5200 Close period and authorization group</t>
  </si>
  <si>
    <t>FI-GL-GL-ADB</t>
  </si>
  <si>
    <t>Average Daily Balanc</t>
  </si>
  <si>
    <t>ADB Move&amp;Merge leaves residual balance</t>
  </si>
  <si>
    <t>GADBMM move and merge: Log button does not work</t>
  </si>
  <si>
    <t>FI-GL-GL-D</t>
  </si>
  <si>
    <t>Program TFC_COMPARE_VZ terminates</t>
  </si>
  <si>
    <t>FAGLB03: "Select Carryfwd Postings" - items missing</t>
  </si>
  <si>
    <t>FAGLB03: Drill down balance carryforward for short. fis. yr</t>
  </si>
  <si>
    <t>FAGLL03: Balance carryforward postings (GLYEC) in the subled</t>
  </si>
  <si>
    <t>FAGLL03: Transaction type in G/L view not filled (2)</t>
  </si>
  <si>
    <t>SAPDBBRF: Transac. figures for spec. year-end closing pstngs</t>
  </si>
  <si>
    <t>SoH LDB SDF: Runtime error SAPSQL_PARSE_ERROR</t>
  </si>
  <si>
    <t>SoH LDB SDF: FBL3N result is incorrect</t>
  </si>
  <si>
    <t>FI-GL-GL-F</t>
  </si>
  <si>
    <t>Value Added Tax (VAT</t>
  </si>
  <si>
    <t>Tax base in local currency 2 or 3 not as entered</t>
  </si>
  <si>
    <t>RFPUMS00 does not post any taxes less than 0</t>
  </si>
  <si>
    <t>F110 terminates with balance error</t>
  </si>
  <si>
    <t>FF718   -  "Tax code &amp; does not exist for jurisdiction code</t>
  </si>
  <si>
    <t>Wrong assignment of rounding diff. to local curr. tax amount</t>
  </si>
  <si>
    <t>For rate type &amp; rates with from-currency &amp; are relevant</t>
  </si>
  <si>
    <t>VF11: Alternative tax rate not transferred from original</t>
  </si>
  <si>
    <t>RFUMSV00: New column for discounts</t>
  </si>
  <si>
    <t>Line-by-line tax (USA, CA) and missing checks</t>
  </si>
  <si>
    <t>OBDL - RFUMSKRS01 with UMKRS selection displays incorrect va</t>
  </si>
  <si>
    <t>FB60 - warning FF 847 if tax amount is entered without tax</t>
  </si>
  <si>
    <t>VATDATE: Deletion of VATDATE if there is no tax code in doc</t>
  </si>
  <si>
    <t>BAPI with down payment and expense items: BSET is incorrect</t>
  </si>
  <si>
    <t>VATDATE: Incorrect tax rate with batch input</t>
  </si>
  <si>
    <t>RFUMSV25: Transfer posting document with incorrect plus/minu</t>
  </si>
  <si>
    <t>RFUMSV25: Assigning current accounts using tax codes</t>
  </si>
  <si>
    <t>F5 061 for posting in foreign currency and change of tax LC</t>
  </si>
  <si>
    <t>MRKO: FF755 because document split not yet supported</t>
  </si>
  <si>
    <t>FF817: BSEG-TAXPS incorrectly filled</t>
  </si>
  <si>
    <t>IDoc/BAPI with direct tax item and jurisdiction code</t>
  </si>
  <si>
    <t>Incorrect return code is queried</t>
  </si>
  <si>
    <t>Tax detail screen: Error due to screen request Note 1694800</t>
  </si>
  <si>
    <t>Authorization checks for all company codes in transaction FB</t>
  </si>
  <si>
    <t>RFASLD20: Adjustment for XBRL output (Netherlands)</t>
  </si>
  <si>
    <t>SAP Note 1055835: Forcing correction of SD reversal document</t>
  </si>
  <si>
    <t>Incorrect non-deductible amounts in FBR1 in local currency</t>
  </si>
  <si>
    <t>RFUMSV25: Incorrect tax and tax base for acquisition tax</t>
  </si>
  <si>
    <t>CALCULATE_TAX_ITEM: clear komp missing</t>
  </si>
  <si>
    <t>FBV0 - BSET is missing if supplementary account assignment f</t>
  </si>
  <si>
    <t>FOTV: No currency when adding report lines</t>
  </si>
  <si>
    <t>RFUMSV25: Down payments posted in F110</t>
  </si>
  <si>
    <t>Error FF 804: Incorrect KSCHL if down payments are cleared f</t>
  </si>
  <si>
    <t>FBR2 - transfer tax in local currency exactly for example fo</t>
  </si>
  <si>
    <t>FB60 / FB70 tax tab page - Sum in local currency incorrect f</t>
  </si>
  <si>
    <t>FI-GL-GL-F1</t>
  </si>
  <si>
    <t>VAT reporting</t>
  </si>
  <si>
    <t>VAT Refund(France):Special Characters in XML file</t>
  </si>
  <si>
    <t>Improved VAT Processes and Procedures South Africa</t>
  </si>
  <si>
    <t>RFIDITSR12:Incorrect display of XML file for Import/export.</t>
  </si>
  <si>
    <t>RFIDESM340:Multiple Issues with Model 340</t>
  </si>
  <si>
    <t>RFIDPTFO: Missing Documents in the report</t>
  </si>
  <si>
    <t>RFKORDES: Wrong official document number range assignment.</t>
  </si>
  <si>
    <t>RFIDESM340: Issue with French Business Partner</t>
  </si>
  <si>
    <t>RFUMSV00: Cannot Select Data by Business Place for Spain</t>
  </si>
  <si>
    <t>RFIDMXFORMAT29:Issue with invoice posted with different year</t>
  </si>
  <si>
    <t>RFIDHU_DSP:Branch Posting in FI and HUD Processing</t>
  </si>
  <si>
    <t>RFUMSV00: Cancellation Documents for Indonesian Companies.</t>
  </si>
  <si>
    <t>RFIDITSR00:Multiple issues with the report.</t>
  </si>
  <si>
    <t>RFUVXX00: Changes to the XML-file of the VAT-report.</t>
  </si>
  <si>
    <t>DIOT: Document displays with previous document data</t>
  </si>
  <si>
    <t>Correction to DMEE tree for PT EC Sales</t>
  </si>
  <si>
    <t>FOTV Luxembourg: Issue with BOX 72</t>
  </si>
  <si>
    <t>LU eCDF: Platform for e-submission of financial data</t>
  </si>
  <si>
    <t>RFBUST10: Japan Legal Change 2013</t>
  </si>
  <si>
    <t>RFUVXX00: UTF-8 Conversion Error in XML file</t>
  </si>
  <si>
    <t>PH: Reporting Discounts for invoices.</t>
  </si>
  <si>
    <t>RFUVPT00: Issue in consideration of debit/credit indicator</t>
  </si>
  <si>
    <t>Central Bank Reporting, Luxembourg</t>
  </si>
  <si>
    <t>RFASLD15:Incorrect amounts in case of Price Diff Docs.</t>
  </si>
  <si>
    <t>RFIDHU_DSP:Refinement of logic for Declaration Page ID 06</t>
  </si>
  <si>
    <t>RFIDITSR00(BE): XML file not saved in local system.</t>
  </si>
  <si>
    <t>Transaction codes for customizing views used in RFIDITSR00</t>
  </si>
  <si>
    <t>Documentation: Improved VAT Processes in South Africa</t>
  </si>
  <si>
    <t>Transaction codes for the Norway AP and AR reports.</t>
  </si>
  <si>
    <t>Norwary :Generic technical corrections</t>
  </si>
  <si>
    <t>RFIDHU_DSP: Error in FILE_VALIDATE_NAME</t>
  </si>
  <si>
    <t>SAF-T:Self Billing Corrections (6)</t>
  </si>
  <si>
    <t>RFITEMAR_NO gives dump when using save output to database</t>
  </si>
  <si>
    <t>FI-GL-GL-G</t>
  </si>
  <si>
    <t>RFAWVZ40:Clearing document w/out line items (BKPF-BSTAT='A')</t>
  </si>
  <si>
    <t>RFAWVZ40N: Z4 message from loan postings</t>
  </si>
  <si>
    <t>RFAWVZ40N: Reporting down payment postings</t>
  </si>
  <si>
    <t>RFAWVZ40N: Credit memos without invoice reference</t>
  </si>
  <si>
    <t>F107: Error message FR889</t>
  </si>
  <si>
    <t>FAGL_FC_VAL: Adjustment Posting for Partial Payment</t>
  </si>
  <si>
    <t>F107: Default account assignment is not transferred</t>
  </si>
  <si>
    <t>RFBILA00N: Missing total values</t>
  </si>
  <si>
    <t>FAGL_FC_VAL: Different rounding differences</t>
  </si>
  <si>
    <t>RFBNUM00N: Archived documents</t>
  </si>
  <si>
    <t>FAGL_FCV: Incomplete posting list for reset</t>
  </si>
  <si>
    <t>FAGL_FC_VALUATION: Difference in second LC is not calculated</t>
  </si>
  <si>
    <t>RFBILA00/RFBILA00N: Call of other reports - corrections</t>
  </si>
  <si>
    <t>FAGL_FCV: Posting list in log storage is incomplete</t>
  </si>
  <si>
    <t>FAGL_FC_VAL: Balances not reset in delta logic.</t>
  </si>
  <si>
    <t>RFSUMB00: Check of new G/L migration phase context</t>
  </si>
  <si>
    <t>F107, method 10: Additional information for transfer to FI</t>
  </si>
  <si>
    <t>RFAWVZ5A: Reporting requirements as of July 2013</t>
  </si>
  <si>
    <t>SAPF100: List header information</t>
  </si>
  <si>
    <t>F107: Method 10, summarization at account level</t>
  </si>
  <si>
    <t>Allocation: Stored value of the Settings isn't displayed</t>
  </si>
  <si>
    <t>newGL allocations: line items aren't available in extract</t>
  </si>
  <si>
    <t>FAGL_FCV: Problems with custom selections</t>
  </si>
  <si>
    <t>FAGL_FC_VAL: GR/IR accounts with trading partner</t>
  </si>
  <si>
    <t>F107: Error FAGL_POST_SERVICE012, BI session without errors</t>
  </si>
  <si>
    <t>F107, method 2: Discounting despite missing entry in T056Z</t>
  </si>
  <si>
    <t>newGL allocation: authorization check in the Cycle Overview</t>
  </si>
  <si>
    <t>Reconciliation of FI and ML with parallel production costs</t>
  </si>
  <si>
    <t>FAGL_104: Error 704 Inconsistent amounts</t>
  </si>
  <si>
    <t>RFAWVZ40N: Application of exemption free limit per invoice i</t>
  </si>
  <si>
    <t>RFAWVZ40F: File name validation - error message SG806</t>
  </si>
  <si>
    <t>FAGL_YEC_POSTINGS_EHP4: Incorrect balances from REA to PLCA</t>
  </si>
  <si>
    <t>FAGL_FCV: V_FAGL_SPLIT_FL2 for balance valuation</t>
  </si>
  <si>
    <t>FAGL_YEC_POSTINGS_EHP4: Account not processed</t>
  </si>
  <si>
    <t>SAPF101/100 - Acceleration during month-end closing</t>
  </si>
  <si>
    <t>FAGL_IT_01: Error in closing posting period in transaction</t>
  </si>
  <si>
    <t>FAGL_FCV: Ledger group check in G/L Balance Valuation</t>
  </si>
  <si>
    <t>SAPF100: Truncated list header</t>
  </si>
  <si>
    <t>RFKLET01: Incorrect display for amounts</t>
  </si>
  <si>
    <t>RFAWVZ5P: Field length of parameter "Source File"</t>
  </si>
  <si>
    <t>FAGL_FCV: Adjustment Account defined as tax account</t>
  </si>
  <si>
    <t>FAGL_FC_VAL: FR600 with "Error in batch input field COBL-</t>
  </si>
  <si>
    <t>RFAWVZ5A/P: Electronic presentation X.400 format obsolete</t>
  </si>
  <si>
    <t>RFAWVZ5A: Reporting down payments and vendor items</t>
  </si>
  <si>
    <t>FAGL_MM_RECON: Incorrect material values during parallel exe</t>
  </si>
  <si>
    <t>FAGL_FCV: Documents with hedged exchange rates are valuated</t>
  </si>
  <si>
    <t>FAGL_FC_VAL: Document type not visible in the posting list</t>
  </si>
  <si>
    <t>RFHABU00N: Select year-end closing postings</t>
  </si>
  <si>
    <t>RFAWVZ40N: Invoice item as reversal of credit memo (MR8M)</t>
  </si>
  <si>
    <t>RFAWVZ40N: G/L account offsetting lines with tax codes</t>
  </si>
  <si>
    <t>FAGL_FC_VAL: BUDAT missing in the cleared items list</t>
  </si>
  <si>
    <t>RFAWVZ5A/P: Obsolete parameters, authorization check</t>
  </si>
  <si>
    <t>FAGLSKF3: Error message RG 112: Invalid GUID format</t>
  </si>
  <si>
    <t>FAGL_FC_VALUATION: Long runtime</t>
  </si>
  <si>
    <t>RFAWVZ5A: Formatting of reporting amount in reporting curren</t>
  </si>
  <si>
    <t>RFAWVZ5A: Displaying the alternative country key or BTE proc</t>
  </si>
  <si>
    <t>FAGL_YEC_POSTINGS_EHP4: Documents with initial fiscal year</t>
  </si>
  <si>
    <t>RFAWVZ40N: Partial payment for special report</t>
  </si>
  <si>
    <t>RFAWVZ5A: list header/log display</t>
  </si>
  <si>
    <t>FI-GL-GL-I</t>
  </si>
  <si>
    <t>B.Input/Data Transf.</t>
  </si>
  <si>
    <t>RFBIBL00: Data not completely copied</t>
  </si>
  <si>
    <t>FB05: Special G/L indicator not defined</t>
  </si>
  <si>
    <t>BSEG-MNDID cannot be transferred using batch input</t>
  </si>
  <si>
    <t>FI-GL-GL-J</t>
  </si>
  <si>
    <t>Direct input: Some date fields are not converted</t>
  </si>
  <si>
    <t>BAdI 'FI_GL_POSTING_SPLIT' for reference transaction 'BKKSU'</t>
  </si>
  <si>
    <t>Exchange rate type not updated when BTE 1150 is active</t>
  </si>
  <si>
    <t>Derivation of default tax code for ledger-specific posting</t>
  </si>
  <si>
    <t>WBS element in settlement run cannot be substituted</t>
  </si>
  <si>
    <t>Program termination in SAPLFACI with the exception SYSTEM_ER</t>
  </si>
  <si>
    <t>Doubled tax amounts in requests</t>
  </si>
  <si>
    <t>FI-GL-GL-M</t>
  </si>
  <si>
    <t>FI ALE sender system: Flagging the CDC line as an "Extern.AL</t>
  </si>
  <si>
    <t>FAGLDT01: the tax reporting date VATDATE is not transferred</t>
  </si>
  <si>
    <t>BAPI_FAGL_PLANNING_POST: Error GUSL006 for CS_TRANS_T</t>
  </si>
  <si>
    <t>FI-GL-GL-N</t>
  </si>
  <si>
    <t>Import balance sheet/P&amp;L structure: unreadable error message</t>
  </si>
  <si>
    <t>FI-GL-GL-W</t>
  </si>
  <si>
    <t>FBV0: Several fields missing in asset item</t>
  </si>
  <si>
    <t>FBV1: Incorrect screen after saving completely</t>
  </si>
  <si>
    <t>FB11: H2STE and H3STE not transferred to parked document</t>
  </si>
  <si>
    <t>FI: problems with parked documents with AWTYP=BKPFF</t>
  </si>
  <si>
    <t>FBV2: XOPVW not set for GL accounts managed on an OI basis</t>
  </si>
  <si>
    <t>FV50L: XMWST is not deleted if ledger group entered</t>
  </si>
  <si>
    <t>FI-GL-GL-X</t>
  </si>
  <si>
    <t>DB Inconsistencies</t>
  </si>
  <si>
    <t>FAGL_ACTIVATE_OP: Msg. F5 808 value date is req. field (2)</t>
  </si>
  <si>
    <t>FAGL_ACTIVATE_OP:Msg. F5 808 value date is req.field (3)</t>
  </si>
  <si>
    <t>FAGL_ACTIVATE_OP: Field symbol not yet assigned</t>
  </si>
  <si>
    <t>FI-GL-IS</t>
  </si>
  <si>
    <t>Unnecessary fields in column set</t>
  </si>
  <si>
    <t>Line Item Browsers: MOVE_TO_LIT_NOTALLOWED_NODATA</t>
  </si>
  <si>
    <t>OB58: copying entries</t>
  </si>
  <si>
    <t>RFBILA10: Error Message GH102 - Correction</t>
  </si>
  <si>
    <t>Financial Statements: Message FR595</t>
  </si>
  <si>
    <t>RFSOPO00/RFEPOJ00: Incomplete text displayed</t>
  </si>
  <si>
    <t>OBY7: runtime error SAPSQL_ARRAY_INSERT_DUPREC</t>
  </si>
  <si>
    <t>RFSSLD00: Runtime error CX_SY_ARITHMETIC_OVERFLOW</t>
  </si>
  <si>
    <t>RFBILA00N: Exit FI_BILA_OUTPUT not processed</t>
  </si>
  <si>
    <t>EFS: Error 6 in program SAPLFIBS during check</t>
  </si>
  <si>
    <t>Note 1712986: Changes missing in Support Package Delivery</t>
  </si>
  <si>
    <t>RFBNUM00N: Numbering Gaps after Specified Year</t>
  </si>
  <si>
    <t>FS10N does not display any values in transaction currency</t>
  </si>
  <si>
    <t>RFBILA00/RFBILA00N: Error message FR595</t>
  </si>
  <si>
    <t>Missing authorization check in FI-GL-IS</t>
  </si>
  <si>
    <t>HDB views: Generation error after SAP Note 1886021</t>
  </si>
  <si>
    <t>Line Item Browsers: Additional Corrections</t>
  </si>
  <si>
    <t>Generation error in HDB views</t>
  </si>
  <si>
    <t>Message FR602 leads to a hang-up</t>
  </si>
  <si>
    <t>KE5ZH: No data displayed for the view V_GLPCA_CT</t>
  </si>
  <si>
    <t>FI-GL-MIG</t>
  </si>
  <si>
    <t>general ledger migration</t>
  </si>
  <si>
    <t>FI-GL-MIG-GL</t>
  </si>
  <si>
    <t>general ledger data</t>
  </si>
  <si>
    <t>newGL mig: UC_OBJECTS_NOT_NUMLIKE by splitting</t>
  </si>
  <si>
    <t>FI-GL-REO</t>
  </si>
  <si>
    <t>General Ledger Reorg</t>
  </si>
  <si>
    <t>PRCTR: Check of transfer of billing documents (II)</t>
  </si>
  <si>
    <t>PRCTR: different transaction currencies for purchase orders</t>
  </si>
  <si>
    <t>PRCTR/SEG: General restrict. PRCTR assignment in cycles</t>
  </si>
  <si>
    <t>PRCTR: Check of transfer of billing documents (III)</t>
  </si>
  <si>
    <t>Reorganization: Profit center in cost center cannot be chang</t>
  </si>
  <si>
    <t>PRCTR: Clearing documents in goods/invoice receipt account</t>
  </si>
  <si>
    <t>FI-GL-REO-AA</t>
  </si>
  <si>
    <t>Reorganization of As</t>
  </si>
  <si>
    <t>Reorganization: selection of asset</t>
  </si>
  <si>
    <t>Reorg causes deadlock on table NRIV</t>
  </si>
  <si>
    <t>Object list: Assignment of fixed assets</t>
  </si>
  <si>
    <t>Runtime error MESSAGE_TYPE_X for reorganization</t>
  </si>
  <si>
    <t>FI-GL-REO-BF</t>
  </si>
  <si>
    <t>TSV_TNEW_PAGE_ALLOC_FAILED during display of object list</t>
  </si>
  <si>
    <t>FI-GL-REO-CO</t>
  </si>
  <si>
    <t>Settlement reversal is possible after PC reorganization</t>
  </si>
  <si>
    <t>Reorg: Profit center in cost center cannot be changed (III)</t>
  </si>
  <si>
    <t>FI-GL-REO-GL</t>
  </si>
  <si>
    <t>PRCTR: Object type not determined (FAGL_REORGANIZATION505)</t>
  </si>
  <si>
    <t>PRCTR/SEG: Error message FAGL_REORGANIZATION 566 (III)</t>
  </si>
  <si>
    <t>PRCTR/SEG: Error message FAGL_REORGANIZATION 566 (IV)</t>
  </si>
  <si>
    <t>PRCTR/SEG: Error message FAGL_REORGANIZATION 544</t>
  </si>
  <si>
    <t>PRCTR/SEG: Error message FAGL_REORGANIZATION 535</t>
  </si>
  <si>
    <t>PRCTR/SEG: Dump when generating APAR / 566 (V)</t>
  </si>
  <si>
    <t>PRCTR/SEG: Dump when generating APAR / 566 (VI)</t>
  </si>
  <si>
    <t>PRCTR/SEG: Dump when generating APAR / 566 (VII)</t>
  </si>
  <si>
    <t>PRCTR/SEG: Dump when generating APAR/566 (VIII)</t>
  </si>
  <si>
    <t>PRCTR/SEG: Dump when generating APAR / 566 (X)</t>
  </si>
  <si>
    <t>FI-GL-REO-MM</t>
  </si>
  <si>
    <t>PRCTR: Error message FAGL_REORGANIZATION008 returned</t>
  </si>
  <si>
    <t>FI-SL</t>
  </si>
  <si>
    <t>Export-Rollup is not working correctly</t>
  </si>
  <si>
    <t>FI-SL document splitting called too often in test run</t>
  </si>
  <si>
    <t>FI-SL-IS</t>
  </si>
  <si>
    <t>FI-SL-IS-A</t>
  </si>
  <si>
    <t>ReportWriter/Painter</t>
  </si>
  <si>
    <t>RW: Incorrect error message GU362 (II)</t>
  </si>
  <si>
    <t>Multiple usage of keyfigure sets in reportwriter</t>
  </si>
  <si>
    <t>F4 input help for field VERSION in table FAGLFLEXR</t>
  </si>
  <si>
    <t>CCSS: No authorization check for statistical key figures</t>
  </si>
  <si>
    <t>Enhancements for change and deletion history reports</t>
  </si>
  <si>
    <t>RW:Incorrect alignment of columns in HTML file export</t>
  </si>
  <si>
    <t>Translation tool: No automatic transport recording</t>
  </si>
  <si>
    <t>RW: Improve performance for HANA II</t>
  </si>
  <si>
    <t>RW: Converting data transfer from EIS to Unicode</t>
  </si>
  <si>
    <t>FI-SL-SL</t>
  </si>
  <si>
    <t>Accessibility of FAGL_HANA_RECON</t>
  </si>
  <si>
    <t>FI-SL-SL-A</t>
  </si>
  <si>
    <t>Dump SAPSQL_INVALID_FIELDNAME in GB01 or GB11</t>
  </si>
  <si>
    <t>FI-SL-SL-D</t>
  </si>
  <si>
    <t>Reporting/Analysis</t>
  </si>
  <si>
    <t>GD23: Not all available ledgers are displayed in F4-help</t>
  </si>
  <si>
    <t>GD13: Period 0 cannot be enterd on the selection screen</t>
  </si>
  <si>
    <t>FI-SL-SL-G</t>
  </si>
  <si>
    <t>Closing ops./Per.end</t>
  </si>
  <si>
    <t>Eingabehilfe für Rollups: keine Werteeinschränkung möglich</t>
  </si>
  <si>
    <t>FI-SL-SL-I</t>
  </si>
  <si>
    <t>GB01/GB11: Error message GI 516 when posting with reference</t>
  </si>
  <si>
    <t>FI-SL-SL-K</t>
  </si>
  <si>
    <t>GP12N - line items are not created</t>
  </si>
  <si>
    <t>FAGLGP52 - missing period allowed check</t>
  </si>
  <si>
    <t>GLPLUP - F4 help on File Description field</t>
  </si>
  <si>
    <t>FI-SL-SL-L</t>
  </si>
  <si>
    <t>Table def./Install.</t>
  </si>
  <si>
    <t>Error GI747 caused by field DISTKEY when you generate GLU1</t>
  </si>
  <si>
    <t>FI-SL-SL-M</t>
  </si>
  <si>
    <t>BAPI_SL_GETTOTALRECORDS display of row index EXTENSIONOUT</t>
  </si>
  <si>
    <t>FI-SL-SL-T</t>
  </si>
  <si>
    <t>Sets</t>
  </si>
  <si>
    <t>New set class for company hierarchy</t>
  </si>
  <si>
    <t>FIN</t>
  </si>
  <si>
    <t>Financials</t>
  </si>
  <si>
    <t>FIN-FB</t>
  </si>
  <si>
    <t>Financials Basis</t>
  </si>
  <si>
    <t>Central Dummy note for ERP Financials EHP7</t>
  </si>
  <si>
    <t>FIN-FSCM</t>
  </si>
  <si>
    <t>Financial Supply Chain Management</t>
  </si>
  <si>
    <t>FIN-FSCM-BC</t>
  </si>
  <si>
    <t>Billing Consolidation</t>
  </si>
  <si>
    <t>FIN-FSCM-BC-CON</t>
  </si>
  <si>
    <t>EBPP Connectors</t>
  </si>
  <si>
    <t>EDX: Support for Invoice List in EDX_LIST report</t>
  </si>
  <si>
    <t>EDX: Outbound transformation with wrong attachment parameter</t>
  </si>
  <si>
    <t>EDX: Filter non BCONS output messages</t>
  </si>
  <si>
    <t>EDX: Invalid Creation Date in EDX_POLL</t>
  </si>
  <si>
    <t>EDX: Remove Physical path configuration</t>
  </si>
  <si>
    <t>EDX: Setting status "No further processing" in EDX_LIST</t>
  </si>
  <si>
    <t>EDX: Get last outbound PDF from archive</t>
  </si>
  <si>
    <t>EDX: EDX_LIST incorrect date format for BD87</t>
  </si>
  <si>
    <t>EDX: EDX_LIST ALV Layout</t>
  </si>
  <si>
    <t>EDX: Modify ESR payment method data in Invoice IDOC</t>
  </si>
  <si>
    <t>FIN-FSCM-BD</t>
  </si>
  <si>
    <t>Biller Direct</t>
  </si>
  <si>
    <t>Correction Payer Direct with Shared Service Center</t>
  </si>
  <si>
    <t>FIN-FSCM-BNK</t>
  </si>
  <si>
    <t>Direct Bank Communic</t>
  </si>
  <si>
    <t>FTE_BSM: General ledger account balance cannot be calculated</t>
  </si>
  <si>
    <t>BNK_MONI: Check on existence of payment file</t>
  </si>
  <si>
    <t>Store payment medium in TemSe and file system II</t>
  </si>
  <si>
    <t>CPON: dump SAPSQL_ARRAY_INSERT_DUPREC for HCM payments</t>
  </si>
  <si>
    <t>CPON: Alerts are not created</t>
  </si>
  <si>
    <t>BNK_APP: Batches are not available for approval</t>
  </si>
  <si>
    <t>FTE_BSM: Series status is incorrect</t>
  </si>
  <si>
    <t>SBWP: Attachment for returned batches</t>
  </si>
  <si>
    <t>Process change: Attachment for returned batches</t>
  </si>
  <si>
    <t>BNK_INI* Job terminates with error message BFIBL02 202</t>
  </si>
  <si>
    <t>RBNK_MERGE_RESET - P_BATNO field name instead of field label</t>
  </si>
  <si>
    <t>BNK_AUDIT without result</t>
  </si>
  <si>
    <t>CPON Status update does not work with too long file names</t>
  </si>
  <si>
    <t>CPON: Error BNK_COM_CORE 105 after reversal of payment</t>
  </si>
  <si>
    <t>FIN-FSCM-CM</t>
  </si>
  <si>
    <t>Cash Management</t>
  </si>
  <si>
    <t>FF73: Supplement to SAP Note 1846503.</t>
  </si>
  <si>
    <t>FIN-FSCM-CM-CM</t>
  </si>
  <si>
    <t>Account Clearing: Provide IBAN</t>
  </si>
  <si>
    <t>Completed purchase order in liquidity forecast</t>
  </si>
  <si>
    <t>Downport for liquidity item hierarchy from sFin</t>
  </si>
  <si>
    <t>FF7A or FF7B terminates with a runtime error</t>
  </si>
  <si>
    <t>Termination in report RFFDIS50_PDF</t>
  </si>
  <si>
    <t>FIN-FSCM-COL</t>
  </si>
  <si>
    <t>Collections Mgmt.</t>
  </si>
  <si>
    <t>Exclude downpayment requests from collections list</t>
  </si>
  <si>
    <t>Process receivables: Problems with screen resolution</t>
  </si>
  <si>
    <t>Noted items are added to amount "to be collected"</t>
  </si>
  <si>
    <t>FB08: Error message FDM_COLLECTION056 (lock error)</t>
  </si>
  <si>
    <t>Error: 'Process step missing' when posting FI documents</t>
  </si>
  <si>
    <t>Process receivables: "Reference" text field is used twice</t>
  </si>
  <si>
    <t>Process receivables: Duplicate display after document change</t>
  </si>
  <si>
    <t>Down payments are not excluded from worklist</t>
  </si>
  <si>
    <t>FIN-FSCM-DM</t>
  </si>
  <si>
    <t>Dispute Management</t>
  </si>
  <si>
    <t>FSCM: Runtime error in transaction FDM_COLL_SEND_ITEM</t>
  </si>
  <si>
    <t>Multi-system scenario: Performance during creation</t>
  </si>
  <si>
    <t>UDM_DISPUTE: Remove Objects</t>
  </si>
  <si>
    <t>Document synchronization FDM_PROCESS_BUFFER</t>
  </si>
  <si>
    <t>Error when dispute cases are automatically taken off books</t>
  </si>
  <si>
    <t>FIN-FSCM-IHC</t>
  </si>
  <si>
    <t>FSCM In-House Cash</t>
  </si>
  <si>
    <t>Error on processing SEPA &amp; non SEPA IDocs together at once</t>
  </si>
  <si>
    <t>FIN-FSCM-LP</t>
  </si>
  <si>
    <t>Liquidity Planer</t>
  </si>
  <si>
    <t>Change in evaluation of WBS elements in Queries</t>
  </si>
  <si>
    <t>RFLQ_CASH_FORECAST_CCR stops with error message</t>
  </si>
  <si>
    <t>Transaction FLQAF Does Not Update Database Correctly</t>
  </si>
  <si>
    <t>User exit functions error after applying note 1826731</t>
  </si>
  <si>
    <t>Profit center enhancement</t>
  </si>
  <si>
    <t>Parked document updated to liquidity planner upon deletion</t>
  </si>
  <si>
    <t>FS</t>
  </si>
  <si>
    <t>Financial Services</t>
  </si>
  <si>
    <t>FS-CML</t>
  </si>
  <si>
    <t>Loans</t>
  </si>
  <si>
    <t>SEPA/loan: IBAN is missing in view V_FSEPA_INST_CD</t>
  </si>
  <si>
    <t>HAN</t>
  </si>
  <si>
    <t>SAP HANA</t>
  </si>
  <si>
    <t>HAN-DB</t>
  </si>
  <si>
    <t>SAP HANA Database</t>
  </si>
  <si>
    <t>Missing secondary indexes for HANA</t>
  </si>
  <si>
    <t>IM</t>
  </si>
  <si>
    <t>Investment Management</t>
  </si>
  <si>
    <t>IM-FA</t>
  </si>
  <si>
    <t>Spec. investments</t>
  </si>
  <si>
    <t>Depr simu data w/ distributn &amp;lt; 100% after creatn w/ template</t>
  </si>
  <si>
    <t>IM-FA-IA</t>
  </si>
  <si>
    <t>Appropriation Req.</t>
  </si>
  <si>
    <t>Indic. for strat. appropriation request not taken into accnt</t>
  </si>
  <si>
    <t>Unable to change the ECP cost estimate</t>
  </si>
  <si>
    <t>Inconsistency after creating add. WBS elem. from appr. req.</t>
  </si>
  <si>
    <t>IMA11: Dates in ECP are lost during copying</t>
  </si>
  <si>
    <t>BAPI_APPREQUEST_SETPLANVALUES: Incorr. transl/annual values</t>
  </si>
  <si>
    <t>IM-FA-IP</t>
  </si>
  <si>
    <t>Investment Program</t>
  </si>
  <si>
    <t>Planning/budgeting: Incorrect values after total up</t>
  </si>
  <si>
    <t>IM27_REPEAT/IM27_CLOSE retroactively for certain measures/ap</t>
  </si>
  <si>
    <t>Save without checking function in transaction IM52 (budget</t>
  </si>
  <si>
    <t>IMPR-AENAM and IMPR-AEDAT not updated</t>
  </si>
  <si>
    <t>IS</t>
  </si>
  <si>
    <t>Industry-Specific Components</t>
  </si>
  <si>
    <t>IS-ADEC</t>
  </si>
  <si>
    <t>Ind.-Spec.Comp. Aerospace&amp;Defense / Engineering&amp;Construction</t>
  </si>
  <si>
    <t>IS-ADEC-ROT</t>
  </si>
  <si>
    <t>Rotable Mangement</t>
  </si>
  <si>
    <t>Technical prerequisite for DIMP note 1909628</t>
  </si>
  <si>
    <t>Technical prerequisite for DIMP note 1913887</t>
  </si>
  <si>
    <t>Technical prerequisite for DIMP note 1918821</t>
  </si>
  <si>
    <t>IS-ADEC-SUB</t>
  </si>
  <si>
    <t>Subcontracting</t>
  </si>
  <si>
    <t>Technical prerequisite for note 1927016</t>
  </si>
  <si>
    <t>LO</t>
  </si>
  <si>
    <t>Logistics - General</t>
  </si>
  <si>
    <t>LO-CMM</t>
  </si>
  <si>
    <t>Commodity Management in Logistics</t>
  </si>
  <si>
    <t>LO-CMM-PEV</t>
  </si>
  <si>
    <t>Period-End Valuation</t>
  </si>
  <si>
    <t>LO-CMM-PEV-MM</t>
  </si>
  <si>
    <t>CMM-PEV-AD: Accrual document in Relationship Browser</t>
  </si>
  <si>
    <t>MM</t>
  </si>
  <si>
    <t>Materials Management</t>
  </si>
  <si>
    <t>MM-IM</t>
  </si>
  <si>
    <t>Inventory Management</t>
  </si>
  <si>
    <t>MM-IM-GF</t>
  </si>
  <si>
    <t>MM-IM-GF-COBL</t>
  </si>
  <si>
    <t>CO Account Assignmen</t>
  </si>
  <si>
    <t>MB21: Manual entries in profitability segment are lost</t>
  </si>
  <si>
    <t>MM-IM-VP</t>
  </si>
  <si>
    <t>Balance Sheet Val.</t>
  </si>
  <si>
    <t>MRL9: Short text incorrect in the list output</t>
  </si>
  <si>
    <t>MRN3: Error M8147 for direct price change</t>
  </si>
  <si>
    <t>MRF1: Runtime problems during FIFO determination</t>
  </si>
  <si>
    <t>MRF1: No archive indexing for FIFO determination</t>
  </si>
  <si>
    <t>MRF3: Cancelling invoice from agency business -&amp;gt; incorrect</t>
  </si>
  <si>
    <t>MRN1: Termination during selection via multiple materials</t>
  </si>
  <si>
    <t>MRN0: Empty screen when exiting the results list</t>
  </si>
  <si>
    <t>MM-IV</t>
  </si>
  <si>
    <t>Invoice Verification</t>
  </si>
  <si>
    <t>MM-IV-INT</t>
  </si>
  <si>
    <t>Interfaces</t>
  </si>
  <si>
    <t>MM-IV-INT-TAX</t>
  </si>
  <si>
    <t>Tax</t>
  </si>
  <si>
    <t>MIRO: Different exchange rate is ignored</t>
  </si>
  <si>
    <t>PA</t>
  </si>
  <si>
    <t>Personnel Management</t>
  </si>
  <si>
    <t>PA-PM</t>
  </si>
  <si>
    <t>Funds and Position Management</t>
  </si>
  <si>
    <t>PA-PM-CP</t>
  </si>
  <si>
    <t>Commitment/Budget Cr</t>
  </si>
  <si>
    <t>Error Message e999(re) ''UNKNOWN APPROVAL STATUS OF EF'</t>
  </si>
  <si>
    <t>PM</t>
  </si>
  <si>
    <t>Plant Maintenance</t>
  </si>
  <si>
    <t>PM-WOC</t>
  </si>
  <si>
    <t>Maintenance Order Management</t>
  </si>
  <si>
    <t>PM-WOC-MO</t>
  </si>
  <si>
    <t>Maintenance Orders</t>
  </si>
  <si>
    <t>CO99: Termination with background processing</t>
  </si>
  <si>
    <t>PS</t>
  </si>
  <si>
    <t>Project System</t>
  </si>
  <si>
    <t>PS-COS</t>
  </si>
  <si>
    <t>Costs</t>
  </si>
  <si>
    <t>PS-COS-BUD</t>
  </si>
  <si>
    <t>Budget</t>
  </si>
  <si>
    <t>Partial update when using module KBPP_EXTERN_UPDATE_CO</t>
  </si>
  <si>
    <t>PS-COS-PLN</t>
  </si>
  <si>
    <t>PS-COS-PLN-PLN</t>
  </si>
  <si>
    <t>Planned Costs</t>
  </si>
  <si>
    <t>CJR2: Language-dependent short texts not displayed for objec</t>
  </si>
  <si>
    <t>PSM</t>
  </si>
  <si>
    <t>Public Sector Management</t>
  </si>
  <si>
    <t>PSM-FA</t>
  </si>
  <si>
    <t>Fund Accounting</t>
  </si>
  <si>
    <t>OIM Document is not created when posting a parked document</t>
  </si>
  <si>
    <t>PSM-FG</t>
  </si>
  <si>
    <t>Federal Government Functions</t>
  </si>
  <si>
    <t>PSM-FG-PP</t>
  </si>
  <si>
    <t>Prompt Payment Act</t>
  </si>
  <si>
    <t>MIR7: Reason for Late Payment Value (PENRC) not being saved</t>
  </si>
  <si>
    <t>PSM-FM</t>
  </si>
  <si>
    <t>Activation check for PSM_GEN_BUDPER_1</t>
  </si>
  <si>
    <t>Zero-balance OIM lines: Wrong amount posted</t>
  </si>
  <si>
    <t>Zero-balance OIM lines: Follow-on doc. posted at parking</t>
  </si>
  <si>
    <t>PSM-FM-BCS</t>
  </si>
  <si>
    <t>Budget Control System</t>
  </si>
  <si>
    <t>PSM-FM-BCS-BU</t>
  </si>
  <si>
    <t>Search Help for master data 'Fund Center' does not display</t>
  </si>
  <si>
    <t>Technical Note</t>
  </si>
  <si>
    <t>PSM-FM-BU</t>
  </si>
  <si>
    <t>Budgeting and Availability Control</t>
  </si>
  <si>
    <t>PSM-FM-BU-AC</t>
  </si>
  <si>
    <t>Availability Control</t>
  </si>
  <si>
    <t>Unexpected error message BP 837 when checking revenues</t>
  </si>
  <si>
    <t>Performance of processing internal table T_PBO</t>
  </si>
  <si>
    <t>PSM-FM-PO</t>
  </si>
  <si>
    <t>Funds Management-Specific Postings</t>
  </si>
  <si>
    <t>PSM-FM-PO-DPC</t>
  </si>
  <si>
    <t>Automatic Down Payment Clearing</t>
  </si>
  <si>
    <t>PSM-FM-PO-DPC-PO</t>
  </si>
  <si>
    <t>Down Payment Clear</t>
  </si>
  <si>
    <t>Improvements on Automatic Downpayment Clearing (PO ref)</t>
  </si>
  <si>
    <t>Automat. down payment clearing: Error FF805</t>
  </si>
  <si>
    <t>The field rebzg is cleared during autoDPC posting for GR</t>
  </si>
  <si>
    <t>Down Payment incorrectly cleared during Logistics Invoice or</t>
  </si>
  <si>
    <t>Call FM_MM_DPAY_CHECK_ACTIVATION with company code</t>
  </si>
  <si>
    <t>PSM-FM-PO-EF</t>
  </si>
  <si>
    <t>Earmarked Funds</t>
  </si>
  <si>
    <t>RFFMRC20: List output for completed earmarked funds</t>
  </si>
  <si>
    <t>FMRE: Blank ref. document number during reduction using BAPI</t>
  </si>
  <si>
    <t>Eror M8496 -&amp;gt; FMEF004 during MIR4 and MIR6</t>
  </si>
  <si>
    <t>FMRE: Incorrect reduction records in automatic revaluation</t>
  </si>
  <si>
    <t>FMRE: Keine Transportaufzeichnung für V_FMRE_MM_CATASS</t>
  </si>
  <si>
    <t>FMZZ - Performance improvement SAP_APPL</t>
  </si>
  <si>
    <t>FMRE: Wrong Document Number (RBELNR) in Consumption</t>
  </si>
  <si>
    <t>PSM-FM-UP</t>
  </si>
  <si>
    <t>Actual Update and Commitment Update</t>
  </si>
  <si>
    <t>PSM-FM-UP-AD</t>
  </si>
  <si>
    <t>Account assignment</t>
  </si>
  <si>
    <t>FMJ2/FMCT: Technical Note</t>
  </si>
  <si>
    <t>FM to Order online assignment doesn't check if PSM is active</t>
  </si>
  <si>
    <t>PSM-FM-UP-CM</t>
  </si>
  <si>
    <t>Material Reservation not updated in FM with FMRESV_EF_CREATE</t>
  </si>
  <si>
    <t>PSM-FM-UP-FI</t>
  </si>
  <si>
    <t>FI Integration</t>
  </si>
  <si>
    <t>Enhance BSEG, FMIFIIT with FM reference document (FI part)</t>
  </si>
  <si>
    <t>FBRA: Clearing reset does not work</t>
  </si>
  <si>
    <t>RE</t>
  </si>
  <si>
    <t>Real Estate Management</t>
  </si>
  <si>
    <t>RE-FX</t>
  </si>
  <si>
    <t>Flexible Real Estate Management</t>
  </si>
  <si>
    <t>RE-FX-CO</t>
  </si>
  <si>
    <t>Real Estate Controll</t>
  </si>
  <si>
    <t>REISCOLIBDN: Enhancement of line item reporting w/ SAP HANA</t>
  </si>
  <si>
    <t>CO settlement for objects with master data lock not possible</t>
  </si>
  <si>
    <t>RE-IS</t>
  </si>
  <si>
    <t>General Contract-Reporting: Variant doesn't work for Status</t>
  </si>
  <si>
    <t>Line items SU: Message about document without archive index</t>
  </si>
  <si>
    <t>RE-PR</t>
  </si>
  <si>
    <t>Real Estate General Contract</t>
  </si>
  <si>
    <t>RE-PR-CN</t>
  </si>
  <si>
    <t>Contract Management</t>
  </si>
  <si>
    <t>Renewal of Real Estate general contracts: Inactive contracts</t>
  </si>
  <si>
    <t>RE-RT</t>
  </si>
  <si>
    <t>Rental</t>
  </si>
  <si>
    <t>Result set of SQL SELECT statement may not be sorted</t>
  </si>
  <si>
    <t>RE-RT-AD</t>
  </si>
  <si>
    <t>Rent Adjustment</t>
  </si>
  <si>
    <t>Alternative capping</t>
  </si>
  <si>
    <t>RE-RT-RA</t>
  </si>
  <si>
    <t>Rental Accounting</t>
  </si>
  <si>
    <t>FO24: SEPA fields in incoming payments display</t>
  </si>
  <si>
    <t>Enhancement for ledger-group-specific clearing</t>
  </si>
  <si>
    <t>RE-RT-RC</t>
  </si>
  <si>
    <t>Rental Agreement Mgt</t>
  </si>
  <si>
    <t>Conditions incorrect after transfer from rental object</t>
  </si>
  <si>
    <t>FO38: Deletion of condition date (condition header) fails</t>
  </si>
  <si>
    <t>RE-RT-SC</t>
  </si>
  <si>
    <t>Service Charge Settl</t>
  </si>
  <si>
    <t>Settlement unit itemization: Error for archived document</t>
  </si>
  <si>
    <t>XX</t>
  </si>
  <si>
    <t>Miscellaneous</t>
  </si>
  <si>
    <t>XX-CSC</t>
  </si>
  <si>
    <t>Country-Specific Developments</t>
  </si>
  <si>
    <t>XX-CSC-AR</t>
  </si>
  <si>
    <t>Argentina</t>
  </si>
  <si>
    <t>Dummy:checkman</t>
  </si>
  <si>
    <t>RFWTCT10: Converting local currency to foreign currency</t>
  </si>
  <si>
    <t>XX-CSC-AT</t>
  </si>
  <si>
    <t>Austria</t>
  </si>
  <si>
    <t>RFIDATAFS:Dump during the memory read</t>
  </si>
  <si>
    <t>XX-CSC-BE</t>
  </si>
  <si>
    <t>Belgium</t>
  </si>
  <si>
    <t>Removal of Report RFUVBE00 from SAP Easy Access Menu</t>
  </si>
  <si>
    <t>XX-CSC-BE-FI</t>
  </si>
  <si>
    <t>Financial Acc.</t>
  </si>
  <si>
    <t>RFALSD02: Incorrect country code in case of plants abroad.</t>
  </si>
  <si>
    <t>RFALSD02:Incorrect amount in the XML</t>
  </si>
  <si>
    <t>XX-CSC-BR</t>
  </si>
  <si>
    <t>Brazil</t>
  </si>
  <si>
    <t>Tax Determination - DDic creation</t>
  </si>
  <si>
    <t>Master Data - Screen</t>
  </si>
  <si>
    <t>Master Data - DDics</t>
  </si>
  <si>
    <t>AJUSTE SINIEF 15/2013 - Updates to Material Origin Code</t>
  </si>
  <si>
    <t>XX-CSC-BR-MM</t>
  </si>
  <si>
    <t>Pre-Implementation Objects</t>
  </si>
  <si>
    <t>XX-CSC-BR-REP</t>
  </si>
  <si>
    <t>Reporting</t>
  </si>
  <si>
    <t>ERP Reports out of maintenance</t>
  </si>
  <si>
    <t>XX-CSC-CL</t>
  </si>
  <si>
    <t>Chile</t>
  </si>
  <si>
    <t>XX-CSC-CL-FI</t>
  </si>
  <si>
    <t>RFCLLIB02: Distinguish between Old and New GL</t>
  </si>
  <si>
    <t>RFCLLIB00: Documents are not selected on Posting Date</t>
  </si>
  <si>
    <t>J_CL_BALANCE_SHEET: Incorrect Ledger Balance</t>
  </si>
  <si>
    <t>XX-CSC-CN</t>
  </si>
  <si>
    <t>China</t>
  </si>
  <si>
    <t>XX-CSC-CN-EFI</t>
  </si>
  <si>
    <t>New Finance UI and P</t>
  </si>
  <si>
    <t>Upport for renumbering issue</t>
  </si>
  <si>
    <t>XX-CSC-CN-EPIC</t>
  </si>
  <si>
    <t>e-Paymt Integration</t>
  </si>
  <si>
    <t>EPIC: Obsolete, moved to 1933400</t>
  </si>
  <si>
    <t>EPIC: Cash Flow Category Correction</t>
  </si>
  <si>
    <t>PRL: Code Adjustments for Payment Request Integration</t>
  </si>
  <si>
    <t>Code injection vulnerability in XX-CSC-CN-EPIC</t>
  </si>
  <si>
    <t>EPIC: Total amount in tab "Approve Items" is incorrect</t>
  </si>
  <si>
    <t>EPIC Obsolete, moved to 1939712.</t>
  </si>
  <si>
    <t>XX-CSC-CN-FI</t>
  </si>
  <si>
    <t>CN:ODN gap when executing some t-code with test run mode</t>
  </si>
  <si>
    <t>CN:Balance's direction issue for Account Balance Output(ALV)</t>
  </si>
  <si>
    <t>CN:Document header text is missing in account balance report</t>
  </si>
  <si>
    <t>CN:Fix incorrect check about profit center in ZJF</t>
  </si>
  <si>
    <t>AR/AP aging splitted documnet missing</t>
  </si>
  <si>
    <t>Technical note for report RFIDCN_BSAIS</t>
  </si>
  <si>
    <t>CN:Fix bug for Profit center based ZJF</t>
  </si>
  <si>
    <t>ODN fetch number range base on fiscal period</t>
  </si>
  <si>
    <t>Quantity incorrect in IDCNGRIR_GNB/IDCNGRIR_BNG</t>
  </si>
  <si>
    <t>Amount in Current and Last period are incorrect in P/L</t>
  </si>
  <si>
    <t>China: Subtotal incorrect in Account Balance</t>
  </si>
  <si>
    <t>Display consign vender no on IDCNGRIR_GNB</t>
  </si>
  <si>
    <t>CN:ODN gap when executing Tcode:AIBU</t>
  </si>
  <si>
    <t>XX-CSC-CN-GAI</t>
  </si>
  <si>
    <t>Golden Audit Interf.</t>
  </si>
  <si>
    <t>Golden Audit (China): Documentation Enhancements</t>
  </si>
  <si>
    <t>XX-CSC-CO</t>
  </si>
  <si>
    <t>Colombia</t>
  </si>
  <si>
    <t>DIAN Magnetic Media for Columbia</t>
  </si>
  <si>
    <t>XX-CSC-CZ</t>
  </si>
  <si>
    <t>Czech Republic</t>
  </si>
  <si>
    <t>XX-CSC-CZ-PS</t>
  </si>
  <si>
    <t>Public Sector</t>
  </si>
  <si>
    <t>Rep.Frwk. - Import of Settings Report and Events 002x</t>
  </si>
  <si>
    <t>XX-CSC-ES</t>
  </si>
  <si>
    <t>Spain</t>
  </si>
  <si>
    <t>ERS: Incorrect numbering in FI system</t>
  </si>
  <si>
    <t>XX-CSC-ES-FI</t>
  </si>
  <si>
    <t>RFIDESM340:Adjacent records are deleted from unsorted table</t>
  </si>
  <si>
    <t>RFIDESM340: error in field output-totrec and Fiscal address</t>
  </si>
  <si>
    <t>XX-CSC-FIAA</t>
  </si>
  <si>
    <t>Localiz. Asset Acc.</t>
  </si>
  <si>
    <t>Switch to IFRS: Changes in the localization objects</t>
  </si>
  <si>
    <t>XX-CSC-FICA</t>
  </si>
  <si>
    <t>Localization FI-CA</t>
  </si>
  <si>
    <t>India Q-returns: Enhancement for Insurance and Utilities</t>
  </si>
  <si>
    <t>XX-CSC-HR</t>
  </si>
  <si>
    <t>Croatia</t>
  </si>
  <si>
    <t>XX-CSC-HR-LO</t>
  </si>
  <si>
    <t>Logistics</t>
  </si>
  <si>
    <t>HR FISC:Generating Fiscalization specific number for invoice</t>
  </si>
  <si>
    <t>XX-CSC-HU</t>
  </si>
  <si>
    <t>Hungary</t>
  </si>
  <si>
    <t>New table: Exchange rate type per vendor for tax amount</t>
  </si>
  <si>
    <t>XX-CSC-HU-FI</t>
  </si>
  <si>
    <t>Reverse charge VAT declaration for Hungary</t>
  </si>
  <si>
    <t>HU: ERS numbering for FB60 regarding Hungary</t>
  </si>
  <si>
    <t>Down Payment HU - Not updated XBLNR in report FBL3N</t>
  </si>
  <si>
    <t>Documentation for Domestic Sales and Purchases List</t>
  </si>
  <si>
    <t>XX-CSC-HU-LO</t>
  </si>
  <si>
    <t>HU: Unit price for consignment settlement (MRKO)</t>
  </si>
  <si>
    <t>XX-CSC-HU-PS</t>
  </si>
  <si>
    <t>Rep.Frwk. - Protect Dynamic Insertion and Selection</t>
  </si>
  <si>
    <t>XX-CSC-IN</t>
  </si>
  <si>
    <t>India</t>
  </si>
  <si>
    <t>XX-CSC-IN-FI</t>
  </si>
  <si>
    <t>Incorrect updation of section code</t>
  </si>
  <si>
    <t>CTS-2010 cheque format India</t>
  </si>
  <si>
    <t>J1INPR : Provision is not considering modified base amount</t>
  </si>
  <si>
    <t>DPC with MIRO document is not picked in J1INQEFILE</t>
  </si>
  <si>
    <t>Downpayment clearing with MIRO gives error</t>
  </si>
  <si>
    <t>J1INPR: Second local currency is not updated</t>
  </si>
  <si>
    <t>J1INCHLN: Internal Challan considering wrong Fiscal year</t>
  </si>
  <si>
    <t>RPFIWTIN_QRETURNS: Industry solution data is not reported</t>
  </si>
  <si>
    <t>F-54: TDS amount is reversed incorrectly</t>
  </si>
  <si>
    <t>TCS Certificate Form 27D -Legal Change 2013</t>
  </si>
  <si>
    <t>F-54 : Incorrect Second Local Currency Amount</t>
  </si>
  <si>
    <t>J1IN011 message customized as error or information</t>
  </si>
  <si>
    <t>RPFIWTIN_QRETURNS: FVU3.8 Legal change 2013-14</t>
  </si>
  <si>
    <t>DPC with MIRO: DPC document is updated with wrong challan</t>
  </si>
  <si>
    <t>RPFIWTIN_QRETURNS: Documents are not picked properly</t>
  </si>
  <si>
    <t>MR8M : Downpayment clearing with MIRO</t>
  </si>
  <si>
    <t>DPC with MIRO: With_item table is updated with wrong entries</t>
  </si>
  <si>
    <t>FIWTIN_QRETURNS: Reason code is not reported.</t>
  </si>
  <si>
    <t>DPC with MIRO gives 'Amount Field is negative' error</t>
  </si>
  <si>
    <t>DPC with MIRO : TDS amount is calculated incorrectly</t>
  </si>
  <si>
    <t>DPC with MIRO: DPC tax amount is calculated incorrectly</t>
  </si>
  <si>
    <t>DPC with MIRO: DPC amounts are not rounded off</t>
  </si>
  <si>
    <t>Downpayment Clearing With MIRO :Third local currency issue</t>
  </si>
  <si>
    <t>XX-CSC-IN-FIAA</t>
  </si>
  <si>
    <t>RPFIAAIN_PO_TRACK: All items of PO not displayed in output</t>
  </si>
  <si>
    <t>XX-CSC-IN-MM</t>
  </si>
  <si>
    <t>Materials Mngmt</t>
  </si>
  <si>
    <t>BM305 error when using UoM with lower case letters- CIN</t>
  </si>
  <si>
    <t>Incorrect effective price of PO when PO quantity is changed</t>
  </si>
  <si>
    <t>Tax Code Calculation error in FB70</t>
  </si>
  <si>
    <t>BED/AED/SED/NCCD excise values are not rounded off- J1IEX</t>
  </si>
  <si>
    <t>XX-CSC-IT</t>
  </si>
  <si>
    <t>Italy</t>
  </si>
  <si>
    <t>ODN IT: Enable ODN for RE-FX</t>
  </si>
  <si>
    <t>RFITREVAL Italy Year End Currency Revaluation</t>
  </si>
  <si>
    <t>XX-CSC-JP</t>
  </si>
  <si>
    <t>Japan</t>
  </si>
  <si>
    <t>ISJP Deletion Report Enhancement for MIs and PIs</t>
  </si>
  <si>
    <t>Multiple Taxes: Invoice Amount and Tax Amount are wrong</t>
  </si>
  <si>
    <t>Manual posting of Incoming payment: Dump in summary view</t>
  </si>
  <si>
    <t>Paid amount missing in invoice summary invoice</t>
  </si>
  <si>
    <t>Shortdump in invoice summary status report on AS ABAP 7.40</t>
  </si>
  <si>
    <t>Redundant messages in invoice summary creation report</t>
  </si>
  <si>
    <t>XX-CSC-KR</t>
  </si>
  <si>
    <t>South Korea</t>
  </si>
  <si>
    <t>XX-CSC-KR-FI</t>
  </si>
  <si>
    <t>RFIDKRTCR: Document amount is wrongly passed to the BAdI.</t>
  </si>
  <si>
    <t>RFIDKRTPR: Missing sort key.</t>
  </si>
  <si>
    <t>RFUMSV49R: Missing order by statement in select query.</t>
  </si>
  <si>
    <t>XX-CSC-KW</t>
  </si>
  <si>
    <t>Kuwait</t>
  </si>
  <si>
    <t>XX-CSC-KW-FI</t>
  </si>
  <si>
    <t>Kuwait: Enablement of Bill of Exchange Functionality</t>
  </si>
  <si>
    <t>XX-CSC-KZ</t>
  </si>
  <si>
    <t>Kazakhstan</t>
  </si>
  <si>
    <t>XX-CSC-KZ-FI</t>
  </si>
  <si>
    <t>Online contract accounting - no leading zeros in ZUONR</t>
  </si>
  <si>
    <t>XX-CSC-PE</t>
  </si>
  <si>
    <t>Peru</t>
  </si>
  <si>
    <t>RFCLLIB03_PE: Incorrect reference document date</t>
  </si>
  <si>
    <t>RFCLLIB01_PE: Incorrect Period displayed</t>
  </si>
  <si>
    <t>RFCLLIB04_PE: Incorrect Period displayed</t>
  </si>
  <si>
    <t>XX-CSC-PE-FI</t>
  </si>
  <si>
    <t>RFCLLIB02_PE: Distinguish between Old and New GL</t>
  </si>
  <si>
    <t>XX-CSC-PL</t>
  </si>
  <si>
    <t>Poland</t>
  </si>
  <si>
    <t>XX-CSC-PL-FI</t>
  </si>
  <si>
    <t>RFASLD15: Legal Change Poland 2013</t>
  </si>
  <si>
    <t>RFASLD15(PL): Amount not displayed in Local Currency</t>
  </si>
  <si>
    <t>VAT 2013 - New forms for EC Sales List for Poland</t>
  </si>
  <si>
    <t>RFASLD15: XML file(Version 3)format for Poland Legal Change</t>
  </si>
  <si>
    <t>XX-CSC-PL-LO</t>
  </si>
  <si>
    <t>DP Poland : Issue with settlement of Final invoice</t>
  </si>
  <si>
    <t>XX-CSC-PT</t>
  </si>
  <si>
    <t>Portugal</t>
  </si>
  <si>
    <t>PT:Digital Signature for self billing invoice using MRIS</t>
  </si>
  <si>
    <t>PT Sign : Corrections for self billing process</t>
  </si>
  <si>
    <t>PT OBD: Gaps in XBLNR while delivery cancellation</t>
  </si>
  <si>
    <t>PT: Display reference document number in outbound delivery</t>
  </si>
  <si>
    <t>XX-CSC-PT-FI</t>
  </si>
  <si>
    <t>SAFT-PT: Corrections RSAFT_PT_XML for 2010 (65)</t>
  </si>
  <si>
    <t>SAFT July Legal Change Portaria 160/2013 (for 617 - ONLY)</t>
  </si>
  <si>
    <t>SAFT-PT: Corrections RSAFT_PT_XML for 2010 (66)</t>
  </si>
  <si>
    <t>Law 160/2013 for FI-CA Integration in SAF-T (PT)</t>
  </si>
  <si>
    <t>RFUMPT00:Issue with payment reversal document</t>
  </si>
  <si>
    <t>SAF-T : Corrections for SelfBilling#4 (LC July2013)</t>
  </si>
  <si>
    <t>RFUMPT00:Issue with document posted with reverse charge</t>
  </si>
  <si>
    <t>SAFT-PT: Corrections RSAFT_PT_XML for 2010 (67)</t>
  </si>
  <si>
    <t>RFIDPTPSXML: Incorrect amount in the XML file</t>
  </si>
  <si>
    <t>RFUMPT00:Issue with cash sales document</t>
  </si>
  <si>
    <t>SAFT-PT: Corrections RSAFT_PT_XML for 2010 (68)</t>
  </si>
  <si>
    <t>SAF-T : Self Billing Corrections(5)</t>
  </si>
  <si>
    <t>SAF-T:Self Billing Corrections (7)</t>
  </si>
  <si>
    <t>SAFT-PT: Corrections RSAFT_PT_XML for 2010 (69)</t>
  </si>
  <si>
    <t>XX-CSC-PT-FIAA</t>
  </si>
  <si>
    <t>PT: Redesign of Mapas Fiscais Solution</t>
  </si>
  <si>
    <t>PT : Mapas Fiscais corrections</t>
  </si>
  <si>
    <t>PT: Mapas Fiscais PDF layout corrections</t>
  </si>
  <si>
    <t>Mapas Fiscais: Corrections and Performance improvement</t>
  </si>
  <si>
    <t>PT: Mapas Fiscais - DMEE XML Correction</t>
  </si>
  <si>
    <t>PT: Adjustments in column 10 and 14 for map 3204</t>
  </si>
  <si>
    <t>MAPAS FISCAIS(new): Corrections for XML file and structure</t>
  </si>
  <si>
    <t>MAPAS FISCAIS(new): Enhancements for xls, BADI + Corrections</t>
  </si>
  <si>
    <t>MAPAS(new):Badi method to decide grouping of Fully Dep.asset</t>
  </si>
  <si>
    <t>PT-FIAA: Potential Directory Traversal</t>
  </si>
  <si>
    <t>MAPAS FISCAIS(New):Excel on App. server for maps 31 and 33xx</t>
  </si>
  <si>
    <t>MAPAS(new):Column13A of map 3330 missing in the excel output</t>
  </si>
  <si>
    <t>Mapas Fiscais(new): Change in user exit for column 14</t>
  </si>
  <si>
    <t>XX-CSC-RU</t>
  </si>
  <si>
    <t>Russia</t>
  </si>
  <si>
    <t>Wrong assignment number in accounting document after VF04</t>
  </si>
  <si>
    <t>XX-CSC-RU-FI</t>
  </si>
  <si>
    <t>J_3RF_VAT_ANALYSIS: Documents are not included. Wrong date</t>
  </si>
  <si>
    <t>RFUMSV50: Pay back (negative) down payment clearing</t>
  </si>
  <si>
    <t>J_3R_PTAX_DECL: Property Tax Declaration issues</t>
  </si>
  <si>
    <t>J_3R_PTAX_CALC: empty structural division, zero 13th NBV</t>
  </si>
  <si>
    <t>Find payments class correction for INV-17</t>
  </si>
  <si>
    <t>J3RTAXREP - Incorrect calculation in FI/SL provider</t>
  </si>
  <si>
    <t>J_3RF_VAT_ANALYSIS: Long processing time</t>
  </si>
  <si>
    <t>Sales/Purchase Ledger: partner name in down payments</t>
  </si>
  <si>
    <t>J_3RF_RATE_CALC: incorrect exchange rate type in MIRO</t>
  </si>
  <si>
    <t>Electronic Invoices: incorrect XML</t>
  </si>
  <si>
    <t>Transaction J3RKKRD inserts position with incorrect XNEGP</t>
  </si>
  <si>
    <t>RFUMSV50: duplicate dump for down payment many taxes</t>
  </si>
  <si>
    <t>RFUMSV53: Bill of Exchange Payment</t>
  </si>
  <si>
    <t>Transaction J3RKKRL doesn't show postings with business area</t>
  </si>
  <si>
    <t>RFUMSV53: RL Line Comparison</t>
  </si>
  <si>
    <t>Additional methods for retrieving struct div attributes</t>
  </si>
  <si>
    <t>Contracts in Invoice Journal</t>
  </si>
  <si>
    <t>J_3RFVATMM: XML for KZ v7.53, adobe form</t>
  </si>
  <si>
    <t>Sales/Purchase Ledger: corrections for VAT in transit</t>
  </si>
  <si>
    <t>ILM Enablement: archiving objects J_3RFDIARC and J_3RREGINV</t>
  </si>
  <si>
    <t>INV-1,INV-1A: Grouping by asset classes option is missing</t>
  </si>
  <si>
    <t>Electronic VAT invoices: several EDO operators</t>
  </si>
  <si>
    <t>VAT invoice deletion, chain of corrective invoices</t>
  </si>
  <si>
    <t>Transfer Pricing. Phone number and E-Mail in Notification.</t>
  </si>
  <si>
    <t>Sales/Purchase Ledger: VAT date in additional sheet</t>
  </si>
  <si>
    <t>Electronic VAT invoices: LC in VAT Reporting (order 446)</t>
  </si>
  <si>
    <t>Sales/Purchase Ledger: cancellations for 0% taxes</t>
  </si>
  <si>
    <t>J_3RTSEMAINT, vendor invoice with dr/cr lines</t>
  </si>
  <si>
    <t>Cash Flow report displays incorrect amount</t>
  </si>
  <si>
    <t>Cash Journal voucher amount is displayed with leading zeros</t>
  </si>
  <si>
    <t>Transaction J3RKKRL consider business area in total Beginnin</t>
  </si>
  <si>
    <t>OS-2:Sender-name,OC-4b:Actual useful life(interactive PDF)</t>
  </si>
  <si>
    <t>Duplication of the assets in russian transport tax decl</t>
  </si>
  <si>
    <t>Sales Ledger: FZ-39 from 05.04.2013</t>
  </si>
  <si>
    <t>Electronic VAT invoices: logic in DP_PDOTPR</t>
  </si>
  <si>
    <t>J_3RF_INV_TARG_PERIOD,J_3RF_NKS_STARTUP: CoCd authorization</t>
  </si>
  <si>
    <t>J3RF_XNEGP_FI: Accounts Without Open Item Management</t>
  </si>
  <si>
    <t>J_3RFVATMM: VAT payment amount checked incorrectly</t>
  </si>
  <si>
    <t>Cash Flow. GR/IR, specified Ledger errors correction</t>
  </si>
  <si>
    <t>Russian transport tax filters assets by acquisition date</t>
  </si>
  <si>
    <t>J_3RF_BINDING_FI_WITH_DI: New BAdI method UPDATE_BEFORE_SAVE</t>
  </si>
  <si>
    <t>J3RTAXREP - Formula evaluations improvements</t>
  </si>
  <si>
    <t>RFUMSV50: Performance improvement</t>
  </si>
  <si>
    <t>RFUMSV50: Check bank line for clearing w/o lines</t>
  </si>
  <si>
    <t>Cash Flow Report consists of sections always</t>
  </si>
  <si>
    <t>Performance improvement: Gains and Losses on Retirements, De</t>
  </si>
  <si>
    <t>Invoice Journal: Electronic invoice improvements</t>
  </si>
  <si>
    <t>Description field saving correction in transaction J3RKSORT</t>
  </si>
  <si>
    <t>Deletion of entries in parameter mapping J_3RF_TAX_DP_EDIT</t>
  </si>
  <si>
    <t>J3RTAXREP - Nested repeatable nodes handling</t>
  </si>
  <si>
    <t>J_3RF_TAX_DP_EDIT has no transport function</t>
  </si>
  <si>
    <t>J_3RFDI_ARC or J_3RFVREP_HIER activation errors on SP01</t>
  </si>
  <si>
    <t>J_3rfum26: BDC_INSERT for separate VAT scenario</t>
  </si>
  <si>
    <t>Sales/Purchase Ledger: incorrect ledger, downpayments</t>
  </si>
  <si>
    <t>Sales/Purchase Ledger: down payments</t>
  </si>
  <si>
    <t>J_3R_PTAX_DECL: 'Representative's Co. Name' is mandatory</t>
  </si>
  <si>
    <t>RFUMSV53: Syntax error after changes in RFUMSV50</t>
  </si>
  <si>
    <t>J_3rfum26: Assigned to invoice amount in LC in ALV</t>
  </si>
  <si>
    <t>Accounting Statement report: chief accountant name</t>
  </si>
  <si>
    <t>J3RTAXREP - Nested repeatable nodes handling #2</t>
  </si>
  <si>
    <t>J_3RFUM26: VATDATE for confirmed export</t>
  </si>
  <si>
    <t>J_3rfum26:Tax base 0% on accrual w/secondary event</t>
  </si>
  <si>
    <t>J3RFTRPR - CX_SY_FILE_OPEN_MODE short dump</t>
  </si>
  <si>
    <t>Adjustments for russian transport tax to new eco class field</t>
  </si>
  <si>
    <t>Sales/Purchase Ledger: revisions, forgotten invoices</t>
  </si>
  <si>
    <t>J3RTAXREP - handling inclusion criteria in rep.nodes</t>
  </si>
  <si>
    <t>Add. columns in J_3RFTAX_FINREZ_LIST</t>
  </si>
  <si>
    <t>Transport tax declaration: error AM016</t>
  </si>
  <si>
    <t>P_TPORG should not be mandatory at J3RALFTTAXDECL sel.screen</t>
  </si>
  <si>
    <t>J3RTAXREP - Selection screen generation</t>
  </si>
  <si>
    <t>Transfer pricing. Errors correction. Missing texts.</t>
  </si>
  <si>
    <t>J_3RCREV: customizing without chart of account</t>
  </si>
  <si>
    <t>Property tax declaration: tax authorities codes</t>
  </si>
  <si>
    <t>Sales/Purchase Ledger: Separate VAT - tax transfer</t>
  </si>
  <si>
    <t>Sales/Purchase Ledger: tax agents</t>
  </si>
  <si>
    <t>J3RTAXREP - Multilanguage support</t>
  </si>
  <si>
    <t>Transfer pricing. Performance improvement</t>
  </si>
  <si>
    <t>SeparateVAT: selection of docs according to calendar period</t>
  </si>
  <si>
    <t>Sales/Purchase Ledger: Separate VAT, revisions</t>
  </si>
  <si>
    <t>BAPI_FIXEDASSET_CHANGE: Error message GLO_FIAA01 007</t>
  </si>
  <si>
    <t>J_3rfum26: Screen 002 posting from ALV on accrual</t>
  </si>
  <si>
    <t>Sales/Purchase Ledger: forgotten invoices</t>
  </si>
  <si>
    <t>Russian transport tax: double taxation in declaration</t>
  </si>
  <si>
    <t>RFUMSV50: Composite tax after note 1881402</t>
  </si>
  <si>
    <t>J_3RFVATMM. Transaction for maint. view V_J_3RF_VENDOR</t>
  </si>
  <si>
    <t>Sales/Purchase Ledger: large extracts, posting date</t>
  </si>
  <si>
    <t>J_3RF_VAT_ANALYSIS: Additional invoice line for FB05</t>
  </si>
  <si>
    <t>Transfer pricing. Error corrections (SD documents)</t>
  </si>
  <si>
    <t>Electronic VAT Invoices - incoming digital signature</t>
  </si>
  <si>
    <t>J_3RSSEPINCVAT:incorrect Assignment,Text and Ref.Key1 fields</t>
  </si>
  <si>
    <t>J3RFKSLD, J3RDKSLD Incorrect beginning balance</t>
  </si>
  <si>
    <t>Cash Flow. Technical correction in J_3RFFORM4F02</t>
  </si>
  <si>
    <t>Potential disclosure of persisted data in XX-CSC-RU</t>
  </si>
  <si>
    <t>Structural divisions correction</t>
  </si>
  <si>
    <t>BRFB and BRFP translation</t>
  </si>
  <si>
    <t>Structural divisions for VAT invoices: changes</t>
  </si>
  <si>
    <t>Sales/Purchase Ledger: large extracts</t>
  </si>
  <si>
    <t>Property tax calculation: empty tax data</t>
  </si>
  <si>
    <t>Incorrect pages in the Property Tax Declaration</t>
  </si>
  <si>
    <t>FBCJ J_3RFKORDR2_A, KO-2, incorrect form</t>
  </si>
  <si>
    <t>Sales/Purchase Ledger: downpayments, summarize transfers</t>
  </si>
  <si>
    <t>Cash Flow. Correction of BC Set J_3RF_CASH_FLOW</t>
  </si>
  <si>
    <t>J_3RF_BINDING_FI_WITH_DI: Matching documents with different</t>
  </si>
  <si>
    <t>J_3rfum26: screen 0002 for Z-part, signs in ALV</t>
  </si>
  <si>
    <t>Form OS-4B: Negative depreciation, missing text of the param</t>
  </si>
  <si>
    <t>Russian transport tax is calculated for the wrong period</t>
  </si>
  <si>
    <t>J_3rfum26: Authorization check on company code</t>
  </si>
  <si>
    <t>CUV_ERP_EhP7_SP7: J3RFCNTOFFP report updating</t>
  </si>
  <si>
    <t>Electronic VAT Invoices: ON_SFAKT_1_897_01_05_01_03.xsd</t>
  </si>
  <si>
    <t>XX-CSC-RU-LO</t>
  </si>
  <si>
    <t>INV-3: incorrect value and price amounts (columns 7,11,13)</t>
  </si>
  <si>
    <t>Form 1-T (RU): additional fields for BAdI J_3RV_1T_BADI</t>
  </si>
  <si>
    <t>XX-CSC-SK</t>
  </si>
  <si>
    <t>Slovakia</t>
  </si>
  <si>
    <t>XX-CSC-SK-FI</t>
  </si>
  <si>
    <t>RPFISKEVAT: Issue with the signs in the xml nodes</t>
  </si>
  <si>
    <t>XX-CSC-TH</t>
  </si>
  <si>
    <t>Thailand</t>
  </si>
  <si>
    <t>XX-CSC-TH-AC</t>
  </si>
  <si>
    <t>Accounting (Thai)</t>
  </si>
  <si>
    <t>J_1HDTAX: multiple issues are reported</t>
  </si>
  <si>
    <t>J_1HDTAX: Wrong base amount is transferred</t>
  </si>
  <si>
    <t>RFIDYYWT: Incorrect certificate number generation</t>
  </si>
  <si>
    <t>XX-CSC-TR</t>
  </si>
  <si>
    <t>Turkey</t>
  </si>
  <si>
    <t>XX-CSC-TR-FI</t>
  </si>
  <si>
    <t>F-36: Error message saying 'bank does not exist'.</t>
  </si>
  <si>
    <t>RFIDTRSLIST: Sequence number is missing or displayed wrong.</t>
  </si>
  <si>
    <t>XX-CSC-UA</t>
  </si>
  <si>
    <t>Ukraine</t>
  </si>
  <si>
    <t>XX-CSC-UA-FI</t>
  </si>
  <si>
    <t>Country-specific asset master data Ukraine</t>
  </si>
  <si>
    <t>XX-PART</t>
  </si>
  <si>
    <t>Partner solutions</t>
  </si>
  <si>
    <t>XX-PART-TIF</t>
  </si>
  <si>
    <t>Tax Interface (USA)</t>
  </si>
  <si>
    <t>Recreation of ETXDC* tables: Document currency missing</t>
  </si>
  <si>
    <t>XX-PROJ</t>
  </si>
  <si>
    <t>Project-based solutions</t>
  </si>
  <si>
    <t>XX-PROJ-CHO</t>
  </si>
  <si>
    <t>Chorus</t>
  </si>
  <si>
    <t>XX-PROJ-CHO-IOA</t>
  </si>
  <si>
    <t>Chorus - Interest on Arrears</t>
  </si>
  <si>
    <t>XX-PROJ-CHO-IOA-FI</t>
  </si>
  <si>
    <t>Chorus - Interest FI</t>
  </si>
  <si>
    <t>IOA: Field LINE_TYPE is incorrectly set for clearing docs</t>
  </si>
  <si>
    <t>FPIA_INTSHOW: MSINT401 for "Group Items Subjd to interest"</t>
  </si>
  <si>
    <t>FPIA: Excp. cond. "OS_COMMIT_TOP_FALILED" raised in MR8M</t>
  </si>
  <si>
    <t>FPIA: Error message FPIA005 for park documents</t>
  </si>
  <si>
    <t>Missing authorization check in XX-PROJ-CHO-IOA-FI</t>
  </si>
  <si>
    <t>XX-TRANSL</t>
  </si>
  <si>
    <t>Translation</t>
  </si>
  <si>
    <t>XX-TRANSL-NL</t>
  </si>
  <si>
    <t>Translation NL</t>
  </si>
  <si>
    <t>Correction of Dutch translation of "EC Sales List"</t>
  </si>
  <si>
    <t>XX-TRANSL-SK</t>
  </si>
  <si>
    <t>Translation SK</t>
  </si>
  <si>
    <t>Correction of translation of 'G/L Account Line Items'</t>
  </si>
  <si>
    <t>Missing authorization check in Accounting BAPIs</t>
  </si>
  <si>
    <t>Error IAOM 028 not sufficient when billing from CRM</t>
  </si>
  <si>
    <t>BAPI: SEPA for one-time customers</t>
  </si>
  <si>
    <t>FF 817 for transfer of CRM invoice</t>
  </si>
  <si>
    <t>ILM object for ECS documents</t>
  </si>
  <si>
    <t>GLE_ECS_MSG_S 001 after successful error correction in ECS</t>
  </si>
  <si>
    <t>ECS Direct Input: Mapping of Transaction Type Missing</t>
  </si>
  <si>
    <t>Dump CONVT_NO_NUMBER for ECS posting using RFBIBL00</t>
  </si>
  <si>
    <t>Incorrect ECS log entries from BRFplus functions</t>
  </si>
  <si>
    <t>ECS Direct Input cannot start in batch without BMV0</t>
  </si>
  <si>
    <t>Budget extraction: 0FISCPER initial for currency type 10</t>
  </si>
  <si>
    <t>Extraction of order target values</t>
  </si>
  <si>
    <t>0CO_PC_PCP_30: Cost component structure not extracted</t>
  </si>
  <si>
    <t>0C0_PC_PCP_03: Mixed costing is not correctly extracted</t>
  </si>
  <si>
    <t>Performance problems or runtime error when loading the DataS</t>
  </si>
  <si>
    <t>Technical changes to extractor of DataSource 0FI_AA_12</t>
  </si>
  <si>
    <t>0FI_AA_12: Incomplete full upload or delta initialization</t>
  </si>
  <si>
    <t>0FI_AA_12: Job terminated in source system</t>
  </si>
  <si>
    <t>0FI_GL_50: DBIF_RSQL_INVALID_CURSOR</t>
  </si>
  <si>
    <t>Replace MESSAGE X016(GU) in G_GLU1_TO_AC_DOC_TRANSFORM</t>
  </si>
  <si>
    <t>Program changes for exclusive lock in BW delta extraction (2</t>
  </si>
  <si>
    <t>0FI_GL_14: Delta mode: Changed and cleared documents are mis</t>
  </si>
  <si>
    <t>Program change for exclusive lock in BW delta extraction (3)</t>
  </si>
  <si>
    <t>Termination GQPI 070: Extractors for G/L documents are not c</t>
  </si>
  <si>
    <t>SEPA IMG</t>
  </si>
  <si>
    <t>CA-EUR</t>
  </si>
  <si>
    <t>European Monetary Union - Euro</t>
  </si>
  <si>
    <t>CA-EUR-CNV</t>
  </si>
  <si>
    <t>Local Currency Conversion</t>
  </si>
  <si>
    <t>CA-EUR-CNV-EC</t>
  </si>
  <si>
    <t>Enterprise Control.</t>
  </si>
  <si>
    <t>FICEUR00: Level 20, consolidation unit = partner unit</t>
  </si>
  <si>
    <t>CA-EUR-CNV-FI</t>
  </si>
  <si>
    <t>EWU_KSTAR_CHECK: unjustified error KSTAR is not filled</t>
  </si>
  <si>
    <t>DMEE: Accompanying Sheet - wrong sums</t>
  </si>
  <si>
    <t>DMEE Type UMS2: decimal format not taken into consideration</t>
  </si>
  <si>
    <t>FTWH/FTWY - fields missing if no data in an extract</t>
  </si>
  <si>
    <t>Removing control characters from texts</t>
  </si>
  <si>
    <t>Error with japanese extract files in DART</t>
  </si>
  <si>
    <t>FTWR : "Estimated run time" too short</t>
  </si>
  <si>
    <t>F4 help for extract files in FTWH - filter doesn't work</t>
  </si>
  <si>
    <t>Selection language missing in DART extract</t>
  </si>
  <si>
    <t>FTWH / FTWY : restrict outer join with excluding selection</t>
  </si>
  <si>
    <t>CA-JVA</t>
  </si>
  <si>
    <t>Joint Venture and Production Sharing Accounting</t>
  </si>
  <si>
    <t>CA-JVA-JVA</t>
  </si>
  <si>
    <t>Joint Venture Accounting</t>
  </si>
  <si>
    <t>CA-JVA-JVA-IF</t>
  </si>
  <si>
    <t>Integration Funct.</t>
  </si>
  <si>
    <t>Incorrect recovery indicator derivation in IR.</t>
  </si>
  <si>
    <t>Error GG number 031 during company replication (country)</t>
  </si>
  <si>
    <t>Company Code replication via SOA services (XML file) ends wi</t>
  </si>
  <si>
    <t>eigener hinweis für korrekturen</t>
  </si>
  <si>
    <t>Composite SAP Note: Suite on HANA changes</t>
  </si>
  <si>
    <t>CL_FCO_COSP_UPDATE and CL_FCO_COSS_UPDATE</t>
  </si>
  <si>
    <t>CO-OM-Tools: Technical enhancement of SE16N</t>
  </si>
  <si>
    <t>CO-OM tools: Checkboxes are not transferred</t>
  </si>
  <si>
    <t>CO-OM tools: Incorrect field assignment for reconciliation f</t>
  </si>
  <si>
    <t>Replacing write access to COSP, COSS in SAP_APPL</t>
  </si>
  <si>
    <t>CO-OM planning: Short Dump SAPLRSDG_IOBJ_DB_READ</t>
  </si>
  <si>
    <t>CO-OM tools: Adjustment to data access</t>
  </si>
  <si>
    <t>CO-OM tools: Faster screen call</t>
  </si>
  <si>
    <t>Performance improvement in master data selection</t>
  </si>
  <si>
    <t>CO-OM tools: Dump when selecting the text table</t>
  </si>
  <si>
    <t>Activity-Based Cost.</t>
  </si>
  <si>
    <t>ZDM Anpassung für ABC</t>
  </si>
  <si>
    <t>Template allocation: Error KL 023 for uninvolved LSTARs</t>
  </si>
  <si>
    <t>Template allocation: Error CJ 021 for StatisticalKeyFigure</t>
  </si>
  <si>
    <t>CO-OM-ACT-E</t>
  </si>
  <si>
    <t>BAPIs for actual postings: messages issued multiple times</t>
  </si>
  <si>
    <t>Incorrect cost component split determined in object currency</t>
  </si>
  <si>
    <t>Planned cost component split in object currency is incorrect</t>
  </si>
  <si>
    <t>KS02: Performance improvement when maintaining "User Respons</t>
  </si>
  <si>
    <t>BAPI_COSTCENTER_DELETEMULTIPLE: DUMP GETWA_NOT_ASSIGNED</t>
  </si>
  <si>
    <t>KP06: Missing actual costs</t>
  </si>
  <si>
    <t>Short dump from KP97 due to blank entries in field  ls_rku01</t>
  </si>
  <si>
    <t>Allocation: Orders with AUFKOSTL active</t>
  </si>
  <si>
    <t>HANA: Allocation processor: Termination IILV</t>
  </si>
  <si>
    <t>Short Dump when Maintaining Settlement Rule for Line Items</t>
  </si>
  <si>
    <t>Automatically created settlement rule: Check asset</t>
  </si>
  <si>
    <t>Settlement rule: Settlement profile from order type not save</t>
  </si>
  <si>
    <t>Internal order collective display:  missing buttons</t>
  </si>
  <si>
    <t>Claim: Set deletion indicator: Check WBS element: CJ677</t>
  </si>
  <si>
    <t>Maintenance plan/item settlement rules: 100 % check</t>
  </si>
  <si>
    <t>Dump when activating bi content /ERP/</t>
  </si>
  <si>
    <t>Problem reading many texts for info objects</t>
  </si>
  <si>
    <t>Not all values returned for masterdata</t>
  </si>
  <si>
    <t>Settlmt AuC: various errors due to transfer variant</t>
  </si>
  <si>
    <t>Overhead rates: "Invalid status" exception</t>
  </si>
  <si>
    <t>Overhead rates:  SAPSQL_INVALID_FIELDNAME exception error</t>
  </si>
  <si>
    <t>OHA: Exception with actual reversal</t>
  </si>
  <si>
    <t>KEHW: KE_HDB 068 during replication</t>
  </si>
  <si>
    <t>KEHC: Account-based CO-PA data missing in reporting</t>
  </si>
  <si>
    <t>KE28 enhancements</t>
  </si>
  <si>
    <t>KEDR: Dump CONVT_NO_NUMBER when using fields from the varian</t>
  </si>
  <si>
    <t>KE28: Enhancements</t>
  </si>
  <si>
    <t>READ: Account-based unit of measure missing (III)</t>
  </si>
  <si>
    <t>Revenue realization: Values in FI and CO-PA are different</t>
  </si>
  <si>
    <t>KE28 - selection criteria not retrieved from variant</t>
  </si>
  <si>
    <t>ALLOCATION: GA626 error issued for GSBER field</t>
  </si>
  <si>
    <t>KE30 / KE24: Selection with pattern</t>
  </si>
  <si>
    <t>KEAT: PCA cost of merchandise sold too low</t>
  </si>
  <si>
    <t>KEQ3: Not all exceptions displayed in display mode</t>
  </si>
  <si>
    <t>KEDR: Performance when reading customer hierarchy</t>
  </si>
  <si>
    <t>KEA5/KEA6: Message K6 424 when client doesn't permit changes</t>
  </si>
  <si>
    <t>KEPM - receiver characteristic deleted</t>
  </si>
  <si>
    <t>KEAI: "PA-relevant" values are calculated incorrectly</t>
  </si>
  <si>
    <t>COPAC preprocessing: wrong results in parallel processing</t>
  </si>
  <si>
    <t>COPAC_xxxx write phase: missing selection for PA segments</t>
  </si>
  <si>
    <t>COPAC preprocessing: Error 'other_failure'</t>
  </si>
  <si>
    <t>Incorrect reversal of GR for production orders and performan</t>
  </si>
  <si>
    <t>CKMSTART: Production order history migration during ML start</t>
  </si>
  <si>
    <t>Incorr cost component split for non-inventory-relev ER diff</t>
  </si>
  <si>
    <t>Archived ML documents not displayed in original docs</t>
  </si>
  <si>
    <t>Dump SAPSQL_ARRAY_INSERT_DUPREC with goods issue to order</t>
  </si>
  <si>
    <t>Technical correction in module MLCCS_KSTAR_TO_KSTEL</t>
  </si>
  <si>
    <t>Error C+182 CKMM: no valuation class exists for material</t>
  </si>
  <si>
    <t>FCML_FILL: Beginning/ending inventories missing in FCML_REP</t>
  </si>
  <si>
    <t>FCML: missing cost component split for non-distr. diffs</t>
  </si>
  <si>
    <t>CKMM: MAP of the previous period was lost after price change</t>
  </si>
  <si>
    <t>CO_ML_IDX: Standardization</t>
  </si>
  <si>
    <t>SIT: Wrong entries in CKMLHD after CKMSTART (SOBKZ &amp;lt;&amp;gt;T)</t>
  </si>
  <si>
    <t>HDBC not generate V_GLPOS_C_CT for Price Difference Balance</t>
  </si>
  <si>
    <t>MLCCS009 error at goods receipt</t>
  </si>
  <si>
    <t>C+099 in MIGO when zero quantity is entered</t>
  </si>
  <si>
    <t>Interface FCML_ACC in ML application</t>
  </si>
  <si>
    <t>MR22: C+56 - Field overflow during price calculation -</t>
  </si>
  <si>
    <t>FCML: Online update of reporting table</t>
  </si>
  <si>
    <t>Accounts not reconciled after change of valuation class</t>
  </si>
  <si>
    <t>RKKBALV1: incorrect plan value version</t>
  </si>
  <si>
    <t>Overhead calculation: fund management check: error F6 804</t>
  </si>
  <si>
    <t>ZDM costing sheet Customizing</t>
  </si>
  <si>
    <t>VA02: Error message in cost estimate due to acct determin.</t>
  </si>
  <si>
    <t>BCD_FIELD_OVERFLOW in costing</t>
  </si>
  <si>
    <t>BAPI_ALM_ORDER_MAINTAIN: planned costs error</t>
  </si>
  <si>
    <t>CK85: existing cost estimate not found - message KN059</t>
  </si>
  <si>
    <t>Error message CK 465 for calculation in parallel view</t>
  </si>
  <si>
    <t>Incorrect valuation of the goods receipt for the valuated sa</t>
  </si>
  <si>
    <t>CK94: Mixing ratio can be maintained for deleted procurement</t>
  </si>
  <si>
    <t>Order BOM cost estimate with error message CK2 004</t>
  </si>
  <si>
    <t>Base object explosion: dump due to COMPUTE_BCD_OVERFLOW</t>
  </si>
  <si>
    <t>Base object costing: incorrect production resource/tool from</t>
  </si>
  <si>
    <t>CK40N: Display is not current after execution</t>
  </si>
  <si>
    <t>CK40N: routing information missing in the material overview</t>
  </si>
  <si>
    <t>Reference cost estimate of configured materials: error CK659</t>
  </si>
  <si>
    <t>Create costing run, CK40N: error message CK 680 "Controlling</t>
  </si>
  <si>
    <t>Message CK 869 for product costing with no reason</t>
  </si>
  <si>
    <t>Add on tax is not subtracted from payment</t>
  </si>
  <si>
    <t>Unexpected Import from Financial Data from BW</t>
  </si>
  <si>
    <t>Unjustified error G0202 during upload of supplier data CX33</t>
  </si>
  <si>
    <t>Reversal documents with wrong fiscal year, posting period</t>
  </si>
  <si>
    <t>error KH999 in MKCBRF55_Nachlesen with hierarchies</t>
  </si>
  <si>
    <t>Termination OBJECTS_MOVE_NOT_SUPPORTED in KE39</t>
  </si>
  <si>
    <t>Termination KH 299 NL_INIT_1 for navigation with hierarchy</t>
  </si>
  <si>
    <t>Termination with message KH 299 NL_INIT_1 when navigating in</t>
  </si>
  <si>
    <t>Error KH 999 in MKCBRF55 (read) for optional variables</t>
  </si>
  <si>
    <t>EC-EIS-RP</t>
  </si>
  <si>
    <t>Report Portfolio</t>
  </si>
  <si>
    <t>R3TR KXOB: Obsolete transport method for EIS user group</t>
  </si>
  <si>
    <t>RPCA_DEL_BUKRS: Deletion of cost elements does not work</t>
  </si>
  <si>
    <t>VF01: Balance in a currrency/multiplication of rows</t>
  </si>
  <si>
    <t>Origin and receiver object types incorrect for maintenance o</t>
  </si>
  <si>
    <t>Locks for BAPI_PROFITCENTER_CREATE/CHANGE/KE51 with template</t>
  </si>
  <si>
    <t>BAPI_PROFITCENTER_CHANGE: Performance problem during user ch</t>
  </si>
  <si>
    <t>KE52/BAPI_PROFIT_CENTER_CHANGE: Performance User Check(2)</t>
  </si>
  <si>
    <t>KCH5N: No change pointers are created when you create a prof</t>
  </si>
  <si>
    <t>S2I: AIBU: Exception 'CX_BADI_NOT_IMPLEMENTED'</t>
  </si>
  <si>
    <t>S2I: Ehp7 Activation Check report shows wrong error message</t>
  </si>
  <si>
    <t>SFIN: Pre-Check Report for migrating to New Asset Accouting</t>
  </si>
  <si>
    <t>Various errors for settling an asset under construction</t>
  </si>
  <si>
    <t>S2I: Group asset can get settlement rule</t>
  </si>
  <si>
    <t>Different fiscal year variants in General Ledger Accounting</t>
  </si>
  <si>
    <t>RAJAWE00: Line break in log</t>
  </si>
  <si>
    <t>S2I: Depreciation area's Parameter takeover does not work pr</t>
  </si>
  <si>
    <t>OADB Maintain Depreciation Area does not work properly</t>
  </si>
  <si>
    <t>S2I:Error Message AAPO 717- It should allow some areas to po</t>
  </si>
  <si>
    <t>S2I: Document display prevents user-specific layout</t>
  </si>
  <si>
    <t>S2I: FM ASSET_EXISTENCE_CHECK returns no ANTS</t>
  </si>
  <si>
    <t>AS92: Cannot change proportional values</t>
  </si>
  <si>
    <t>ANLU: Enhancement using append structure</t>
  </si>
  <si>
    <t>Error FI026 when you create asset master records</t>
  </si>
  <si>
    <t>AS02 Check of useful lfe for time-depend. depreciation terms</t>
  </si>
  <si>
    <t>Inconsistent ANLA-HAS_TDDP indicator after mass change</t>
  </si>
  <si>
    <t>AS03: Assets for asset group have corrupted detail screen fo</t>
  </si>
  <si>
    <t>Create multiple assets - no user help for investment order</t>
  </si>
  <si>
    <t>Creating multiple assets: Problems with access data on post-</t>
  </si>
  <si>
    <t>Retirement for special assets - AAPO 123 no deactivation</t>
  </si>
  <si>
    <t>Runtime error ITAB_ILLEGAL_SORT_ORDER during transfer postin</t>
  </si>
  <si>
    <t>Incorrect funds accounting account assignment when settling</t>
  </si>
  <si>
    <t>S2I: Error when checking whether periodic posting is complet</t>
  </si>
  <si>
    <t>Error AAPO 190 when settling to external receivers</t>
  </si>
  <si>
    <t>S2I: AW01 Simulation ignores ANLB changes</t>
  </si>
  <si>
    <t>RASIMU_ALV01 does not show any APC from planned investments</t>
  </si>
  <si>
    <t>RASIMU_ALV01 - Simulation from period</t>
  </si>
  <si>
    <t>Totals list: No display of the individual list for group lev</t>
  </si>
  <si>
    <t>RASIMU_ALV01 annual values "interest"</t>
  </si>
  <si>
    <t>Reporting: Profit center is not determined</t>
  </si>
  <si>
    <t>RASIMU_ALV01 displays incorrect depreciations (II)</t>
  </si>
  <si>
    <t>AW01N - Setting filters for transactions</t>
  </si>
  <si>
    <t>RAHIST01 - changed values are truncated</t>
  </si>
  <si>
    <t>PEO: FF747 when printing a parked clearing</t>
  </si>
  <si>
    <t>PEO: Incorrect tax display for FI-CA documents in PEO</t>
  </si>
  <si>
    <t>PEO: Rounding differences FMPEBTIL when distributing taxes</t>
  </si>
  <si>
    <t>FB03: Transaction (VORNR) in not displayed in print preview.</t>
  </si>
  <si>
    <t>FB02: ZFBDT can be changed in cleared item</t>
  </si>
  <si>
    <t>MIRO: Incorrect payment method in invoice reference</t>
  </si>
  <si>
    <t>FB01/FBV1/ENJOY: F4 help for reconciliation account (II)</t>
  </si>
  <si>
    <t>MIRO: Supplying country not reset</t>
  </si>
  <si>
    <t>MIR7: ZFBDT deleted when purchase order is entered</t>
  </si>
  <si>
    <t>RFBNUM10: Incorrect output of special G/L indicator</t>
  </si>
  <si>
    <t>FB03: button SERVICES FOR OBJECT disappears</t>
  </si>
  <si>
    <t>ENJOY: Programming changes to display of open items</t>
  </si>
  <si>
    <t>F-53: Dump CLEARING_INFO_MODIFY for cash discount clearing</t>
  </si>
  <si>
    <t>FI: Error message F5A435 not wanted</t>
  </si>
  <si>
    <t>Transaction currency conversion: Payment program</t>
  </si>
  <si>
    <t>F110/SEPA: Check of mandate validity and due date</t>
  </si>
  <si>
    <t>FBZ0: Payment block not deleted with reassignment</t>
  </si>
  <si>
    <t>F110/SEPA Mandates with Contract Reference in FI Document</t>
  </si>
  <si>
    <t>F110: FZ331 is displayed for no reason</t>
  </si>
  <si>
    <t>FBZ0/SEPA: Wrong sequence type after payment block</t>
  </si>
  <si>
    <t>F110/SEPA: Multiple usage of sequence type FRST</t>
  </si>
  <si>
    <t>FBZP bank accounts (alternative): SAP Note 1847021 does not</t>
  </si>
  <si>
    <t>RFZALI20: IBAN+SWIFT in totals lists</t>
  </si>
  <si>
    <t>F110S/SEPA: Posting period check with direct debit pre-notif</t>
  </si>
  <si>
    <t>FBZP: Creditor identifier is not checked</t>
  </si>
  <si>
    <t>SEPA F110/F111 cross-company code creditor identifier</t>
  </si>
  <si>
    <t>FPRL_LIST runtime error when you log on in RU</t>
  </si>
  <si>
    <t>F110 Own authorization activity for direct debit pre-notific</t>
  </si>
  <si>
    <t>F110: No payment reference for one-time account items</t>
  </si>
  <si>
    <t>PRL items are not counted due to locks</t>
  </si>
  <si>
    <t>F110 Direct debit pre-notification and extended withholding</t>
  </si>
  <si>
    <t>F110 Deleting direct debit pre-notifications</t>
  </si>
  <si>
    <t>RFZALI20: Display of fields SEQ_TYPE and INST_CODE</t>
  </si>
  <si>
    <t>F110/SEPA: Sequence type for different payee</t>
  </si>
  <si>
    <t>F110/SEPA/BAdI: Clearing date is not set correctly</t>
  </si>
  <si>
    <t>Collective note -  RF Creditor Reference</t>
  </si>
  <si>
    <t>CGI_XML_CT: DMEE XML Format as per ISO20022</t>
  </si>
  <si>
    <t>RFEBBECODA00:BIC/SWIFT code not filled when IBAN present</t>
  </si>
  <si>
    <t>RFFOPT_CBR: Performance issue</t>
  </si>
  <si>
    <t>FR: FR_ETEBAC_VRT-ETR: IBAN and BBAN issue</t>
  </si>
  <si>
    <t>RFFOPT_CBR:Process Automatic payments similar to manual payt</t>
  </si>
  <si>
    <t>Mexico Banamex: Change in the transaction record length</t>
  </si>
  <si>
    <t>PT: Format PS2: Wrong operation code for vendors/ customers</t>
  </si>
  <si>
    <t>CGI_XML_CT: SEPA changes for Spain</t>
  </si>
  <si>
    <t>RFFOPT_CBR: User exits and additional corrections</t>
  </si>
  <si>
    <t>RFFONL_A: Length of the field filename in the selection scre</t>
  </si>
  <si>
    <t>RFIDSE_DUNN_EBPOST: Checkman error "FILE-NAME" is incompatib</t>
  </si>
  <si>
    <t>Checkman issue for Delete Adjacent query RFIDSL00</t>
  </si>
  <si>
    <t>FI-AP-AP-E</t>
  </si>
  <si>
    <t>Archiving</t>
  </si>
  <si>
    <t>FI_ACCPAYB ILM Enablement: Checks for Data Destruction</t>
  </si>
  <si>
    <t>COLLECT_OVERFLOW in FI correspondence</t>
  </si>
  <si>
    <t>Message FB576, "Customer not created", issued mistakenly</t>
  </si>
  <si>
    <t>KIDNO check has errors with CPD vendors</t>
  </si>
  <si>
    <t>BAPI: Payment block not checked properly</t>
  </si>
  <si>
    <t>No down payment clearing for inverse postings from module MM</t>
  </si>
  <si>
    <t>Invoice posting cannot be split into several FI documents if</t>
  </si>
  <si>
    <t>Split according to SAP Notes 1497092 and 1670486 for Turkish</t>
  </si>
  <si>
    <t>Incorrect VBUND inheritance for delivery costs</t>
  </si>
  <si>
    <t>FI_DOCUMENT_CHANGE: BSEG-FDTAG is not updated</t>
  </si>
  <si>
    <t>INVOIC/FBV1: Line-by-line tax determination not possible</t>
  </si>
  <si>
    <t>SEPA: Vendor authorization check FSEPA_M1</t>
  </si>
  <si>
    <t>BSEG-XREF3 not filled for document parked using FV60</t>
  </si>
  <si>
    <t>Wtax base incorrect in Payment req after manual base for CI</t>
  </si>
  <si>
    <t>BADI for Argentina,extending the note:1815065</t>
  </si>
  <si>
    <t>CWT:German Reunification Withholding Tax should not be calcu</t>
  </si>
  <si>
    <t>RFKQST00: Execute and Print gives short dump</t>
  </si>
  <si>
    <t>RF0KQST5: Error when downloading the file to local server</t>
  </si>
  <si>
    <t>RFIDYYWT: Document currency not getting converted correctly</t>
  </si>
  <si>
    <t>RFKQST00: DPC documents are not getting reported</t>
  </si>
  <si>
    <t>IDWTFILE_US_1042: tax rate format changes</t>
  </si>
  <si>
    <t>FBV1: You cannot change the document type due to F5A 435</t>
  </si>
  <si>
    <t>MIR7: Wrong activity checked for authorization</t>
  </si>
  <si>
    <t>Transaktionswährungsumstellung: Mahnprogramm</t>
  </si>
  <si>
    <t>CHIP: Top X Payment Difference Reasons - Personalize default</t>
  </si>
  <si>
    <t>Clearing with payment advice note: items are not activated</t>
  </si>
  <si>
    <t>FIPI: Mandate reference for one-time customer or individ. pa</t>
  </si>
  <si>
    <t>ENJOY: Error message F5 212 issued erroneously in FB75</t>
  </si>
  <si>
    <t>FB02: Change to invoice reference type for down payment clea</t>
  </si>
  <si>
    <t>FBW4: duplicate entries in XAUSZ3</t>
  </si>
  <si>
    <t>FB02: Mandate data for one-time documents</t>
  </si>
  <si>
    <t>FINT not updating Sabrix tax infos correctly</t>
  </si>
  <si>
    <t>FINT: Fixed amount for interest in forints</t>
  </si>
  <si>
    <t>FINT performance</t>
  </si>
  <si>
    <t>FINT: Non-reproducible errors</t>
  </si>
  <si>
    <t>ILM enablement: RFINTITDEL</t>
  </si>
  <si>
    <t>FINT: runtime error MESSAGE_TYPE_X with MSINT324</t>
  </si>
  <si>
    <t>FINTSHOW: MESSAGE_TYPE_X MSINT401</t>
  </si>
  <si>
    <t>F150: FAX cover sheet - Accounting clerk displayed in anothe</t>
  </si>
  <si>
    <t>Display of interest calculation data</t>
  </si>
  <si>
    <t>F150: Dunning notice by e-mail and PDF - Parameters ignored</t>
  </si>
  <si>
    <t>FINT: "Debit/credit indicator is inconsistent"</t>
  </si>
  <si>
    <t>F150: Short dump COMPUTE_BCD_OVERFLOW in SAPLF150</t>
  </si>
  <si>
    <t>F150: Dunning notice by e-mail and PDF - Missing mail title</t>
  </si>
  <si>
    <t>INTITFX incomplete - Error when you reprint the interest let</t>
  </si>
  <si>
    <t>GET_GKONT: Restriction on fields read from BSEG</t>
  </si>
  <si>
    <t>SAPDBBRF: Selection Company Code and Ledger(group) incompat.</t>
  </si>
  <si>
    <t>FBL1N/FBL5N: SAPSQL_INVALID_FIELDNAME for field 'EMPFB'</t>
  </si>
  <si>
    <t>FI-AR-AR-G</t>
  </si>
  <si>
    <t>SAPF130D_PDF: LS_HEADER_BUKRS not filled</t>
  </si>
  <si>
    <t>PDF correspondence generates spool entries without RQAUTH</t>
  </si>
  <si>
    <t>Over-clearing of resource-related down payments from SD</t>
  </si>
  <si>
    <t>RW 008 when you transfer an invoice with splitting in FI</t>
  </si>
  <si>
    <t>Change to SEPA mandate ID with FI_DOCUMENT_CHANGE</t>
  </si>
  <si>
    <t>Display of the change document for bank details</t>
  </si>
  <si>
    <t>SEPA : FSEPA_M2 fields that cannot be changed are ready for</t>
  </si>
  <si>
    <t>FI_APAR_SEPA_CONV: ZBUKR of the linked vendor</t>
  </si>
  <si>
    <t>Creating mandates from BP:  input help for paying company co</t>
  </si>
  <si>
    <t>Bug fix for note 1813133 (SEPA number range)</t>
  </si>
  <si>
    <t>SEPA : Preparation for integration of IS-M</t>
  </si>
  <si>
    <t>SEPA : F4 input help for paying company code does not return</t>
  </si>
  <si>
    <t>SEPA : Incorrect IBAN when you create mandate using interfac</t>
  </si>
  <si>
    <t>RFDKLI40 Display incorrect values for Days in Arrears</t>
  </si>
  <si>
    <t>Bank chains are not saved</t>
  </si>
  <si>
    <t>FI12: This note provides corrections for SAP Note 1900879.</t>
  </si>
  <si>
    <t>FEB_FILE_HANDLING: MT940 from Austria FEB_BSIMP 073</t>
  </si>
  <si>
    <t>FF_6: IBAN and SWIFT code of house bank are not printed</t>
  </si>
  <si>
    <t>ETEBAC and FEB_BSPROC: No automatic clearing</t>
  </si>
  <si>
    <t>No transfer of SAP internal currency key</t>
  </si>
  <si>
    <t>Total IN: Copy bank giro number to note to payee</t>
  </si>
  <si>
    <t>Dump due to overflow of application log</t>
  </si>
  <si>
    <t>Balance check incorrect for fiscal year change</t>
  </si>
  <si>
    <t>FB771 for XML format or bank-specific format</t>
  </si>
  <si>
    <t>FEBCL filled in the BAdI or transformation</t>
  </si>
  <si>
    <t>Bank statement print-out: Incorrect header information</t>
  </si>
  <si>
    <t>RFEKA200/RFEKA400: error message FB 771 can be customized</t>
  </si>
  <si>
    <t>RFSTATBANKACC_MINIALV shows wrong balance for currency TWD</t>
  </si>
  <si>
    <t>RFEBSE00: FF.5 is not started if FI-CA is active</t>
  </si>
  <si>
    <t>Bank statement: Performance due to application log</t>
  </si>
  <si>
    <t>RFSTATBANKACC_MINIALV shows wrong balance for currency TWD I</t>
  </si>
  <si>
    <t>RFEBSE00: General code correction</t>
  </si>
  <si>
    <t>FBCJ: H_NET_PAYMENT_WT incorrect with G/L account posting</t>
  </si>
  <si>
    <t>View V_T070: navigation to FB99</t>
  </si>
  <si>
    <t>FDTA: Display of XML encoding = "utf-8" / download</t>
  </si>
  <si>
    <t>SEPA / CGI: Node InstrId contains a blank character</t>
  </si>
  <si>
    <t>RFFOAVIS_FPAYM: Spool authorization for payment advice note</t>
  </si>
  <si>
    <t>CPD accounts: Unnecessary advice note creation, advice note</t>
  </si>
  <si>
    <t>Module 'FI_PAYM_FILE_READ' does not use Codepage from REGUT</t>
  </si>
  <si>
    <t>F110 F111 Schedule payment media immediately w/ validation</t>
  </si>
  <si>
    <t>F110 F111 preparation for SAP Note 1922823</t>
  </si>
  <si>
    <t>Second line in note to payee for SGTXT, although initial</t>
  </si>
  <si>
    <t>Notification generation, although no note to payee text over</t>
  </si>
  <si>
    <t>XML file: Encoding specification when displayed in transacti</t>
  </si>
  <si>
    <t>RFFOM200:  SWIFT Format MT200 short dumps with OBJECTS_NOT_C</t>
  </si>
  <si>
    <t>FIBLFFP termination with F4 input help for bank key</t>
  </si>
  <si>
    <t>SEPA/IHC: Client changes or FRST not transferred</t>
  </si>
  <si>
    <t>FF.5 - BAI Format processing - spaces truncates.</t>
  </si>
  <si>
    <t>FPS3 transaction generates ABAP dump for type S, 2+ avail.</t>
  </si>
  <si>
    <t>FF.5 Does not work in banckground for CurrentDay BAI Files</t>
  </si>
  <si>
    <t>Directory traversal in FI-BL-PT-US / FI-BL-PT-PR</t>
  </si>
  <si>
    <t>Analysis: Schedule Jobs: Authority Check</t>
  </si>
  <si>
    <t>Error in class CL_FAGL_VAL_MAPPING_EXAMPLE</t>
  </si>
  <si>
    <t>ZDM obsolete after-import methods in FI</t>
  </si>
  <si>
    <t>Downport Data aging BADI interface and macro</t>
  </si>
  <si>
    <t>SAPDBSDF: Values for transaction currency are not displayed</t>
  </si>
  <si>
    <t>RGICGLU1: Changes in the sort sequence</t>
  </si>
  <si>
    <t>SoH LDB SDF: Incorrect results with transaction FBL3N</t>
  </si>
  <si>
    <t>Update termination generated by SAPSQL_ARRAY_INSERT_DUPREC f</t>
  </si>
  <si>
    <t>Field MCA Key without active Business Function FIN_GL_MCA</t>
  </si>
  <si>
    <t>Cannot determine functional currency</t>
  </si>
  <si>
    <t>FB08: Reversal of IDocs not possible if MCA is active</t>
  </si>
  <si>
    <t>Trading partner not transferred in aggregation</t>
  </si>
  <si>
    <t>Variant SAP&amp;0 for report GLE_MCA_RFX_RATE</t>
  </si>
  <si>
    <t>FB08: Reversal not possible if MCA is active</t>
  </si>
  <si>
    <t>MCA key ignored when you select accounts</t>
  </si>
  <si>
    <t>Inheritance and account assignment for business transaction</t>
  </si>
  <si>
    <t>New General Ledger/JVA Integration: Functions for subsequent</t>
  </si>
  <si>
    <t>General ledger simulation: OBJECTS_OBJREF_NOT_ASSIGNED</t>
  </si>
  <si>
    <t>Changing ledger groups: FAGL_LEDGER_CUST086</t>
  </si>
  <si>
    <t>AIM objects: ZDM check for FI components</t>
  </si>
  <si>
    <t>BADI_FAREA_DRV_ALWYS not valid for all transactions</t>
  </si>
  <si>
    <t>RGUSLSEP: Performance problems due to the FORM COMPARE_NEU</t>
  </si>
  <si>
    <t>General Ledger Accounting (new): COST_ELEM field not filled</t>
  </si>
  <si>
    <t>Document display: Incorrect attachment or note displayed</t>
  </si>
  <si>
    <t>F.80: Message F5 238 when using Hijri calendar</t>
  </si>
  <si>
    <t>SAPF124: Performance of EXTRA_LOGIC</t>
  </si>
  <si>
    <t>SAPF120: Incorrect batch input session in the background</t>
  </si>
  <si>
    <t>RFVBER00: Update records displayed even though they are not</t>
  </si>
  <si>
    <t>SAPF124: Dialog box for selecting the fiscal year for specia</t>
  </si>
  <si>
    <t>OBH1 doesn't copy document number ranges</t>
  </si>
  <si>
    <t>FB05L: Posting exchange rate differences</t>
  </si>
  <si>
    <t>Technical aging object FI_DOCUMENT</t>
  </si>
  <si>
    <t>Provisional real-time update of individual documents</t>
  </si>
  <si>
    <t>FI-GL-GL-C</t>
  </si>
  <si>
    <t>Interest</t>
  </si>
  <si>
    <t>RFSZIS00: Summarization level 3 does not work correctly</t>
  </si>
  <si>
    <t>View generation fails with FIN_LDB_BRF_VIEW_GENERATE</t>
  </si>
  <si>
    <t>FAGLB03: "Select Carryfwd Postings" selection field always d</t>
  </si>
  <si>
    <t>SAPDBBRF: Balance carryforward postings or year-end closing</t>
  </si>
  <si>
    <t>FAGLB03: Custom selections lost when you switch to the workl</t>
  </si>
  <si>
    <t>SoH LDB SDF: Foreign currency valuation (F.05)</t>
  </si>
  <si>
    <t>MIRO: FF723 "Distrib_tab_check_sum" large manual tax</t>
  </si>
  <si>
    <t>FF753 in MIRO with direct tax for Argentina</t>
  </si>
  <si>
    <t>Note 1779136: Extended summarization of tax table BSET</t>
  </si>
  <si>
    <t>Report RFUMSV00 - parameter for holding processed batch inpu</t>
  </si>
  <si>
    <t>Adding CRM reference transactions to the tax bypass</t>
  </si>
  <si>
    <t>Incorrect taxable values on tax tab page</t>
  </si>
  <si>
    <t>FOTV: Creating and assigning new application does not work</t>
  </si>
  <si>
    <t>Input help in Enjoy in T007AC active on "Basic Data" tab onl</t>
  </si>
  <si>
    <t>Error message FF 817 issued instead of FF 818</t>
  </si>
  <si>
    <t>RFUMSV00(TH): Wrong non-deductible amount with Deferred tax.</t>
  </si>
  <si>
    <t>Bill of Exchange list - Turkey</t>
  </si>
  <si>
    <t>RFVEPBOOK:Issue for negative VAT rate</t>
  </si>
  <si>
    <t>RFIDESM347: Report is having Performance related issues.</t>
  </si>
  <si>
    <t>RPFIEU_SAFT Solution : Report Note</t>
  </si>
  <si>
    <t>RPFIEU_SAFT Solution :DDIC Note</t>
  </si>
  <si>
    <t>RFUMSV00(Czech Republic): Issue in Sign for Tax Base Amount</t>
  </si>
  <si>
    <t>EUVAT : Correction to Note 1736299</t>
  </si>
  <si>
    <t>RFHABU00: Entry view/general ledger view of documents</t>
  </si>
  <si>
    <t>newGL allocation: read of SAGLSKF results in dump</t>
  </si>
  <si>
    <t>FAGL_FCV: Base for valuating third local currency is wrong</t>
  </si>
  <si>
    <t>FAGL_FC_VAL: Error SG105, rate type missing</t>
  </si>
  <si>
    <t>FAGL_YEC_POSTINGS: Incorrect currency displayed in result.</t>
  </si>
  <si>
    <t>RFAWVZ40, RFAWVZ40N, RFAWVZ40F: Error message SG806</t>
  </si>
  <si>
    <t>RFBNUM00N: Missing results for individual number ranges</t>
  </si>
  <si>
    <t>FAGL_MM_RECON: TIME_OUT during parallel execution</t>
  </si>
  <si>
    <t>FAGL_FC_VAL: Termination w/ error message SG 103</t>
  </si>
  <si>
    <t>FAGL_FC_VAL: Performing a clearing during a valuation run</t>
  </si>
  <si>
    <t>FAGL_MM_RECON: Error message FAGL_MM_RECON 100</t>
  </si>
  <si>
    <t>FAGL_FCV / FAGL_FC_VALUATION: Generation of RXD adjustment d</t>
  </si>
  <si>
    <t>FAGL_FC_VAL: Incomplete account numbers in message FR 608</t>
  </si>
  <si>
    <t>FAGL_MM_RECON: Incorrect restriction to account</t>
  </si>
  <si>
    <t>ICR: Line items missing in a negative posting</t>
  </si>
  <si>
    <t>RFAWVZ40: Partial payment w/invoice ref. to residual item</t>
  </si>
  <si>
    <t>RFAWVZ40: Reversed down payment request</t>
  </si>
  <si>
    <t>RFAWVZ5A: currency transl. for amounts in foreign currency</t>
  </si>
  <si>
    <t>RFAWVZ40N: Reversal of credit memo</t>
  </si>
  <si>
    <t>F_IT_01 - Closing opening/ period end - inconsistent amounts</t>
  </si>
  <si>
    <t>FAGL_FC_TRANS: Valuation postings in the day ledger</t>
  </si>
  <si>
    <t>FAGL_FCV: Selection parameter "Target ledger group" for post</t>
  </si>
  <si>
    <t>Carry forward postings for new GL in France</t>
  </si>
  <si>
    <t>RFAWVZ5A: Assigning equity holdings for each reconciliation</t>
  </si>
  <si>
    <t>RFAWVZ40N: Customer credit memo (residual item)</t>
  </si>
  <si>
    <t>FAGL_104 layout</t>
  </si>
  <si>
    <t>Balance carryforward: Program changes for information messag</t>
  </si>
  <si>
    <t>RFHABU00: XSTAJ  Read Year-End Closing Postings</t>
  </si>
  <si>
    <t>RFAWVZ5A: Converting foreign currency items/maintaining exch</t>
  </si>
  <si>
    <t>FBV0: Update termination for OIM document</t>
  </si>
  <si>
    <t>Missing line items during parking via RWIN</t>
  </si>
  <si>
    <t>WBS element and sales order not substituted</t>
  </si>
  <si>
    <t>Error KI 292 during direct input</t>
  </si>
  <si>
    <t>Locking errors when replicating several reporting structures</t>
  </si>
  <si>
    <t>Financial report structure: ITAB_DUPLICATE_KEY terminates du</t>
  </si>
  <si>
    <t>Financial report structure: Unjustified issue of the error m</t>
  </si>
  <si>
    <t>FI-GL-GL-RP</t>
  </si>
  <si>
    <t>Reconciliation CO-FI</t>
  </si>
  <si>
    <t>RTI: COMPUTE_BCD_OVERFLOW II</t>
  </si>
  <si>
    <t>RTI: AUFNR is not transferred to FI document</t>
  </si>
  <si>
    <t>Real-time integration:  Behavior with multiple periods II</t>
  </si>
  <si>
    <t>Fast entry in FBV2: Deletion of TXJCD ignored</t>
  </si>
  <si>
    <t>Syntax error in SAPLF040 when you generate RFBIPPG0</t>
  </si>
  <si>
    <t>TFC_COMPARE_VZ: Document split previously ignored</t>
  </si>
  <si>
    <t>FSO2: Obsolete transaction</t>
  </si>
  <si>
    <t>RFSSLD00, RFSUSA00: Additional dynamic selections</t>
  </si>
  <si>
    <t>Accounting interface reversal prevented with error message G</t>
  </si>
  <si>
    <t>PRCTR: material texts in the object list</t>
  </si>
  <si>
    <t>PRCTR: Materials with a deletion flag</t>
  </si>
  <si>
    <t>Object list of assets with service orders</t>
  </si>
  <si>
    <t>Settlement reversal is possible after PC reorganization II</t>
  </si>
  <si>
    <t>PRCTR/SEG: Error message FAGL_REORGANIZATION 566/567</t>
  </si>
  <si>
    <t>PRCTR/SEG: Endless loop when generating AP/AR / 566 (XI)</t>
  </si>
  <si>
    <t>PRCTR/SEG: Generation: Comparing a simulated AR/AP doc incl.</t>
  </si>
  <si>
    <t>PRCTR/SEG: Dump when generating AP/AR 566 (XII)</t>
  </si>
  <si>
    <t>PRCTR/SEG: Error in reassignment of AP/AR; 566 (XIII)</t>
  </si>
  <si>
    <t>PRCTR/SEG: Reassignment - FAGL_REORGANIZATION 535</t>
  </si>
  <si>
    <t>PRCTR/SEG: Dump when generating AP/AR 566 (XIV)</t>
  </si>
  <si>
    <t>PRCTR: Determination of additional local currencies for lead</t>
  </si>
  <si>
    <t>Special Purpose Ledger</t>
  </si>
  <si>
    <t>RW: Short dump CX_SY_ARITHMETIC_OVERFLOW</t>
  </si>
  <si>
    <t>No values displayed for key figure with target currency</t>
  </si>
  <si>
    <t>RW:Currency not derived for newgl reports</t>
  </si>
  <si>
    <t>RW: Incomplete data in CCSS reports</t>
  </si>
  <si>
    <t>RW: Additional corrections for note 873093</t>
  </si>
  <si>
    <t>RW: Dump when executing reports with OLC objects</t>
  </si>
  <si>
    <t>S_ALR_87013542: RRI does not work with WBS elements</t>
  </si>
  <si>
    <t>RW - Set descriptions not displaying for row items</t>
  </si>
  <si>
    <t>ZDM adjustment for RW objects and set objects</t>
  </si>
  <si>
    <t>GCU4 followed by GCU1 - "Check for Exist Recs" does not work</t>
  </si>
  <si>
    <t>ZDM check for FI components</t>
  </si>
  <si>
    <t>RGIMOVV0: Minor correction without symptom</t>
  </si>
  <si>
    <t>KE1Z - missing account validity check</t>
  </si>
  <si>
    <t>FMPLCPD - dump appears on selection screen</t>
  </si>
  <si>
    <t>Long runtime in RGSCPY30</t>
  </si>
  <si>
    <t>FI-SL-VSR</t>
  </si>
  <si>
    <t>Validation, Subst.</t>
  </si>
  <si>
    <t>Include GBSxxSEZ generated incorrectly</t>
  </si>
  <si>
    <t>EDX: More values for domain EDX_OBJ_TYPE</t>
  </si>
  <si>
    <t>EDX: Determination of Archive document type for outbound</t>
  </si>
  <si>
    <t>EDX: Inbound status doesn't change to Partially Processed</t>
  </si>
  <si>
    <t>EDX: Remove the use of XML File port</t>
  </si>
  <si>
    <t>BNK_MONI: No status update due to duplicate REGUT-RENUM</t>
  </si>
  <si>
    <t>Report RBNK_BATCH_RETRY_FILE_CREATION: special case</t>
  </si>
  <si>
    <t>BNK: Upload of pain.002.001.02 without PI</t>
  </si>
  <si>
    <t>New audit module</t>
  </si>
  <si>
    <t>BNK_API_GET_STATUS returns only one status</t>
  </si>
  <si>
    <t>BNK_APP: Change due date for a batch</t>
  </si>
  <si>
    <t>BNK_MONI: Performance problem in status management</t>
  </si>
  <si>
    <t>RFFDZA00 released payment request</t>
  </si>
  <si>
    <t>RFFDNA00: error message BL252 in RFFDMV00</t>
  </si>
  <si>
    <t>Provide text for archive class in T037A</t>
  </si>
  <si>
    <t>FF.D: Incorrect input help for payment method</t>
  </si>
  <si>
    <t>FDFD does not copy planning date from FI document</t>
  </si>
  <si>
    <t>Confusing message when deactivate a liquidity item hierarchy</t>
  </si>
  <si>
    <t>0CLM_INVOICE: Lock Table Overflow</t>
  </si>
  <si>
    <t>Runtime error: GETWA_NOT_ASSIGNED</t>
  </si>
  <si>
    <t>FIN-FSCM-CR</t>
  </si>
  <si>
    <t>FSCM Credit Management without System Landscape Directory</t>
  </si>
  <si>
    <t>UKM_CASE: Release possible despite missing authorization</t>
  </si>
  <si>
    <t>Customer transfer posting not recognized</t>
  </si>
  <si>
    <t>SEPA payments via IDoc/IHC: Integration with HR</t>
  </si>
  <si>
    <t>FLQAM:Inconsistent update for forecast line item changes</t>
  </si>
  <si>
    <t>Note 1790641 : Additional corrections</t>
  </si>
  <si>
    <t>Disable report execution from note 1891212</t>
  </si>
  <si>
    <t>RFLQ_ASSIGN_CCR - Document chain terminates during clearing</t>
  </si>
  <si>
    <t>RASIMU02/RAKOPL02: Incorrect reduction by activations</t>
  </si>
  <si>
    <t>IMA11/IMA1N: Dump TABLE_INVALID_INDEX</t>
  </si>
  <si>
    <t>IM-FA-IE</t>
  </si>
  <si>
    <t>Investment Orders</t>
  </si>
  <si>
    <t>RAIXPR03: Change of capitalization key in AuC after upgrade</t>
  </si>
  <si>
    <t>IM BAPIs update despite error message</t>
  </si>
  <si>
    <t>IM52: Unjustified warning BP 729</t>
  </si>
  <si>
    <t>Inconsistency in table IMZO after IM27_CLOSE</t>
  </si>
  <si>
    <t>IM: Poor perfomance when using DB system MSSQL</t>
  </si>
  <si>
    <t>IM52: Budget not checked against the release for the corresp</t>
  </si>
  <si>
    <t>IM-FA-IS</t>
  </si>
  <si>
    <t>Performance problem when reading table AFVC and the Oracle d</t>
  </si>
  <si>
    <t>Unable to display an archived appropriation request</t>
  </si>
  <si>
    <t>IS-ADEC-BOQ</t>
  </si>
  <si>
    <t>Bill of Quantity</t>
  </si>
  <si>
    <t>Core Enhancement Options for Industry Solution Corrections</t>
  </si>
  <si>
    <t>MRN9: Cannot select old print list</t>
  </si>
  <si>
    <t>MIRO: TXGRP wrong for unplanned multiple account assignments</t>
  </si>
  <si>
    <t>MM-IV-LIV</t>
  </si>
  <si>
    <t>Logistics Invoice Verification</t>
  </si>
  <si>
    <t>MM-IV-LIV-CRE</t>
  </si>
  <si>
    <t>Entry MIRO</t>
  </si>
  <si>
    <t>MIRO: Down payment clearing if a different invoicing party i</t>
  </si>
  <si>
    <t>PS-CAF</t>
  </si>
  <si>
    <t>Payments</t>
  </si>
  <si>
    <t>PS-CAF-ACT</t>
  </si>
  <si>
    <t>Act.Pmnts + Forecast</t>
  </si>
  <si>
    <t>Incorrect purchase requisition commitments for commitments a</t>
  </si>
  <si>
    <t>ME22N: Incorrect commitment after deleting an item</t>
  </si>
  <si>
    <t>MM: Missing document header in COBK for purchase requisition</t>
  </si>
  <si>
    <t>FB KBPP_EXTERN_UPDATE_CO: Ungültige Parameter-Kombination</t>
  </si>
  <si>
    <t>KPEU: Performance problems</t>
  </si>
  <si>
    <t>CJR2: Short dump when posting WBS data</t>
  </si>
  <si>
    <t>Short dump ERR_PRHI_BUF during plan distribution</t>
  </si>
  <si>
    <t>KO12/CJ40: Unit costing only in one transaction currency</t>
  </si>
  <si>
    <t>Federal Government</t>
  </si>
  <si>
    <t>GTAS 2 : Adding FMFG US Key to FI Structures</t>
  </si>
  <si>
    <t>GTAS2: DDIC changes to enable GTAS fields in SO BAPIs</t>
  </si>
  <si>
    <t>PSM-FM-BCS-AC</t>
  </si>
  <si>
    <t>Incorrect assigned values when parking an accounting documen</t>
  </si>
  <si>
    <t>PSM-FM-IS</t>
  </si>
  <si>
    <t>RFFMFK02: Commitment items displayed several times</t>
  </si>
  <si>
    <t>PSM-FM-MD</t>
  </si>
  <si>
    <t>FM Master data: Minor corrections for generic object service</t>
  </si>
  <si>
    <t>PSM-FM-PO-DPC-EF</t>
  </si>
  <si>
    <t>Incorrect transaction type when posting from simulation</t>
  </si>
  <si>
    <t>Auto Down payment Clearing with Tax at Invoice - Amount</t>
  </si>
  <si>
    <t>Goods Receipt Movement type 102 and Down Payment Clearing</t>
  </si>
  <si>
    <t>Missing DP relevant items when calculating DPC</t>
  </si>
  <si>
    <t>Calculation of DPC cancelation with PO with MAA fails</t>
  </si>
  <si>
    <t>FMZZ: Incorrect result list</t>
  </si>
  <si>
    <t>FMRE_SERLK,FMRE_KERLK: Error message FMEF 009</t>
  </si>
  <si>
    <t>Ausnahme CX_FMEF_KBLEX_ERROR in Methode READ_CONSUMPTION von</t>
  </si>
  <si>
    <t>FMRE Funktionsbaustein FMR3_EF_FACTORY_CHK_UPD_ALL</t>
  </si>
  <si>
    <t>Regel für die Kontierungsübernahme nicht für Vorgang AZUM /</t>
  </si>
  <si>
    <t>RFFMERLK: zusätzliche Felder</t>
  </si>
  <si>
    <t>Fehler in ASSIGN-Zuweisung im Programm "SAPLFMFR"</t>
  </si>
  <si>
    <t>CREATE_FROM_DBDATA mit initialer Belegnummer</t>
  </si>
  <si>
    <t>Special G/L account overwritten by G/L Account Number (SAKNR</t>
  </si>
  <si>
    <t>Transfer of G/L Account Number into Down Payment</t>
  </si>
  <si>
    <t>Method CHECK_ALL of CL_FM_EF_FACTORY does not catch Error-Me</t>
  </si>
  <si>
    <t>New BAdI: FMFR_GET_OPEN_ITEM_PO_DATA for reduction by purcha</t>
  </si>
  <si>
    <t>Completion indicator not set by method CHANGE_REFERENCE</t>
  </si>
  <si>
    <t>CREATE_DATA_ILLEGAL_LENGTH in Display Transactions</t>
  </si>
  <si>
    <t>Error RE153 when posting down payment for Earmarked Fund</t>
  </si>
  <si>
    <t>Error FI278 received when validating Funds Management Custom</t>
  </si>
  <si>
    <t>Dump in FM_DOCUMENT_CHECK_FI_SPLIT</t>
  </si>
  <si>
    <t>PSM-FM-UP-FI-PU</t>
  </si>
  <si>
    <t>Online Payment Updat</t>
  </si>
  <si>
    <t>FBRA for FBA8 and FBA3: Cancellation not possible</t>
  </si>
  <si>
    <t>RE-FX-LC</t>
  </si>
  <si>
    <t>Real Estate Localization</t>
  </si>
  <si>
    <t>RE-FX-LC-PT</t>
  </si>
  <si>
    <t>Real Estate Portugal</t>
  </si>
  <si>
    <t>RE-FX PT: SAF-T integration</t>
  </si>
  <si>
    <t>Check for partner change in conditions is incorrect</t>
  </si>
  <si>
    <t>Document class for Office form letter</t>
  </si>
  <si>
    <t>XX-CSC-AR-FI</t>
  </si>
  <si>
    <t>Argentina reversals handling in case of payment proposal</t>
  </si>
  <si>
    <t>RFWTCT10: Accumulation base amount is incorrectly reported</t>
  </si>
  <si>
    <t>XX-CSC-AR-LO</t>
  </si>
  <si>
    <t>ODN AR: Incorrect print character determination - vendor inv</t>
  </si>
  <si>
    <t>Support LSMW with new customer master data</t>
  </si>
  <si>
    <t>SEC_139 31 Potential backdoors in XX-CSC-CL-FI</t>
  </si>
  <si>
    <t>Cannot repair “Warning” items when logon language not EN</t>
  </si>
  <si>
    <t>UTC time display in commucation log for SAP_FIN 617</t>
  </si>
  <si>
    <t>EPIC_PROC do not missed PPD for EHP7</t>
  </si>
  <si>
    <t>EPIC: F111 integration, Bank Receipt Management, Cash Budget</t>
  </si>
  <si>
    <t>EPIC: Reverse Payment Document, Adjust Payment Request Amoun</t>
  </si>
  <si>
    <t>EPIC CCB Bank Transfer Issue</t>
  </si>
  <si>
    <t>CN:Fix error about date format in ZJF</t>
  </si>
  <si>
    <t>CN:Some accounts are missing in the Account Balance(ALV)</t>
  </si>
  <si>
    <t>CN:Cannot include adjustment document for comparison period</t>
  </si>
  <si>
    <t>CN:Period selection in Financial Statements reports doesn't</t>
  </si>
  <si>
    <t>Downport the releationship between FUD_FIDOC_BSEG and BSEG t</t>
  </si>
  <si>
    <t>CN:Disable Switch checking for ODN Adjustment program</t>
  </si>
  <si>
    <t>CN:ODN adjustment program dumped and can't adjust ODN gaps p</t>
  </si>
  <si>
    <t>Amount in Current and Last period are incorrect in income st</t>
  </si>
  <si>
    <t>Rep.Frwk. - Enable Transaction Run</t>
  </si>
  <si>
    <t>Rep.Frwk. - Change of DB Tables Delivery Class ('C' to 'E')</t>
  </si>
  <si>
    <t>Rep.Frwk. - Activate Reporting Group</t>
  </si>
  <si>
    <t>Rep.Frwk.-Data Store improvement - compression</t>
  </si>
  <si>
    <t>Modelo-347: Incorrect total amount</t>
  </si>
  <si>
    <t>RFIDESM340 - Issue with Dynamic Selection fileds</t>
  </si>
  <si>
    <t>SEC_139 2 Potential backdoors in XX-CSC-ES-FI</t>
  </si>
  <si>
    <t>Missing authorization check in XX-CSC-ES-FI</t>
  </si>
  <si>
    <t>XX-CSC-ES-PS</t>
  </si>
  <si>
    <t>XX-CSC-ES-PS-FM</t>
  </si>
  <si>
    <t>Earmarked funds documents don't update CO and project commit</t>
  </si>
  <si>
    <t>RFIDEUVP : VAT Date not recorded correctly in FI document</t>
  </si>
  <si>
    <t>HR FISC: Fiscal number is not generated due to FI document t</t>
  </si>
  <si>
    <t>Missing authorization check in XX-CSC-HU-FI</t>
  </si>
  <si>
    <t>Rep.Frwk. - Output in CSV Format</t>
  </si>
  <si>
    <t>Rep.Frwk. - Copy Customizing Report</t>
  </si>
  <si>
    <t>J1INPR: Modified tax base amount is not updated</t>
  </si>
  <si>
    <t>J1INPR,J1INCHLN: Performance issue</t>
  </si>
  <si>
    <t>Corrections to Provision and Utilization functionality</t>
  </si>
  <si>
    <t>FIWTIN_QRETURNS: Legal change FVU 3.9</t>
  </si>
  <si>
    <t>DPC with MIRO: TDS amount updated wrongly in with_item table</t>
  </si>
  <si>
    <t>FIWTIN_QRETURNS: Legal Change FVU 4.0</t>
  </si>
  <si>
    <t>FIWTIN_QRETURNS: Exemption number is not displayed in the te</t>
  </si>
  <si>
    <t>F-54 Performance issue</t>
  </si>
  <si>
    <t>DPC with MIRO: Performance issue while doing MIRO</t>
  </si>
  <si>
    <t>FIWTIN_QRETURNS: Total base amount(Local and document) is wr</t>
  </si>
  <si>
    <t>F-54:- Blank Base Amount in With_Item table</t>
  </si>
  <si>
    <t>J1INUT document is not reversed when corresponding Invoice i</t>
  </si>
  <si>
    <t>F-54: LOKKT field is getting updated wrongly</t>
  </si>
  <si>
    <t>RPFIAAIN_PO_TRACK:All relevant asset documents not displayed</t>
  </si>
  <si>
    <t>Duplicate additional details posted in challan lines- J1IF13</t>
  </si>
  <si>
    <t>XX-CSC-INMA</t>
  </si>
  <si>
    <t>Inflation Management</t>
  </si>
  <si>
    <t>XX-CSC-INMA-FI</t>
  </si>
  <si>
    <t>XX-CSC-INMA-FI-AA</t>
  </si>
  <si>
    <t>Inflation Adjustment in FI-AA with Parallel Valuation</t>
  </si>
  <si>
    <t>XX-CSC-IT-FI</t>
  </si>
  <si>
    <t>RFIDITVCL: Vendor Customer List DDIC Creation</t>
  </si>
  <si>
    <t>RFKORDES: Self Invoice Extra EU Goods and Service</t>
  </si>
  <si>
    <t>RFIDITVCL Legal Change 2013</t>
  </si>
  <si>
    <t>Issue with Self-Invoice Italy</t>
  </si>
  <si>
    <t>RFIDITVCL : Legal Change 2013  Additional Correction-1</t>
  </si>
  <si>
    <t>Documentation: RFIDITVCL Legal Change 2013</t>
  </si>
  <si>
    <t>XX-CSC-JP-ISJ</t>
  </si>
  <si>
    <t>Invoice Summary</t>
  </si>
  <si>
    <t>Downpayment in invoice summary kagami</t>
  </si>
  <si>
    <t>Field documentaton for paid amount in invoice summary kagami</t>
  </si>
  <si>
    <t>Short dump in invoice summary maintenace of virtual accounts</t>
  </si>
  <si>
    <t>Tax Adjustment: Amount is displayed in column 'Invoice Amnt'</t>
  </si>
  <si>
    <t>Missing authorization check in component XX-CSC-JP-ISJ</t>
  </si>
  <si>
    <t>Data Aging for ISJPINVSUM40 (Correction Report for Invoice S</t>
  </si>
  <si>
    <t>Missing authorization check in XX-CSC-KR-FI</t>
  </si>
  <si>
    <t>Missing authorization check in  XX-CSC-KR-FI</t>
  </si>
  <si>
    <t>SEC_139 23 Potential backdoors in XX-CSC-KR-FI</t>
  </si>
  <si>
    <t>XX-CSC-MX</t>
  </si>
  <si>
    <t>Mexico</t>
  </si>
  <si>
    <t>XX-CSC-MX-FI</t>
  </si>
  <si>
    <t>RFIDMXFORMAT29: Performance Issue</t>
  </si>
  <si>
    <t>DIOT: Issue with transaction type and VAT withheld</t>
  </si>
  <si>
    <t>XX-CSC-NL</t>
  </si>
  <si>
    <t>Netherlands</t>
  </si>
  <si>
    <t>NL: Wrong calculation of Aggregated Scaled Dunning Charge</t>
  </si>
  <si>
    <t>Peru - Purchase Ledger Side effect of 1291021</t>
  </si>
  <si>
    <t>Peru - Sales Ledger Side effect of 1421317</t>
  </si>
  <si>
    <t>Missing authorization check in XX-CSC-PE-FI</t>
  </si>
  <si>
    <t>Missing authorization check in XX-CSC-PE</t>
  </si>
  <si>
    <t>SEC_139 15 Potential backdoors in XX-CSC-PE</t>
  </si>
  <si>
    <t>XX-CSC-PH</t>
  </si>
  <si>
    <t>Philippines</t>
  </si>
  <si>
    <t>Missing authorization check in XX-CSC-PH</t>
  </si>
  <si>
    <t>RFKORDP3 - Checkman error</t>
  </si>
  <si>
    <t>RFASLD15:Amount issue in credit memo (Smart Form)</t>
  </si>
  <si>
    <t>PL DP: Wrong entries IDPL_DP</t>
  </si>
  <si>
    <t>Invoice Posting SD Modul Poland</t>
  </si>
  <si>
    <t>SAFT GL Master Legal Change 160/2013</t>
  </si>
  <si>
    <t>SAF-T:Self Billing Corrections (8)</t>
  </si>
  <si>
    <t>SAFT-PT: New fields 4.1.4.19.6 Payment (160 and 274/2013)</t>
  </si>
  <si>
    <t>RFUVPT00: Legal Change 2013 Portaria 255/2013</t>
  </si>
  <si>
    <t>SAF-T(PT):Customer Master Enhancement</t>
  </si>
  <si>
    <t>SAF--T PT Self Billing Corrections (9)</t>
  </si>
  <si>
    <t>Mapas Fiscais(New): A user exit enhancement to provide flexi</t>
  </si>
  <si>
    <t>Mapas Fiscais(New) - Corrections for 33xx maps and implement</t>
  </si>
  <si>
    <t>Transfer Pricing. Fields are not filled. Change of class</t>
  </si>
  <si>
    <t>J3RTAXREP - Data provider as static method corrections</t>
  </si>
  <si>
    <t>16th account: add profit center, period selection</t>
  </si>
  <si>
    <t>Sales/Purchase Ledger &amp; Invoice Journal: base XML class</t>
  </si>
  <si>
    <t>Sales/Purchase Ledger: XML output</t>
  </si>
  <si>
    <t>J_3rfum26: Wrong debit/credit side FB01 cash</t>
  </si>
  <si>
    <t>J3RALFFATAXLIST: adding ALV fields</t>
  </si>
  <si>
    <t>Electronic VAT Invoices: wrong sender data in DP_IZVPOL</t>
  </si>
  <si>
    <t>Electronic VAT Invoices: ON_KORSFAKT_1_911_01_05_01_03.xsd</t>
  </si>
  <si>
    <t>Electronic VAT Invoices (Russia) - log improvements</t>
  </si>
  <si>
    <t>Property tax calculation: performance improvement</t>
  </si>
  <si>
    <t>Invoice Journal: XML format</t>
  </si>
  <si>
    <t>J3RTAXREP - Resourse usage optimization</t>
  </si>
  <si>
    <t>Property Tax Declaration. Tax reduction: assets are omitted</t>
  </si>
  <si>
    <t>Customer/Vendor Balance Notification: region name</t>
  </si>
  <si>
    <t>Forms: OS-4, OS-4A, OS-4B:  incorrect APC-value for non-reti</t>
  </si>
  <si>
    <t>RFUMSV50:DEFTAX 048 Impossible to reverse</t>
  </si>
  <si>
    <t>Property and Transport Tax declarations sender name</t>
  </si>
  <si>
    <t>Cash Flow. Ledger errors. Memory Consumption.</t>
  </si>
  <si>
    <t>Purchase Ledger: GTD</t>
  </si>
  <si>
    <t>J3RFWORKWEAR: plant  and location are not passed into workwe</t>
  </si>
  <si>
    <t>XML for VAT reports (books, journals)</t>
  </si>
  <si>
    <t>J_3RF_TAX_DP_EDIT uses wrong key for import into request</t>
  </si>
  <si>
    <t>j3rtaxdped doesn't handle invalid files during CSV import</t>
  </si>
  <si>
    <t>J_3RF_CLEARING: cleared doc is not found</t>
  </si>
  <si>
    <t>J_3RSSEPINCVAT: shifted fiscal year</t>
  </si>
  <si>
    <t>Change Clarification Text Docu</t>
  </si>
  <si>
    <t>Advance Report AO-1: incorrect amounts are displayed</t>
  </si>
  <si>
    <t>J_3rfum26: Check for undo separation</t>
  </si>
  <si>
    <t>J_3RF_STRUCT_DIVISIONS gets initial date (material document)</t>
  </si>
  <si>
    <t>Balance notification report: incorrect ending balances</t>
  </si>
  <si>
    <t>Missing authorization check in FA Revaluation report</t>
  </si>
  <si>
    <t>J_3rfum26: 0% tax rate and percentage in J_3rtse</t>
  </si>
  <si>
    <t>Form: OS-6 Incorrect Net Book Value in table 4 for time-depe</t>
  </si>
  <si>
    <t>J_3RF_CLEARING: payment request is not correctly defined</t>
  </si>
  <si>
    <t>Missing authorization check in  XX-CSC-RU-FI</t>
  </si>
  <si>
    <t>Error message 'Invalid date of birth' for mailformed materia</t>
  </si>
  <si>
    <t>Workwear: Valuation area + New sizes</t>
  </si>
  <si>
    <t>Rounding error in J3RALFTTAXDECL</t>
  </si>
  <si>
    <t>Import Customs Declaration. Archiving function.</t>
  </si>
  <si>
    <t>Implementation of the GUI title for russian transport tax re</t>
  </si>
  <si>
    <t>J_3RF_REGINV. Wrong XML convertion from UTF-16 to WINDOWS-12</t>
  </si>
  <si>
    <t>J_3RFTAX_FIREZ_LIST -Optimization BADI</t>
  </si>
  <si>
    <t>J_3RFBS_ALL, Form 5: incorrect fiscal year</t>
  </si>
  <si>
    <t>Missing authorization check in J3RFGTDINT</t>
  </si>
  <si>
    <t>Explicit authority check before transaction call instead of</t>
  </si>
  <si>
    <t>J_3R_TTAX_DECL. Error with rounding for privilege amounts in</t>
  </si>
  <si>
    <t>Workwear: Valuation area + New sizes: Dictionary object</t>
  </si>
  <si>
    <t>Missing authorization check in XX-CSC-RU-FI</t>
  </si>
  <si>
    <t>Sales/Purchase Ledger: external number of original invoice</t>
  </si>
  <si>
    <t>RFUMSV50: The report allows to post mixed documents</t>
  </si>
  <si>
    <t>16-th acc distribution - not all accounts from the selection</t>
  </si>
  <si>
    <t>Several Operators IMG</t>
  </si>
  <si>
    <t>J_3RFVATMM: delivery is not found</t>
  </si>
  <si>
    <t>J3RTAXREP - Incorrect repetition handling in SQL provider</t>
  </si>
  <si>
    <t>J_3RF_RATE_CALC: short dump in SD negative invoice</t>
  </si>
  <si>
    <t>R/3</t>
  </si>
  <si>
    <t>Missing whitelist check in XX-CSC-RU-FI</t>
  </si>
  <si>
    <t>Archiving object J_3RKKORRD correction</t>
  </si>
  <si>
    <t>J3RALFFATAXLIST. Assets with empty acquisition date aren't s</t>
  </si>
  <si>
    <t>J_3RCALD(K): Dynamic selection criteria are not applied  on</t>
  </si>
  <si>
    <t>J_3RF_TAX_DP_EDIT can lock transport system in case of task</t>
  </si>
  <si>
    <t>Property tax calculation: district is not analyzed</t>
  </si>
  <si>
    <t>Object V_SH_ANKP cannot be activated</t>
  </si>
  <si>
    <t>Invoice Journal message 300</t>
  </si>
  <si>
    <t>CCD number allocation not possible for proforma invoices(RU)</t>
  </si>
  <si>
    <t>XX-CSC-SA</t>
  </si>
  <si>
    <t>Saudi Arabia</t>
  </si>
  <si>
    <t>XX-CSC-SA-FI</t>
  </si>
  <si>
    <t>Financial Acct.</t>
  </si>
  <si>
    <t>KSA: Fixed asset depr. - call transaction authority check</t>
  </si>
  <si>
    <t>KSA - Missing switch</t>
  </si>
  <si>
    <t>RPFISKEVAT: Issue with the history table</t>
  </si>
  <si>
    <t>Shot dump 'Missed mandatory parameters for J_3RF_GLTOOL_SET_</t>
  </si>
  <si>
    <t>VF01: tax only billig doc not updated to external tax system</t>
  </si>
  <si>
    <t>Logging tax RFC calls</t>
  </si>
  <si>
    <t>FPIA: FPIA_INTSHOW dumps because of MESSAGE_TYPE_X MSINT401</t>
  </si>
  <si>
    <t>Error BB139 with Coding Block Enhancement on SAP HANA DB</t>
  </si>
  <si>
    <t>Parking using RWIN and direct tax</t>
  </si>
  <si>
    <t>Update termination for prepayment with MIRO</t>
  </si>
  <si>
    <t>TABNAME and TABKEY in TIBAN not Filled for CPD Postings via</t>
  </si>
  <si>
    <t>NR751 during posting with AP using AC_DOCUMENT_GENERATE</t>
  </si>
  <si>
    <t>Incorrect Planned Amount when Posting in the Accounting Inte</t>
  </si>
  <si>
    <t>Error Message FF817 or FF818 when Transferring a CRM Billing</t>
  </si>
  <si>
    <t>F5 702 for posting of ECS item</t>
  </si>
  <si>
    <t>Performance improvement for reversal in ECS</t>
  </si>
  <si>
    <t>GLE_ECS_MAPI 100 for reversal of document without errors</t>
  </si>
  <si>
    <t>ECS: No error for amounts with decimal places for JPY</t>
  </si>
  <si>
    <t>Documents are not reversed with transaction ACC_ECS_MASS_REV</t>
  </si>
  <si>
    <t>ECS: Foreign Key Check, Material Account Assignment, and Alp</t>
  </si>
  <si>
    <t>Incorrect status after mass reversal in ECS</t>
  </si>
  <si>
    <t>ECS: No hard error for invalid ledger group</t>
  </si>
  <si>
    <t>ECS: Invalid values posted for flow type, customer fields, a</t>
  </si>
  <si>
    <t>ECS: No Hard Error for Invalid Ledger Group II</t>
  </si>
  <si>
    <t>Timeout or Memory Overflow when Posting to ECS with Active B</t>
  </si>
  <si>
    <t>ECS: MESSAGE_TYPE_X in program SAPLKAID</t>
  </si>
  <si>
    <t>DRB: not all relations determined for object type BKPFF</t>
  </si>
  <si>
    <t>DRB: no accounting document for invoice</t>
  </si>
  <si>
    <t>BW-BCT-CO-PA</t>
  </si>
  <si>
    <t>Text/master data DataSource is generated in wrong directory</t>
  </si>
  <si>
    <t>Extractor 0CO_PC_ACT_05 determines incorrect company code</t>
  </si>
  <si>
    <t>0FI_AA_12 delivers incorrect fiscal year variant</t>
  </si>
  <si>
    <t>Handling of FI-AA-specific fiscal year variants during BW ex</t>
  </si>
  <si>
    <t>Datasource 0FI_GL_40 ignores selection condition on RFISCPER</t>
  </si>
  <si>
    <t>Datasource 0FI_GL_40: Performance problems with selection co</t>
  </si>
  <si>
    <t>0FI_GL_12: Termination COLLECT_OVERFLOW_TYPE_P in SAPLGBIWDE</t>
  </si>
  <si>
    <t>0FI_GL_14: Incorrect calculation of due date (2)</t>
  </si>
  <si>
    <t>0FI_GL_40: Bad performance when extracting the entry view</t>
  </si>
  <si>
    <t>0FI_GL_4: After a termination, not all data is extracted in</t>
  </si>
  <si>
    <t>0FI_GL_40: No extraction of postings to non leading ledgers</t>
  </si>
  <si>
    <t>0FI_GL_14: Dump RAISE_EXCEPTION OVERFLOW_OCCURED or missing</t>
  </si>
  <si>
    <t>ADB Delta extraction: Program changes for exclusive lock in</t>
  </si>
  <si>
    <t>BW-BCT-PM</t>
  </si>
  <si>
    <t>0PM_OM_OPA_2_EAML: Number of selected data records incorrect</t>
  </si>
  <si>
    <t>0PM_OM_OPA_2_EAML: Start and end points not filled</t>
  </si>
  <si>
    <t>BW-BCT-RE</t>
  </si>
  <si>
    <t>Real Estate</t>
  </si>
  <si>
    <t>BW-BCT-RE-REFX</t>
  </si>
  <si>
    <t>Flexible Real Estate</t>
  </si>
  <si>
    <t>0HER_BU_RIG_TEXT only returns fixed values</t>
  </si>
  <si>
    <t>Euro: RFEWACUS : MQ 498 despite document split not active</t>
  </si>
  <si>
    <t>SEC_139 1 Potential backdoor in CA-GTF-CSC-DME</t>
  </si>
  <si>
    <t>FTW1A: BADI for additional selections from BKPF</t>
  </si>
  <si>
    <t>DART: View file creation for France Legal Requirement</t>
  </si>
  <si>
    <t>FTWH / FTWY: COMPUTE_INT_PLUS_OVERFLOW with "append"</t>
  </si>
  <si>
    <t>FTWH/FTWY: Columns not from first extract</t>
  </si>
  <si>
    <t>DART: Similar records are deleted when creating view file</t>
  </si>
  <si>
    <t>FTWY: Mandatory fields in views no longer relevant</t>
  </si>
  <si>
    <t>FTWH/FTWY: Switch off DB table buffering</t>
  </si>
  <si>
    <t>FTWAD: Suffix _AD can be deactivated</t>
  </si>
  <si>
    <t>FTWH/FTWY: Deletion of duplicates does not work</t>
  </si>
  <si>
    <t>FTWN: File size truncated</t>
  </si>
  <si>
    <t>FTW1A: BADI Implementation not found</t>
  </si>
  <si>
    <t>DART View File: Difference in Date Format</t>
  </si>
  <si>
    <t>Replication Confirmation of Finacial Reporting Structures</t>
  </si>
  <si>
    <t>IS-PS dummy note</t>
  </si>
  <si>
    <t>RKACOR04: Corrections only in Legal Valuation</t>
  </si>
  <si>
    <t>CO-OM Tools: Table Text with Side Access</t>
  </si>
  <si>
    <t>CO-OM tools: Tables and value search</t>
  </si>
  <si>
    <t>RKACOR04: error MQ 312</t>
  </si>
  <si>
    <t>CO-OM Tools: Incorrect Value Entry</t>
  </si>
  <si>
    <t>CO-OM Tools: Selection of all columns after deleting the gro</t>
  </si>
  <si>
    <t>CO-OM Tools: Grouping leads to multiple display</t>
  </si>
  <si>
    <t>SE16N will issue short dump DATA_OFFSET_LENGTH_TOO_LARGE usi</t>
  </si>
  <si>
    <t>CO-OM tools: Text table does not exist</t>
  </si>
  <si>
    <t>Missing Default settings for SU22 for WD apllications in pac</t>
  </si>
  <si>
    <t>KK02: LIS connection to key figure with a name longer than 8</t>
  </si>
  <si>
    <t>Template allocation: Dump TSV_TNEW_PAGE_ALLOC_FAILED</t>
  </si>
  <si>
    <t>Template allocation: Error in flexible function for bill of</t>
  </si>
  <si>
    <t>Template allocation: No online update for parallel valuation</t>
  </si>
  <si>
    <t>CO-OM-ACT-B</t>
  </si>
  <si>
    <t>Planned price iteration: update termination when plan integr</t>
  </si>
  <si>
    <t>Termination Message K5 011 in KSII</t>
  </si>
  <si>
    <t>AVR: Error for COGM and COGM splitting function</t>
  </si>
  <si>
    <t>Revaluation: Incorrect values in parallel version</t>
  </si>
  <si>
    <t>Price calculation: cost component split not updated</t>
  </si>
  <si>
    <t>Splitting or price calculation: Message KD 301 for no reason</t>
  </si>
  <si>
    <t>KSS2/KSS4: Splitting rule is not taken into account</t>
  </si>
  <si>
    <t>Cost Component Split Report Does not Show any Data for Multi</t>
  </si>
  <si>
    <t>OKEON: No Change Documents after Interval Enhancement</t>
  </si>
  <si>
    <t>Not possible to populate the description for the custom fiel</t>
  </si>
  <si>
    <t>OKEON: DUMP NO_INTERSECTION in Method SET_EDIT_WINDOW if Use</t>
  </si>
  <si>
    <t>COKPR003: incorrect deletion of duplicates of an internal ta</t>
  </si>
  <si>
    <t>CO-OM Planning: Program Termination with Runtime Error TSV_T</t>
  </si>
  <si>
    <t>Message BRAIN 037  in RSRT - Planning using embedded BW</t>
  </si>
  <si>
    <t>BATCHMAN: Header data changed in rework is not transferred</t>
  </si>
  <si>
    <t>DBM: Error BK 216 issued unwarrantedly</t>
  </si>
  <si>
    <t>KBxxN: Substituted personnel number not displayed</t>
  </si>
  <si>
    <t>Dummy-Hinweis zur Erstellung von Korrekturen</t>
  </si>
  <si>
    <t>Allocations: No Public Sector Characteristic for Senders</t>
  </si>
  <si>
    <t>Allocations: Runtime error K5 011</t>
  </si>
  <si>
    <t>Allocations: Warning message instead of error message for WB</t>
  </si>
  <si>
    <t>Allocations: Missing messages for extracts</t>
  </si>
  <si>
    <t>Allocations: No online update for parallel valuations with r</t>
  </si>
  <si>
    <t>Performance for read modules</t>
  </si>
  <si>
    <t>Cost Element Acctg</t>
  </si>
  <si>
    <t>Functional area derived from MM for nonvaluated items</t>
  </si>
  <si>
    <t>Parallel costs of goods manufactured: Profitability segments</t>
  </si>
  <si>
    <t>KAEP_ACC: Period/year entry instead of posting date</t>
  </si>
  <si>
    <t>Long Runtime or Termination with Field Overflow for Reports</t>
  </si>
  <si>
    <t>Line item report from archive: Short dump COMPUTE_INT_ZERODI</t>
  </si>
  <si>
    <t>KAEP_ACC: Duplicate fields in the field catalog</t>
  </si>
  <si>
    <t>KAEPX: Dump Occurs when Executing and Printing</t>
  </si>
  <si>
    <t>Internal order field selection: Cannot change depreciation s</t>
  </si>
  <si>
    <t>IM reporting / IMCCP3, IMCOC3, IMCRC3: Incorrect measure pla</t>
  </si>
  <si>
    <t>KBPP_EXTERN_UPDATE_CO: Values updated in incorrect transacti</t>
  </si>
  <si>
    <t>CO-Planungsanwendungen fehlerhafte Berechtigungsprüfung</t>
  </si>
  <si>
    <t>Unjustified warnings or error messages for availability cont</t>
  </si>
  <si>
    <t>Availability Control on Year Basis: Checks of Availability C</t>
  </si>
  <si>
    <t>RKMOBREP: missing field RFORG after correction</t>
  </si>
  <si>
    <t>Settlement of down payments to an asset: KD505 not correct</t>
  </si>
  <si>
    <t>Real-Time Overhead Rates: Overhead Rates not Posted with OLC</t>
  </si>
  <si>
    <t>Overhead Rates: Real-Time Integration with Multiple Valuatio</t>
  </si>
  <si>
    <t>Settlement: Short Dump RAISE_EXCEPTION in SAPLKO76   NO_GR_F</t>
  </si>
  <si>
    <t>Segment Update in Multilevel Settlement with Funds Managemen</t>
  </si>
  <si>
    <t>Settlement of Actual Costs with Parallel Valuation (COGM): E</t>
  </si>
  <si>
    <t>Missing profitability segments since EHP5 or SAP Note 128779</t>
  </si>
  <si>
    <t>Suite on HANA: System finds no accounting data Data</t>
  </si>
  <si>
    <t>ZDM: Regeneration of CO-PA Field Catalog after Transport</t>
  </si>
  <si>
    <t>HDBC/KEHC - Transportanschluß</t>
  </si>
  <si>
    <t>Order Settlement # Quantity Fields Rounded to 2 Decimal Plac</t>
  </si>
  <si>
    <t>KE4S00 Integration COPA Accelerator</t>
  </si>
  <si>
    <t>KE28L: Differing posting period is not displayed in the log</t>
  </si>
  <si>
    <t>KE28L: Connection of account-based CO-PA</t>
  </si>
  <si>
    <t>Extended check for initial values for the field KOTABNR (SAP</t>
  </si>
  <si>
    <t>SU22 authorization values for KE30/KE33/KE36</t>
  </si>
  <si>
    <t>KE21N: Validation of External Number Assignment Faulty</t>
  </si>
  <si>
    <t>BAPI COPAQuery: Dump I_PHYSNR_INVALID</t>
  </si>
  <si>
    <t>Changeability of the KEDR derivation tool during ZDM upgrade</t>
  </si>
  <si>
    <t>SLO: COPA_COPY_PLAN dump PERFORM_CONFLICT_TYPE</t>
  </si>
  <si>
    <t>Value in company code currency is incorrect</t>
  </si>
  <si>
    <t>Performance Optimization in Form Routine CLEAR_VALUE in KE27</t>
  </si>
  <si>
    <t>RKE_GET_CHARS_FOR_PAOBJNR Does not Return any Units of Measu</t>
  </si>
  <si>
    <t>CL_RKE_VP_MASTERDATA - adjustment RSCHAVLEXT</t>
  </si>
  <si>
    <t>Missing master data texts in virtual InfoProvider of CO-PA</t>
  </si>
  <si>
    <t>Missing F4 help for InfoObjects in virtual InfoProvider</t>
  </si>
  <si>
    <t>KEPM: TSV_TNEW_PAGE_ALLOC_FAILED or SYSTEM_IMODE_TOO_LARGE</t>
  </si>
  <si>
    <t>KE1x: Database locks in update tasks II</t>
  </si>
  <si>
    <t>KE28: Problems with unit of measure fields</t>
  </si>
  <si>
    <t>COPA: ILM enablement</t>
  </si>
  <si>
    <t>COGM: Corrections FCML0 for FI postings</t>
  </si>
  <si>
    <t>Default Values for Controlling Level f. new process/proc alt</t>
  </si>
  <si>
    <t>Initial valuation in group valuatn or profit center valuatn</t>
  </si>
  <si>
    <t>Activity types in table FCML_MAT</t>
  </si>
  <si>
    <t>CO_ML_SPL: Runtime improvement</t>
  </si>
  <si>
    <t>Beginning inventories missing in local currency</t>
  </si>
  <si>
    <t>Activity update enhancement in material ledger</t>
  </si>
  <si>
    <t>CO_ML_DAT: Standardization</t>
  </si>
  <si>
    <t>Initial cost component split for reversal of order settlemen</t>
  </si>
  <si>
    <t>Interface FCML_ACC in ML application - activity types</t>
  </si>
  <si>
    <t>ML Drilldown Reporting: User specific activation in HDBC</t>
  </si>
  <si>
    <t>Incorrect currency format with message C+042</t>
  </si>
  <si>
    <t>FCML: Error Reading Material Ledger Data when Changing Price</t>
  </si>
  <si>
    <t>CO_ML_BEL: Standardization</t>
  </si>
  <si>
    <t>FCML: Cost Component Split Values for Price Determination Do</t>
  </si>
  <si>
    <t>FCML:  Incorrect cost component split of non-distribution li</t>
  </si>
  <si>
    <t>CO_ML_SPL: Standardization</t>
  </si>
  <si>
    <t>ML Virtual Info Provider /ML1/COPCACT_2 adjustment of 'SELEC</t>
  </si>
  <si>
    <t>CO-PC-ACT: Checkman Issues SP4 EHP7 und SP1 SFIN 1.0e</t>
  </si>
  <si>
    <t>CO_ML_SPL: runtime error in program SAPRCKMN_NEU_SPLIT</t>
  </si>
  <si>
    <t>CO-PC-ACT-AVR</t>
  </si>
  <si>
    <t>alt. valuation run</t>
  </si>
  <si>
    <t>Dump CF_KEPH_IS_INITIAL for revaluatn of consumption in AVR</t>
  </si>
  <si>
    <t>Alternative valuation run uses wrong price from prior period</t>
  </si>
  <si>
    <t>CO-PC-ACT-MAC</t>
  </si>
  <si>
    <t>Multilevel Actl Cstg</t>
  </si>
  <si>
    <t>Difference cost comp. split for WIP activity not rolled over</t>
  </si>
  <si>
    <t>CO-PC-ACT-PAR</t>
  </si>
  <si>
    <t>Parallel Matl Valn</t>
  </si>
  <si>
    <t>Use Result of Material Ledger AVR Costing Run (Cost Componen</t>
  </si>
  <si>
    <t>CO-PC-ACT-PER</t>
  </si>
  <si>
    <t>Periodic Matl Valn</t>
  </si>
  <si>
    <t>Error Replacing Account in COGM</t>
  </si>
  <si>
    <t>Report RSSERP10 is Obsolete</t>
  </si>
  <si>
    <t>Cost analysis: Error message 0K 412 in layout 1SAP02</t>
  </si>
  <si>
    <t>Check Manager (CheckMan)</t>
  </si>
  <si>
    <t>Settlement or preliminary settlement create an imbalance in</t>
  </si>
  <si>
    <t>PDCE: Dump due to exception BCD_FIELD_OVERFLOW during overhe</t>
  </si>
  <si>
    <t>Easy Cost Planning: incorrect rounding of plan values</t>
  </si>
  <si>
    <t>Price missing in reservation</t>
  </si>
  <si>
    <t>Error message CK240 for cost estimate</t>
  </si>
  <si>
    <t>Valuation with production order cost component split is corr</t>
  </si>
  <si>
    <t>Überarbeitung von Coding</t>
  </si>
  <si>
    <t>Easy Cost Planning: Runtime Error GETWA_NOT_ASSIGNED in CL_G</t>
  </si>
  <si>
    <t>CKUC: incorrect total amounts in costing structure</t>
  </si>
  <si>
    <t>Error message CK 641 for non-valuated materials</t>
  </si>
  <si>
    <t>Costing: Transfer control does not work and results in error</t>
  </si>
  <si>
    <t>CK11N: Raw material costs not correct in accordance with val</t>
  </si>
  <si>
    <t>Error message CK465 for material cost estimate in view other</t>
  </si>
  <si>
    <t>BSEG-MENGE not filled when transferring CRM billing document</t>
  </si>
  <si>
    <t>EC-CS-CSF-E</t>
  </si>
  <si>
    <t>Currency Translation</t>
  </si>
  <si>
    <t>EC-CS: Unnecessary database selection for translation method</t>
  </si>
  <si>
    <t>Increase in capitalization with decreasing percentage of own</t>
  </si>
  <si>
    <t>Missing texts in Interactive Excel 3 for EC-CS backend syste</t>
  </si>
  <si>
    <t>Unexpected error when calling up a report</t>
  </si>
  <si>
    <t>Text for Report Type in report definition contain ";;" sign</t>
  </si>
  <si>
    <t>Report Header - text for hierarchy node missing</t>
  </si>
  <si>
    <t>Drilldown: Report Painter row model doesn't copy formula</t>
  </si>
  <si>
    <t>Profit Center Acctg.</t>
  </si>
  <si>
    <t>Access to unsorted tables in PCA</t>
  </si>
  <si>
    <t>9KE0: Detail screen - amounts are not updated</t>
  </si>
  <si>
    <t>Check Manager error in update module PCA_POST_T8APP_GLPCM</t>
  </si>
  <si>
    <t>KE5ZH: Error message KM138</t>
  </si>
  <si>
    <t>0KE2: Incorrect data in status message after deletion</t>
  </si>
  <si>
    <t>ZDM: Prelock Method for Profit Center Master Data</t>
  </si>
  <si>
    <t>ISR - Incomplete date formatting error</t>
  </si>
  <si>
    <t>Dump on displaying archived notifications</t>
  </si>
  <si>
    <t>Runtime error for invalid input - CONVERSION_EXIT_ISR4_INPUT</t>
  </si>
  <si>
    <t>Dump in GET_SPECIAL_DATA_WITH_INDEX while fetching long text</t>
  </si>
  <si>
    <t>ISR: Dump in search help (OVS)</t>
  </si>
  <si>
    <t>Syntax error in function module ISR_CREATE_ITS_SERVICE</t>
  </si>
  <si>
    <t>RAABST02: Status in Closing Cockpit or Schedule Manager</t>
  </si>
  <si>
    <t>S2I:  error message AC 496 when maintaining parallel currenc</t>
  </si>
  <si>
    <t>S2I: Error handling missing when calling method of class CL_</t>
  </si>
  <si>
    <t>SFIN: Documentation missing for program RASFIN_MIGR_PRECHECK</t>
  </si>
  <si>
    <t>Incorrect access to internal tables</t>
  </si>
  <si>
    <t>S2I: After Asset Transfer posted, parameter is set to receiv</t>
  </si>
  <si>
    <t>S2I: AU 133 Misleading error message when posting investment</t>
  </si>
  <si>
    <t>S2I: New Asset Accouting Activation report should not check</t>
  </si>
  <si>
    <t>S2I: Transaction ASIM is no longer supported with error mess</t>
  </si>
  <si>
    <t>S2I: Delete unused transaction AO90_ACI</t>
  </si>
  <si>
    <t>S2I: Asset is locked when Parked document is being posted, e</t>
  </si>
  <si>
    <t>S2I: Termination in transaction OASV (Enter G/L Account Post</t>
  </si>
  <si>
    <t>CheckMan error: System overwrites important SY field (0237)</t>
  </si>
  <si>
    <t>S2I: Error message TF099 if no tables for XML snapshot are d</t>
  </si>
  <si>
    <t>AIAB: Popup appears multiple times after line item list</t>
  </si>
  <si>
    <t>GTAS 2: Changes to add USFG fields to transactions ABZON, AB</t>
  </si>
  <si>
    <t>SFIN: Precheck report RASFIN_MIGR_PRECHECK gives error messa</t>
  </si>
  <si>
    <t>S2I: Runtime error DYNPRO_NOT_FOUND in program SAPLAMDP</t>
  </si>
  <si>
    <t>Technical revision AM_LOCK_GROUPASSETS</t>
  </si>
  <si>
    <t>Check profit center and segment in closed fiscal years</t>
  </si>
  <si>
    <t>Change of vendor when saving an asset master record</t>
  </si>
  <si>
    <t>Runtime error SAPSQL_ARRAY_INSERT_DUPREC when removing the d</t>
  </si>
  <si>
    <t>Group asset not updated during transfer posting</t>
  </si>
  <si>
    <t>Error message leads to termination in RASIMU02 and BW</t>
  </si>
  <si>
    <t>F110 Post-capitalization of cash discount on asset: Error AA</t>
  </si>
  <si>
    <t>Posting to asset with BAPI_ASSET_ACQUISITION_POST aborts wit</t>
  </si>
  <si>
    <t>AIBU: No proportional value adjustments for group assets</t>
  </si>
  <si>
    <t>RACAFABE: incorrect error message</t>
  </si>
  <si>
    <t>RAABST02: MQ555 / MQ557 for no reason</t>
  </si>
  <si>
    <t>RAGITT_ALV01: Round differences mid-year</t>
  </si>
  <si>
    <t>Reporting dump CALL_FUNCTION_CONFLICT_TYPE for translation m</t>
  </si>
  <si>
    <t>LVA retirement simulation runtime error OBJECTS_OBJREF_NOT_A</t>
  </si>
  <si>
    <t>RASIMU_ALV01: Modeling of fiscal year with odd number of per</t>
  </si>
  <si>
    <t>RAABST02: Runtime error NEWGL_NOT_ACTIVE</t>
  </si>
  <si>
    <t>RAABST02: Totals reconciliation with asset groups</t>
  </si>
  <si>
    <t>AW01N -  Function cannot be executed from menu bar</t>
  </si>
  <si>
    <t>ALV list: Filter for WBS element does not work</t>
  </si>
  <si>
    <t>PEO: Account specification with errors for adjustment postin</t>
  </si>
  <si>
    <t>PEO: Balance error FMPEBADJ</t>
  </si>
  <si>
    <t>PEO: Document proof FMPEBTIL and tax totals FMPEBTTL are inc</t>
  </si>
  <si>
    <t>RFFCRCCD: Sorting of a table before LOOP AT</t>
  </si>
  <si>
    <t>Checkman fixes</t>
  </si>
  <si>
    <t>RFTMPBLU: Dump CONNE_IMPORT_WRONG_COMP_DECS</t>
  </si>
  <si>
    <t>MIRO: ISR number, ISR reference number filled for credit mem</t>
  </si>
  <si>
    <t>FB00: Fast entry by ISR number and payment reference as sele</t>
  </si>
  <si>
    <t>FB03/BELEGV: Archived change documents</t>
  </si>
  <si>
    <t>ENJOY: BIC/SWIFT is incorrectly displayed</t>
  </si>
  <si>
    <t>F-58: Payment despite missing change confirmation</t>
  </si>
  <si>
    <t>FB03: NUMPG/BRNCH displayed for the German company code</t>
  </si>
  <si>
    <t>FB02: Deleting one-time data without taking the required ent</t>
  </si>
  <si>
    <t>F110: Extended individual payment (12)</t>
  </si>
  <si>
    <t>Termination F110 GLT0 000</t>
  </si>
  <si>
    <t>F110: Valuation difference is not taken into account</t>
  </si>
  <si>
    <t>Not possible to create payment release lists per client copy</t>
  </si>
  <si>
    <t>F110/FBZ0 payment possible with forbidden country of destina</t>
  </si>
  <si>
    <t>F110 SEPA direct debit and clearing with vendors</t>
  </si>
  <si>
    <t>F110/SEPA: mandate validity not correctly checked</t>
  </si>
  <si>
    <t>F110/SEPA: Runtime error COMPUTE_BCD_OVERFLOW</t>
  </si>
  <si>
    <t>F110 new payment run: Navigation not possible</t>
  </si>
  <si>
    <t>F110 SEPA mandate not found after implementation of SAP Note</t>
  </si>
  <si>
    <t>FBZP indicator for automatic debit authorization is inconsis</t>
  </si>
  <si>
    <t>F110 F111 Selection of servers and server groups</t>
  </si>
  <si>
    <t>F110/FBA7:Error ERP_CO_OLC_E  003 Order requires assignment</t>
  </si>
  <si>
    <t>RFPYORDL: Incorrect display of decimal digits</t>
  </si>
  <si>
    <t>F110 direct debit pre-notification: Termination for zero bal</t>
  </si>
  <si>
    <t>F110/SEPA: Incorrect clearing and value date</t>
  </si>
  <si>
    <t>F110: G/L account does not exist in the company code</t>
  </si>
  <si>
    <t>F110 SEPA: FRST/RCUR for multiple use on the same tag</t>
  </si>
  <si>
    <t>F110: The payment program terminates with a dump.</t>
  </si>
  <si>
    <t>F110/F111: "Superseding" SEPA mandates (3)</t>
  </si>
  <si>
    <t>F110 SEPA: Ambiguous warning F0213 when maintaining paramete</t>
  </si>
  <si>
    <t>SEPA mandate check and messages in the log</t>
  </si>
  <si>
    <t>F110: Credit memo clearing with specification of SEPA mandat</t>
  </si>
  <si>
    <t>F110: SEPA mandate locked by parallel payment runs</t>
  </si>
  <si>
    <t>F110 and F111: SEPA - incorrect execution if base date is a</t>
  </si>
  <si>
    <t>F110/SEPA: Program termination during calendar check (FZ793)</t>
  </si>
  <si>
    <t>FBZ0: SEPA execution too early for direct debit pre-notifica</t>
  </si>
  <si>
    <t>FBZ0: Unable to assign items (T042E-XNOTX)</t>
  </si>
  <si>
    <t>F110/SEPA: Clearing of credit memos before due date</t>
  </si>
  <si>
    <t>F110/F111: "Superseding" SEPA mandates (4)</t>
  </si>
  <si>
    <t>F110: Credit memo payment not before invoice debit memo</t>
  </si>
  <si>
    <t>F110 runtime error FZ399</t>
  </si>
  <si>
    <t>ORBIAN: Error when reading the ORBIAN connection</t>
  </si>
  <si>
    <t>F110: SEPA amendment information missing from proposal run</t>
  </si>
  <si>
    <t>F110: Long runtime with SEPA first-time direct debits</t>
  </si>
  <si>
    <t>CGI Direct Debit Transfer: DMEE XML Format as per ISO20022</t>
  </si>
  <si>
    <t>LU: SAF-T Payment Section XML file Creation</t>
  </si>
  <si>
    <t>PL: RFFOPL_OVRDUE_INV: Poland Overdue Invoices</t>
  </si>
  <si>
    <t>RFEBNORDIC: Duplicate statement number generated when proces</t>
  </si>
  <si>
    <t>RFEBBECODA00: CODA 2.3 Legal Changes for SEPA Compliance</t>
  </si>
  <si>
    <t>CGI: SEPA and Non-SEPA Identification</t>
  </si>
  <si>
    <t>RFFOM100:HR_MBB_SAL:Confidential Indicator was not passed in</t>
  </si>
  <si>
    <t>RFIDATEB00:Business partner name not picked from segment 14</t>
  </si>
  <si>
    <t>RFFOPT_CBR - Canceled/changed and reversed documents</t>
  </si>
  <si>
    <t>RFEBDK00: Incorrect processing of section header segments an</t>
  </si>
  <si>
    <t>Support of Customer Payment Status(Pain.002)</t>
  </si>
  <si>
    <t>DMEE formats SEPA _CT and SEPA_DD Enhancements for LU, BE, P</t>
  </si>
  <si>
    <t>CGI_XML_CT: DMEE XML Format changes after note 1857318</t>
  </si>
  <si>
    <t>Japan Electronic Monetary Claims data disappeared after chan</t>
  </si>
  <si>
    <t>RFFOPT_CBR: The reference date is incorrect when the reverse</t>
  </si>
  <si>
    <t>RFFOIT_B: BONIF format SEPA compliant additional changes</t>
  </si>
  <si>
    <t>RFIDATEB00: Removal of special character '#' when uploaded f</t>
  </si>
  <si>
    <t>CGI: SEPA Additional changes for Country LI and SWIFT code</t>
  </si>
  <si>
    <t>CGI: SEPA Additional changes for Country FI and SWIFT code</t>
  </si>
  <si>
    <t>SEC-1200: Missing authorization check in FI-AP-AP-B1</t>
  </si>
  <si>
    <t>COPE Report RFFOPT_CBR payment not included</t>
  </si>
  <si>
    <t>Performance improvement for the report RFFOPL_OVRDUE_INV for</t>
  </si>
  <si>
    <t>FI-AP-AP-C</t>
  </si>
  <si>
    <t>FINT/FINTAP posts interest paid to the interest earned accou</t>
  </si>
  <si>
    <t>FI-AP-AP-D</t>
  </si>
  <si>
    <t>FAGL_READ_DATA_ITEMS_RGRE: Error message MSITEM 123 incorrec</t>
  </si>
  <si>
    <t>BL 203, "Message incomplete" within correspondence</t>
  </si>
  <si>
    <t>FI_DOCUMENT_CHANGE: Unable to change WSKTO for vendors</t>
  </si>
  <si>
    <t>Incorrect amounts during reversal from MM-IM after changing</t>
  </si>
  <si>
    <t>SAP Note 1660734 does not work for active ALE scenario</t>
  </si>
  <si>
    <t>Split solution delivered with SAP Notes 1497092 and 1670486</t>
  </si>
  <si>
    <t>INVOIC/FBV1: Runtime error during line-by-line tax determina</t>
  </si>
  <si>
    <t>Value for authorization group ignored</t>
  </si>
  <si>
    <t>FSEPA_M4 - Error message issued when customer excluded</t>
  </si>
  <si>
    <t>RFKABL00/RFDABL00: Exception does not exist</t>
  </si>
  <si>
    <t>FB08 : Incorrect accumulation when downpayment is reversed.</t>
  </si>
  <si>
    <t>Incorrect Currency Conversion for Payment Notification</t>
  </si>
  <si>
    <t>RFIDYYWT- Cleared Down payments are not getting reported</t>
  </si>
  <si>
    <t>J_1IE_RCT_UPDATE : Amounts in LC in file are wrong</t>
  </si>
  <si>
    <t>Dump due to Exchange rate more then 4 digits</t>
  </si>
  <si>
    <t>US LC 2013: forms for withholding tax reporting</t>
  </si>
  <si>
    <t>Error while using numbering concept 3 for Indonesia</t>
  </si>
  <si>
    <t>Philippines BIR 2307 - Declaration Text in form  is  underli</t>
  </si>
  <si>
    <t>RFKQST00- Documents with net tax amount are not reported</t>
  </si>
  <si>
    <t>US LC 2013 - Corrections</t>
  </si>
  <si>
    <t>US 1099 LC 2013 - 1099 Misc File Changes</t>
  </si>
  <si>
    <t>J_1HDTAX: Deferred tax is not getting transferred</t>
  </si>
  <si>
    <t>FBV1: Error F5A 143 when changing the document type with dif</t>
  </si>
  <si>
    <t>FB13: Document overview does not display all lines</t>
  </si>
  <si>
    <t>FBV1: Company code change results in error KI 203</t>
  </si>
  <si>
    <t>Application-specific IBAN existence check for a debit-side S</t>
  </si>
  <si>
    <t>Mandate reference for recurring entries</t>
  </si>
  <si>
    <t>FB01, FB02, FB03: Mandates for other company codes</t>
  </si>
  <si>
    <t>FIPI: No external assignment of mandate reference</t>
  </si>
  <si>
    <t>FBRA: Error message FS 601 in the case of a cross-company-co</t>
  </si>
  <si>
    <t>FB01/FB05: Table TIBAN read unnecessarily</t>
  </si>
  <si>
    <t>ILM connection: SAPF150R</t>
  </si>
  <si>
    <t>FINT: Posting brings error FF817: "Taxes by item is not acti</t>
  </si>
  <si>
    <t>FINT: Translation date for fixed amounts not at start of int</t>
  </si>
  <si>
    <t>F150 dunning history does not return any data for customer/v</t>
  </si>
  <si>
    <t>FINT: Interest fixed amount reimbursed although interest onl</t>
  </si>
  <si>
    <t>F150: SAPF150R Errors in reorganization</t>
  </si>
  <si>
    <t>F150 dunning history when selecting account type D and K</t>
  </si>
  <si>
    <t>F150: Message for number of printed messages incorrectly pos</t>
  </si>
  <si>
    <t>F150 SAPF150S2 Check Manager error</t>
  </si>
  <si>
    <t>FINT calculates fixed amount each time</t>
  </si>
  <si>
    <t>Correspondence by mail: text with 00 sign at end</t>
  </si>
  <si>
    <t>Check Manager error in FI correspondence</t>
  </si>
  <si>
    <t>Termination after displaying the correspondence</t>
  </si>
  <si>
    <t>FBWE: Posting of bill of exchange terminates</t>
  </si>
  <si>
    <t>NESTED_PRINT_ON dump during update of returned bills of exch</t>
  </si>
  <si>
    <t>Split according to note 1670486 is not executed for Indian c</t>
  </si>
  <si>
    <t>Rounding difference for down payment clearing from SD</t>
  </si>
  <si>
    <t>Incorrect adjustment of tax base for postings from SD</t>
  </si>
  <si>
    <t>Inconsistency: BSIS-ZUONR does not equal BSEG-HZUON</t>
  </si>
  <si>
    <t>Incorrect sorting of line items in FI document after negativ</t>
  </si>
  <si>
    <t>Error message F4 768 'Customer &amp; has not been created in any</t>
  </si>
  <si>
    <t>BIC in SEPA mandate is incorrect after change to bank master</t>
  </si>
  <si>
    <t>Mandate management: Search help for IBAN/BIC</t>
  </si>
  <si>
    <t>Input help for paying company code</t>
  </si>
  <si>
    <t>Error canceling mandates and then removing bank details</t>
  </si>
  <si>
    <t>SEPA: Incorrect sequence type after changing IBAN</t>
  </si>
  <si>
    <t>SEPA mandate customers: supplementing data and fields that c</t>
  </si>
  <si>
    <t>Message SEPA 056 issued incorrectly</t>
  </si>
  <si>
    <t>SEPA: Error for IBAN with different BIC/SWIFT</t>
  </si>
  <si>
    <t>SEPA: Data transfer when creating mandates in FD01</t>
  </si>
  <si>
    <t>FI-AR-AR-Q</t>
  </si>
  <si>
    <t>Error msg SG105 when making paymt using payment advice</t>
  </si>
  <si>
    <t>FD32: change documents displayed in incorrect order</t>
  </si>
  <si>
    <t>Low performance of CUSTOMER_DUE_DATE_ANALYSIS</t>
  </si>
  <si>
    <t>RFDKLI43: Low performance of Due date analysis</t>
  </si>
  <si>
    <t>FD32: Error on transaction start</t>
  </si>
  <si>
    <t>RFCMCRCV: Access to unsorted internal table</t>
  </si>
  <si>
    <t>Bank chain has no IBAN</t>
  </si>
  <si>
    <t>F110, F111: IBAN of bank chains incorrectly filled</t>
  </si>
  <si>
    <t>FI12 and IBAN transport: object key in transport request not</t>
  </si>
  <si>
    <t>FI12: Enhanced IBAN maintenance for house banks</t>
  </si>
  <si>
    <t>FI12: Transport of IBAN - enhancement</t>
  </si>
  <si>
    <t>Free to Tango</t>
  </si>
  <si>
    <t>FTE_BSM: Branch back to bank statement monitor</t>
  </si>
  <si>
    <t>FEB_BSPROC: Changes from user exit not transferred entirely</t>
  </si>
  <si>
    <t>Bank statement: Unexpected hits for interpretation</t>
  </si>
  <si>
    <t>FEB_BSPROC: No items selected for payment order</t>
  </si>
  <si>
    <t>Bank statement: Status update with document parking</t>
  </si>
  <si>
    <t>Account statement: cross-company code application log</t>
  </si>
  <si>
    <t>FEBCL filled in the BAdI or transformation (II)</t>
  </si>
  <si>
    <t>Bank statement: Log for BTC UNALLOCATED (XML)</t>
  </si>
  <si>
    <t>Dump: TABLE FREE IN LOOP</t>
  </si>
  <si>
    <t>Account statement: MT940: Incorrect document date at fiscal</t>
  </si>
  <si>
    <t>ZENGINKYO (RFEBJP00): Error in date conversion</t>
  </si>
  <si>
    <t>Dump for duplicate bank statement in XML format or bank-spec</t>
  </si>
  <si>
    <t>Bank statement: Return charge with zero amount</t>
  </si>
  <si>
    <t>MT942: Debit/credit indicator set incorrectly for indicators</t>
  </si>
  <si>
    <t>RFEBCK00: File content is lost</t>
  </si>
  <si>
    <t>Dump: CALL_FUNCTION_NOT_FOUND</t>
  </si>
  <si>
    <t>FBCJ: Posting to segment possible despite lack of authorizat</t>
  </si>
  <si>
    <t>FBCJ: Amounts inconsistent for split document</t>
  </si>
  <si>
    <t>FBCJ/substitution: coding block fields are not saved</t>
  </si>
  <si>
    <t>FBCJ: Authorization check F_BKPF_BUK</t>
  </si>
  <si>
    <t>FBCJ: BAPI_CASHJOURNALDOC_CREATE returns error FCJ 019 for d</t>
  </si>
  <si>
    <t>FBCJ: Input area for payments and receipts has too few lines</t>
  </si>
  <si>
    <t>FBCJ: Posting in special period not possible in CO</t>
  </si>
  <si>
    <t>FBCJ: Error when posting reversal document</t>
  </si>
  <si>
    <t>FBCJ FCJ_PREP_DOC_FOR_ACCIF Check Manager error</t>
  </si>
  <si>
    <t>Encoding of XML files in non-ISO/Asian code page</t>
  </si>
  <si>
    <t>PMW: Type FTA dump with SYSTEM_NO_ROLL in CL_BNK_STR2XSTR</t>
  </si>
  <si>
    <t>Characters in payment summary for logon in Japanese</t>
  </si>
  <si>
    <t>Service level for SEPA_CT, urgent payments, URGP</t>
  </si>
  <si>
    <t>SEPA_DD: &amp;lt;OrgnlDbtrAcct&amp;gt;  filled for FRST even though new ba</t>
  </si>
  <si>
    <t>CGI_XML_CT: IBAN for house bank, FZ 762</t>
  </si>
  <si>
    <t>SEPA_CT SEPA_DD additional tags in DMEE tree required</t>
  </si>
  <si>
    <t>PmtInfId in SEPA / ISO20022 file</t>
  </si>
  <si>
    <t>Personnel payments missing in PMW XML file</t>
  </si>
  <si>
    <t>Accompanying sheet with more fields (hash value) in exit 41</t>
  </si>
  <si>
    <t>DIRDEB PEXR2003 umlauts SEPA</t>
  </si>
  <si>
    <t>PMW: Encoding for XML file/UTF-16/apostrophe/utf-8 in lowerc</t>
  </si>
  <si>
    <t>Company code in transaction FDTA missing for payment codes c</t>
  </si>
  <si>
    <t>Exit for creating payment advice notes for SAP applications</t>
  </si>
  <si>
    <t>Exit to create payment advice notes (Ariba Integration)</t>
  </si>
  <si>
    <t>Changing DMEE exit modules of SEPA DMEE to ABA interface</t>
  </si>
  <si>
    <t>Note to payee missing for HR/travel expense payments</t>
  </si>
  <si>
    <t>Change of interfaces of BAdIs FI_DMEE_SEPA_COUNTRIES and FI_</t>
  </si>
  <si>
    <t>FIBLFFP / F111: SEPA mandate invalid</t>
  </si>
  <si>
    <t>F111 - SEPA mandates for external payment request</t>
  </si>
  <si>
    <t>IBAN not transferred to payment data</t>
  </si>
  <si>
    <t>F8REL - improved output and navigation</t>
  </si>
  <si>
    <t>F111 - SEPA mandate locked during creation of payment media</t>
  </si>
  <si>
    <t>Creation of payment request using BAPI fails - PZ706</t>
  </si>
  <si>
    <t>EA-PS Data Elements in FI-FM</t>
  </si>
  <si>
    <t>Zero-balance OIM lines: Follow-on doc. posted in the wrong d</t>
  </si>
  <si>
    <t>SoH LDB SDF: Incorrect results in RFFUEB00</t>
  </si>
  <si>
    <t>Incorrect authorization check of V_T001 in BAPI_COMPANYCODE_</t>
  </si>
  <si>
    <t>Structure FINS_S_AWKEY_SWITCH for compatibility with Smart F</t>
  </si>
  <si>
    <t>Dump MESSAGE_TYPE_X in SAPLGBIWDELTA_47</t>
  </si>
  <si>
    <t>General Ledger Accounting (new): Excessively large quantitie</t>
  </si>
  <si>
    <t>Valuation area and valuation type in non-leading ledgers</t>
  </si>
  <si>
    <t>SAPDBSDF: Runtime error DBSQL_TOO_MANY_OPEN_CURSOR</t>
  </si>
  <si>
    <t>Performance optimization for RFUMSV00</t>
  </si>
  <si>
    <t>FAGL_MM_RECON: Error in syntax check in class CL_FAGL_MM_REC</t>
  </si>
  <si>
    <t>internal message 0004218207 2013</t>
  </si>
  <si>
    <t>Internal Message 0120031469 0004758439 2013</t>
  </si>
  <si>
    <t>Internal Message 0120031469 0004469270 2013</t>
  </si>
  <si>
    <t>SAPDFKB1: Accesses to unsorted table</t>
  </si>
  <si>
    <t>Value Help on HANA Adoption in Financials</t>
  </si>
  <si>
    <t>SAPF181 terminates with error FR 451 II</t>
  </si>
  <si>
    <t>Syntax error in FF10IE99</t>
  </si>
  <si>
    <t>FS16: MCA key filled with "/"</t>
  </si>
  <si>
    <t>Message GLE_MCA 465/466 not precise enough</t>
  </si>
  <si>
    <t>GMCA_CHK_CONF - system issues message GLE_MCA 611 incorrectl</t>
  </si>
  <si>
    <t>GMCA_PLT_B: Message: Offsetting account * is missing in sele</t>
  </si>
  <si>
    <t>System ignores selection options that do not have a low valu</t>
  </si>
  <si>
    <t>GMCA_PLT_D: Reversal produces incorrect values</t>
  </si>
  <si>
    <t>GMCA_IFX: Long runtimes</t>
  </si>
  <si>
    <t>GLE_MCA_PROCESS_1300: Termination if several currencies are</t>
  </si>
  <si>
    <t>IFX process: Message GLE_MCA 492 without justification</t>
  </si>
  <si>
    <t>GMCA_IFX: Selection for accounts managed on an open item bas</t>
  </si>
  <si>
    <t>GMCA_RUNADM: Interval check for runtime</t>
  </si>
  <si>
    <t>No change documents for MCA key in account master</t>
  </si>
  <si>
    <t>Log information for troubleshooting missing for MCA processe</t>
  </si>
  <si>
    <t>GLE_MCA_GENL_GET_FORCU_DOCS: Accesses to unsorted tables</t>
  </si>
  <si>
    <t>MIRO: Zero-balance clearing in General Ledger Accounting (Ne</t>
  </si>
  <si>
    <t>NGLM: Error message KE 081</t>
  </si>
  <si>
    <t>FAGL_OBJCHECK: Enhancement of functions (4)</t>
  </si>
  <si>
    <t>Error message GLT2 201 during clearing</t>
  </si>
  <si>
    <t>FB03: Unsuitable error message on initial screen (II)</t>
  </si>
  <si>
    <t>FBRA: No reversal of RXD adjustment posting</t>
  </si>
  <si>
    <t>BAdI to make LZBKZ/LANDL ready for entry</t>
  </si>
  <si>
    <t>FBU2: Duplicate document data in substitution/validation</t>
  </si>
  <si>
    <t>SAPF181: Error 00 349 for assets with CALL TRANSACTION FBB1</t>
  </si>
  <si>
    <t>FBU3/FBU2: Double amounts in documents</t>
  </si>
  <si>
    <t>F.80/F.81: Application log not available in SLG1</t>
  </si>
  <si>
    <t>FB03/BKPFF: No display of attachments in document line</t>
  </si>
  <si>
    <t>SAPF124 - performance</t>
  </si>
  <si>
    <t>FB01: Special general ledger indicator not ready for input</t>
  </si>
  <si>
    <t>RF048 missing for cross-company-code transactions</t>
  </si>
  <si>
    <t>FBV1: Business place erroneously ready for input</t>
  </si>
  <si>
    <t>F.13/F13E: No clearing for execution in background</t>
  </si>
  <si>
    <t>Outdated ADB only for companies assigned to average ledger</t>
  </si>
  <si>
    <t>Performance of ADB extractor function</t>
  </si>
  <si>
    <t>SoH LDB SDF: Incorrect results with transaction FBL3N (2)</t>
  </si>
  <si>
    <t>SAPDBBRF: Fiscal year not correctly delimited for non-leadin</t>
  </si>
  <si>
    <t>SoH LDB SDF: Performance improvement in logical database SDF</t>
  </si>
  <si>
    <t>SAPDBBRF: Ledger is not available in BATCH HEADING</t>
  </si>
  <si>
    <t>SoH LDB BRF: Performance problems due to expiring currencies</t>
  </si>
  <si>
    <t>Line items: Mass change - message MSITEM006 (field DKAC) (2)</t>
  </si>
  <si>
    <t>FI-GL-GL-E</t>
  </si>
  <si>
    <t>Checkman Error</t>
  </si>
  <si>
    <t>VATDATE: Date missing in leading company code</t>
  </si>
  <si>
    <t>Duplicate BSET entries and incorrect BSEG-TXGRP</t>
  </si>
  <si>
    <t>RFUMSV25: Down Payments with 0% Deferred Tax</t>
  </si>
  <si>
    <t>RFUMSV00: Selection of deferred tax</t>
  </si>
  <si>
    <t>VF01: Take into account own exchange rate type for tax items</t>
  </si>
  <si>
    <t>Date for currency conversion for BSET-LWSTE, -LWBAS</t>
  </si>
  <si>
    <t>Adjustment of electronic advance return for tax on sales/pur</t>
  </si>
  <si>
    <t>RFUMSV00: Exchange rate is displayed incorrectly</t>
  </si>
  <si>
    <t>FMPEBTIL short dump, distribution of differences</t>
  </si>
  <si>
    <t>RFUMSV00 terminates because account key SPACE is not found -</t>
  </si>
  <si>
    <t>RFUMSV00: Address Data with One-Time Account and Deferred Ta</t>
  </si>
  <si>
    <t>F5580 if tax base is changed on tax screen (Argentina/Peru)</t>
  </si>
  <si>
    <t>RFUMSV00 - tax return with time-dependent taxes on sales/pur</t>
  </si>
  <si>
    <t>RFUMSV25: Bank clearing and payment by bill of exchange</t>
  </si>
  <si>
    <t>FOTP - special advance payment with time-dependent taxes on</t>
  </si>
  <si>
    <t>RFUMSV25: Difference between list and transfer posting</t>
  </si>
  <si>
    <t>Cancellation transactions, payment program, or clearing term</t>
  </si>
  <si>
    <t>RFUMSV25: Incorrect amount posted in batch input</t>
  </si>
  <si>
    <t>RFUMSV00: technical enhancement to suppress warnings</t>
  </si>
  <si>
    <t>Check Man Errors - Legal reporting</t>
  </si>
  <si>
    <t>RFIDEUVP: Negative tax posting for GR with mutiple lines</t>
  </si>
  <si>
    <t>RFVESBOOK:Multiple Issues in Selection Screen and ALV Output</t>
  </si>
  <si>
    <t>Bill Of Exchange(Turkey): Function Module ENQUE_READ</t>
  </si>
  <si>
    <t>RFASLD11B:Credit Memo not detected properly</t>
  </si>
  <si>
    <t>RFIDITSR12 : Balances in the XML output  are wrong.</t>
  </si>
  <si>
    <t>RFIDITSR12: Missing sort key.</t>
  </si>
  <si>
    <t>RFUMSV00: Invoice Without VAT field is zero for Input Tax.</t>
  </si>
  <si>
    <t>RPFILUCBR: Spool request is not generated in background.</t>
  </si>
  <si>
    <t>RFASLD15:Sign Correction and Program Error</t>
  </si>
  <si>
    <t>RPFIEU_SAFT : SAF-T Framework Corrections (1_F)</t>
  </si>
  <si>
    <t>Self-Invoice Italy: Issue in case of Plants abroad active</t>
  </si>
  <si>
    <t>LU_EULIST_XML : Correction of DMEE structure</t>
  </si>
  <si>
    <t>RPFIEU_SAFT : SAF-T Framework Corrections (2_F)</t>
  </si>
  <si>
    <t>RFUMSV50:Legal Change Spain (non-deductible+period)</t>
  </si>
  <si>
    <t>RPFIEU_SAFT : SAF-T Framework Corrections (3_F)</t>
  </si>
  <si>
    <t>RPFIEU_SAFT : SAF-T Framework Corrections (4_F)</t>
  </si>
  <si>
    <t>Issue incase of Plants abroad not active and Unique file nam</t>
  </si>
  <si>
    <t>RFAWVZ40N/F: Authorization check and default values</t>
  </si>
  <si>
    <t>FAGL_MM_RECON: COGM - material stocks of another ledger</t>
  </si>
  <si>
    <t>RFSUMB00: The 3rd LC balance is a copy of 1st LC balance</t>
  </si>
  <si>
    <t>RFHABU00N: Documents from non-leading ledgers ignored</t>
  </si>
  <si>
    <t>RFAWVZ5A and RFAWVZ5AP: CSV interface for data upload in AMS</t>
  </si>
  <si>
    <t>FAGL_FC_VALUATION: Redesign of log storage</t>
  </si>
  <si>
    <t>FAGL_YEC_POSTINGS_EHP4 ignores amounts that cause</t>
  </si>
  <si>
    <t>RFAWVZ40N: Reporting month for down payments in the special</t>
  </si>
  <si>
    <t>RFAWVZ40F: Additional functions</t>
  </si>
  <si>
    <t>FAGL_MM_RECON: COGM materials with price control 2</t>
  </si>
  <si>
    <t>SAPFGVTR: No termination in background processing despite cr</t>
  </si>
  <si>
    <t>FAGL_FCV balance valuation: Incorrect account assignments</t>
  </si>
  <si>
    <t>RFAWVZ5P: Target directory with spaces</t>
  </si>
  <si>
    <t>FAGL_TR_01  - error F5353</t>
  </si>
  <si>
    <t>RFAWVZ5P: Naming convention for generated Z5a report files</t>
  </si>
  <si>
    <t>ALLOCATION: period is incorrect in the T811D table</t>
  </si>
  <si>
    <t>FAGLF101/F101 (programs FAGL_CL_REGROUP and SAPF101), field</t>
  </si>
  <si>
    <t>Rollup: Error when using fiscal year variants not defined li</t>
  </si>
  <si>
    <t>RFBIBL00: Taxes with different jurisdiction codes not transf</t>
  </si>
  <si>
    <t>RFBIBL00: Incorrect information message when parking documen</t>
  </si>
  <si>
    <t>Completion of clearing function via accounting interface (1)</t>
  </si>
  <si>
    <t>F5 113 in transfer posting with transaction KSU5</t>
  </si>
  <si>
    <t>CONVT_NO_NUMBER when posting using direct input</t>
  </si>
  <si>
    <t>Error F5 702 when posting with alternative tax rate</t>
  </si>
  <si>
    <t>FIDCMT: F1114 termination for posting of parked documents</t>
  </si>
  <si>
    <t>FI-ALE: Transfer of SEPA mandate references (BSEG-MNDID)</t>
  </si>
  <si>
    <t>ALE FIDCC1/2: Reversal of a cross-company code down payment</t>
  </si>
  <si>
    <t>FS00: Tax category (SKB1-MWSKZ) can be changed even though "</t>
  </si>
  <si>
    <t>FS15: G/L account not distributed to all company codes</t>
  </si>
  <si>
    <t>Missing headings in list view</t>
  </si>
  <si>
    <t>Financial report structure: Unjustified warning FBS_SE134</t>
  </si>
  <si>
    <t>Inbound processing: PPO orders not job-capable</t>
  </si>
  <si>
    <t>CO posting is completed despite an error.</t>
  </si>
  <si>
    <t>FBV0/CALL TRANSACTION: Message F5 312 is not passed</t>
  </si>
  <si>
    <t>FBV0: Posting prevented by message FP 148</t>
  </si>
  <si>
    <t>FAGLF03 - Incorrect messages in vendor / customer balances</t>
  </si>
  <si>
    <t>FAGL_PROT: Corrections</t>
  </si>
  <si>
    <t>HDBC: Report Writer: Replication Options Status</t>
  </si>
  <si>
    <t>Attachment List of Original Document via RFC</t>
  </si>
  <si>
    <t>RFBILA00: Extract to consolidation: Aggregation</t>
  </si>
  <si>
    <t>RFBILA00: Classical list: Alternative account text</t>
  </si>
  <si>
    <t>LIB: Corrections &amp; Fields from other tables (FBL5H)</t>
  </si>
  <si>
    <t>Electronic financial statement (EFS): Taxonomy version 5.2 s</t>
  </si>
  <si>
    <t>Line Item Browsers: Calls from Report-Report-Interface</t>
  </si>
  <si>
    <t>RFBILA00N: Authority Check on Selection Screen</t>
  </si>
  <si>
    <t>Financial Statements: Alternative Period Selection</t>
  </si>
  <si>
    <t>FBL3N: Report interface: Posting date</t>
  </si>
  <si>
    <t>Financial Statements: Sort order of ALV output</t>
  </si>
  <si>
    <t>Improvement to view generation for SAP HANA database (HDB) v</t>
  </si>
  <si>
    <t>Electronic financial statement (EFS): Summation function in</t>
  </si>
  <si>
    <t>Electronic financial statement (EFS): account assignment to</t>
  </si>
  <si>
    <t>Ledger specified is not compatible with the report</t>
  </si>
  <si>
    <t>RFBELJ10_NACC: Reading from archive</t>
  </si>
  <si>
    <t>Fields X_CLEARED_ITEM and other fields in HDB views</t>
  </si>
  <si>
    <t>Electronic financial statement (EFS): Irrelevant accounts in</t>
  </si>
  <si>
    <t>Electronic financial statement (EFS): Possible to delete tax</t>
  </si>
  <si>
    <t>Electronic financial statement (EFS) GCD: Support for taxono</t>
  </si>
  <si>
    <t>Line item browser/VIP: No plus/minus sign in the net payment</t>
  </si>
  <si>
    <t>Partner profit center not automatically transferred in balan</t>
  </si>
  <si>
    <t>Changing a purchase order after profit center reorganization</t>
  </si>
  <si>
    <t>Timout for CO accrual/deferral posting</t>
  </si>
  <si>
    <t>PRCTR: WIP posting for parallel cost of goods manufactured</t>
  </si>
  <si>
    <t>PRCTR/SEG: FAGL_REORGANIZATION 535 during reassignment of AP</t>
  </si>
  <si>
    <t>PRCTR: Check of transfer of billing documents (IV)</t>
  </si>
  <si>
    <t>Additional info for users</t>
  </si>
  <si>
    <t>Accessing unsorted tables for profit center reorganization</t>
  </si>
  <si>
    <t>Some ATC errors</t>
  </si>
  <si>
    <t>Error AAPO190 when you make an account assignment change for</t>
  </si>
  <si>
    <t>Incorect numbers of objects in reorganization plan</t>
  </si>
  <si>
    <t>Additional balancing fields in transfer posting</t>
  </si>
  <si>
    <t>Check on Hierarchy modification</t>
  </si>
  <si>
    <t>Error FAGL_REORGANIZATION 051 during transfer posting</t>
  </si>
  <si>
    <t>PRCTR/SEG: Dump during generation / ASSERTION_FAILED</t>
  </si>
  <si>
    <t>PRCTR/SEG: Dump when generating AP/AR 566 (XV)</t>
  </si>
  <si>
    <t>PRCTR/SEG: Error in reassignment of AP/AR; 566 (XVI)</t>
  </si>
  <si>
    <t>PRCTR/SEG: Clearing document with profit center in entry vie</t>
  </si>
  <si>
    <t>PRCTR/SEG: Dump during the reassignment of receivables and p</t>
  </si>
  <si>
    <t>PRCTR/SEG: FAGL_REORGANIZATION 533 during reassignment of AP</t>
  </si>
  <si>
    <t>PRCTR/SEG: Dump when generating AP/AR 566 (XVIII)</t>
  </si>
  <si>
    <t>PRCTR/SEG: Dump when generating AP/AR 566 (XIX)</t>
  </si>
  <si>
    <t>PRCTR/SEG: RAISE_EXCEPTION 'NO_DOCUMENT_REQUIRED' in generat</t>
  </si>
  <si>
    <t>PRCTR/SEG: Exclusion of cleared documents during display</t>
  </si>
  <si>
    <t>PRCTR/SEG: Dump during reassignment - TSV_TNEW_PAGE_ALLOC_FA</t>
  </si>
  <si>
    <t>FI-RA</t>
  </si>
  <si>
    <t>Revenue Accounting</t>
  </si>
  <si>
    <t>SD core changes for integration with FI Revenue Accounting</t>
  </si>
  <si>
    <t>LIS: Incorrect display of section name in Excel</t>
  </si>
  <si>
    <t>Additional ZDM adjustments for RW objects</t>
  </si>
  <si>
    <t>Report Painter: dump choosing section layout</t>
  </si>
  <si>
    <t>Negative posting: Incomplete check during cross-company code</t>
  </si>
  <si>
    <t>Allocations: Flag "Cumulated Opt" shown by mistake in PCA, F</t>
  </si>
  <si>
    <t>Error message BL001 when generating hierarchy views</t>
  </si>
  <si>
    <t>EDX: Table EDX_CONFIG_IN doesn't support many service provid</t>
  </si>
  <si>
    <t>EDX: Transaction EDX_BALANCING Runtime error (ABAP Dump)</t>
  </si>
  <si>
    <t>EDX: Set the outbound transformation dynamically</t>
  </si>
  <si>
    <t>EDX: Duplicate Check and recycled Vendor Invoice Numbers</t>
  </si>
  <si>
    <t>Help with problem analysis in transaction BNK_APP</t>
  </si>
  <si>
    <t>BNK_MONI: Check for active linkage BUSISB001/tasks</t>
  </si>
  <si>
    <t>Check printing with BCM: Termination with FIBL 690</t>
  </si>
  <si>
    <t>FTE_BSM: Difference status incorrect in event of different c</t>
  </si>
  <si>
    <t>CPON:  Error 103 (bnk_com_core) with status Pending</t>
  </si>
  <si>
    <t>BCM: Incorrect display on selection screen of preprocessing</t>
  </si>
  <si>
    <t>ILM connection for BCM</t>
  </si>
  <si>
    <t>BNK_MONI: Message "...file not yet created" is incorrect</t>
  </si>
  <si>
    <t>CPON: Cannot find batch from BCM connector</t>
  </si>
  <si>
    <t>Code-Injection-Schwachstelle in FIN-FSCM-CM</t>
  </si>
  <si>
    <t>FF7B: Incorrect drilldown in earmarked funds</t>
  </si>
  <si>
    <t>FLQAF(_OPT): HANA content migration to AMDP</t>
  </si>
  <si>
    <t>Fix checkman error</t>
  </si>
  <si>
    <t>Function module for creating promises to pay</t>
  </si>
  <si>
    <t>Cash discount deadline is not taken into account correctly</t>
  </si>
  <si>
    <t>Installment plan for promise to pay: Installment plan catego</t>
  </si>
  <si>
    <t>Performance UKM_TRANSFER_VECTOR : Long runtime due to delete</t>
  </si>
  <si>
    <t>ISP on HANA: Vector: Allow mass read of data</t>
  </si>
  <si>
    <t>Checkman</t>
  </si>
  <si>
    <t>Dump NO_ENTRY_FOUND in SAPLFDM_CASE_LOC</t>
  </si>
  <si>
    <t>Runtime error: OBJECTS_WA_NOT_COMPATIBLE</t>
  </si>
  <si>
    <t>Automatic document changes in certain situations 2</t>
  </si>
  <si>
    <t>RFDM3000 Create dispute case for debit items with special G/</t>
  </si>
  <si>
    <t>FDM_AR_READ_SYNC_SOURCE_TARGET selects with blank FOR ALL EN</t>
  </si>
  <si>
    <t>Liquidity Planner Extensibility Local Reporting</t>
  </si>
  <si>
    <t>Liquidity Planner: Incorrect updates after importing the enh</t>
  </si>
  <si>
    <t>Error when updating a parked document item in database which</t>
  </si>
  <si>
    <t>DDIC Objects for Note 1960748</t>
  </si>
  <si>
    <t>Dump DEL_ERROR_IT in RFLQ_DELEP_FIFC</t>
  </si>
  <si>
    <t>FIN-SEM</t>
  </si>
  <si>
    <t>Strategic Enterprise Management</t>
  </si>
  <si>
    <t>FIN-SEM-BCS</t>
  </si>
  <si>
    <t>Business Consolidat.</t>
  </si>
  <si>
    <t>Checkman/security issues</t>
  </si>
  <si>
    <t>Cost order, WBS element or real estate key disappears from d</t>
  </si>
  <si>
    <t>CJ11/CJ12/CJ13: Dump RAISE_EXCEPTION, exception PSP_HIERARCH</t>
  </si>
  <si>
    <t>Posting of null values in primary cost planning of depreciat</t>
  </si>
  <si>
    <t>Incorrect transfer of ID or description to ECP cost estimate</t>
  </si>
  <si>
    <t>IMAM: Descriptions only partly updated or not updated at all</t>
  </si>
  <si>
    <t>IM34/IM44: System ignores or resets entries made in the "Sel</t>
  </si>
  <si>
    <t>IM52:Measure displayed with wrong text</t>
  </si>
  <si>
    <t>Technical Adjustments</t>
  </si>
  <si>
    <t>MRF3: Taking Into Account MSEG Enhancement when Selecting Do</t>
  </si>
  <si>
    <t>MRF3: Incorrect receipt value in case of cancellation and su</t>
  </si>
  <si>
    <t>MRN2: Prices truncated in display</t>
  </si>
  <si>
    <t>MRN1/MRN2: Not all plants are considered</t>
  </si>
  <si>
    <t>No FM-Checks performed when Commitment Creation is in simula</t>
  </si>
  <si>
    <t>Customer-specific fields in the table KBLK are not filled</t>
  </si>
  <si>
    <t>Error FMEF031 when running commitment creation</t>
  </si>
  <si>
    <t>PP</t>
  </si>
  <si>
    <t>Production Planning and Control</t>
  </si>
  <si>
    <t>PP-SFC</t>
  </si>
  <si>
    <t>Production Orders</t>
  </si>
  <si>
    <t>Data Aging für Fertigungsaufträge</t>
  </si>
  <si>
    <t>KBPP_EXTERN_UPDATE_CO: Unjustified warnings/errors from cons</t>
  </si>
  <si>
    <t>CJCO increases releases in the sender fiscal year. This is i</t>
  </si>
  <si>
    <t>PS-COS-PER</t>
  </si>
  <si>
    <t>Aut.and Per. Alloc.</t>
  </si>
  <si>
    <t>Modification-free Activation of Solution from SAP Note 39761</t>
  </si>
  <si>
    <t>CJ40: Incorrect planned value/distributed value after planni</t>
  </si>
  <si>
    <t>CJ42/CJ43: Incorrect "distributed" values after detailed pla</t>
  </si>
  <si>
    <t>PS-IS</t>
  </si>
  <si>
    <t>PS-IS-LDB</t>
  </si>
  <si>
    <t>Logical database</t>
  </si>
  <si>
    <t>Transaction GR55 or CJI3: Very large amount of page memory n</t>
  </si>
  <si>
    <t>PS-ST</t>
  </si>
  <si>
    <t>Structures</t>
  </si>
  <si>
    <t>Enhancement point in program CO_ITEM_WRI at 'AT SELECTION-SC</t>
  </si>
  <si>
    <t>Wrong FM reductions when a OIM Zero-Balance document is crea</t>
  </si>
  <si>
    <t>GTAS2: Earmarked Fund Interface 1</t>
  </si>
  <si>
    <t>GTAS2: Earmarked Fund Interface 2</t>
  </si>
  <si>
    <t>GTAS 2 : Adding FMFG US Key FI Code Changes - Generic Code</t>
  </si>
  <si>
    <t>GTAS 2: Changes to add USFG fields to Discounts and Penalty</t>
  </si>
  <si>
    <t>GTAS 2 : Adding FMFG US Key FI Code Changes - COBL</t>
  </si>
  <si>
    <t>GTAS 2: Downpayment Request is Not Passing FMFGUS Key</t>
  </si>
  <si>
    <t>GTAS 2: Missing field USKEYICON for structure KBLD</t>
  </si>
  <si>
    <t>GTAS 2: Wrong field name for reconstruction reports</t>
  </si>
  <si>
    <t>GTAS 2: Double click title is displaying an empty screen</t>
  </si>
  <si>
    <t>PSM-FM-AR</t>
  </si>
  <si>
    <t>Archiving programs for earmarked funds - correct according t</t>
  </si>
  <si>
    <t>Availability Control: Runtime Error During Warning with Mail</t>
  </si>
  <si>
    <t>Document Journal: Business Area and Trading Partner are miss</t>
  </si>
  <si>
    <t>RFFMCE11: Incorrect fixed values for field "No available bud</t>
  </si>
  <si>
    <t>Commitment item extension - RFC</t>
  </si>
  <si>
    <t>F4 help for commitment item: Runtime error for personal valu</t>
  </si>
  <si>
    <t>No automatic down payment clearing for purchase order accoun</t>
  </si>
  <si>
    <t>DPC line is ignored for SAA lines when PO has MAA and SAA</t>
  </si>
  <si>
    <t>FMRE_SERLK: continue after error messages</t>
  </si>
  <si>
    <t>Wait function with exclusive lock, part 2</t>
  </si>
  <si>
    <t>FMRB_F4EXIT_FMRESERV_FIELDINFO Update</t>
  </si>
  <si>
    <t>Account Assignment Change via Enterprise Service Although Ac</t>
  </si>
  <si>
    <t>FI document number in the usage overview</t>
  </si>
  <si>
    <t>CREATE_DATA_ILLEGAL_LENGTH when douple-clicking on Text</t>
  </si>
  <si>
    <t>FMRE_SERLK, FMRE_KERLK: No Statistical Consumption</t>
  </si>
  <si>
    <t>Dump with Error FI057 When Creating Earmarked Funds from Com</t>
  </si>
  <si>
    <t>Usage overview jump to the FI document (RBELNR)</t>
  </si>
  <si>
    <t>RFFMRE10: Business Area</t>
  </si>
  <si>
    <t>Runtime Error UNCAUGHT_EXCEPTION in Method CHECK_ACCOUNTING_</t>
  </si>
  <si>
    <t>PSM-FM-PO-RE</t>
  </si>
  <si>
    <t>Requests</t>
  </si>
  <si>
    <t>FF747: Transfer and Clearing Requests with Tax</t>
  </si>
  <si>
    <t>PEO: Clearing request, deactivate tax calculating</t>
  </si>
  <si>
    <t>FM to Order online assignment check if PSM is active</t>
  </si>
  <si>
    <t>FM Account Assignments are not always re-determined when mai</t>
  </si>
  <si>
    <t>Updating Paid Invoices with and Without Tax Portion</t>
  </si>
  <si>
    <t>FMX* fields updated even if FM updating is off</t>
  </si>
  <si>
    <t>Source code optimalization</t>
  </si>
  <si>
    <t>PSM-FM-UP-FI-PA</t>
  </si>
  <si>
    <t>Payment Accrual</t>
  </si>
  <si>
    <t>Limiting the message FICUSTOM 108 to Payment Online Update</t>
  </si>
  <si>
    <t>RE-FX-RA</t>
  </si>
  <si>
    <t>ELBS: Search string cannot be used with algorithm 050/051</t>
  </si>
  <si>
    <t>Technical correction for HANA: SORT for pool tables</t>
  </si>
  <si>
    <t>ELBS: Document number of return document not recognized</t>
  </si>
  <si>
    <t>Time-dependent cost center text</t>
  </si>
  <si>
    <t>Condition deleted with active contract</t>
  </si>
  <si>
    <t>RE-RT-SR</t>
  </si>
  <si>
    <t>Sales-Based Settl.</t>
  </si>
  <si>
    <t>Sales report for contract start and end in settlement period</t>
  </si>
  <si>
    <t>RFWTCT10: Argentina certificate changes</t>
  </si>
  <si>
    <t>XX-CSC-BR-FIAA</t>
  </si>
  <si>
    <t>Missing authorization checks in XX-CSC-BR-FIAA</t>
  </si>
  <si>
    <t>Missing authorization check in XX-CSC-CL-FI</t>
  </si>
  <si>
    <t>EPIC: Bank statement selection is not correct in BRS due to</t>
  </si>
  <si>
    <t>Cross Year Send File issue and Payment file disappear for pa</t>
  </si>
  <si>
    <t>F110 payment run performance issues due to additional check</t>
  </si>
  <si>
    <t>ROT: PDF issue of bank statement</t>
  </si>
  <si>
    <t>CCB error while querying payment status in cross-cocd case</t>
  </si>
  <si>
    <t>CN: Fix bug for clearing documents in ODN adjustment program</t>
  </si>
  <si>
    <t>CN:ODN is blank when executing Tcode:AIBU</t>
  </si>
  <si>
    <t>CN: Fix bug for incorrect quantity in GR/IR report(GNB)</t>
  </si>
  <si>
    <t>CN:Fix number range determine error for ODN adjustment progr</t>
  </si>
  <si>
    <t>IDCNAP amount don't display plus or minus sign when negative</t>
  </si>
  <si>
    <t>CN:bug fix of generated ODN for reversal document of payment</t>
  </si>
  <si>
    <t>CN:Enable special periods in Account balance report</t>
  </si>
  <si>
    <t>CN: Fix document selection bug  in ODN adjustment program</t>
  </si>
  <si>
    <t>Period is wrong and the amount of function area is zore in F</t>
  </si>
  <si>
    <t>Currency decimal is uncorrected in IDCNAP</t>
  </si>
  <si>
    <t>CN: Accumulated Balance's direction issue for Account Balanc</t>
  </si>
  <si>
    <t>CN:Fix issue for print variant selection in financial statem</t>
  </si>
  <si>
    <t>XX-CSC-CZ-FI</t>
  </si>
  <si>
    <t>Legal change: CZ eVAT return</t>
  </si>
  <si>
    <t>Documentation for CZ eVAT return</t>
  </si>
  <si>
    <t>Rep.Frwk. - Selection Screen Change for Enable Transaction R</t>
  </si>
  <si>
    <t>Rep.Frwk. - New Event 1025 - Modify ALV Exception Quickinfo</t>
  </si>
  <si>
    <t>RFIDESM340:VAT Registration number missing for non-EU Busine</t>
  </si>
  <si>
    <t>Master Data Enhancement for Spain</t>
  </si>
  <si>
    <t>Master Data Enhancement for Spain : Issue with saving of det</t>
  </si>
  <si>
    <t>RFIDESM340/RFUMSV00:Legal Change:14/2013-DDIC Note(Vat On Ca</t>
  </si>
  <si>
    <t>RFIDESM340/RFUMSV00:Legal Change:14/2013-VAT On Cash Scheme</t>
  </si>
  <si>
    <t>RFIDESM340:Vat On Cash(Correction Note)</t>
  </si>
  <si>
    <t>Master Data Enhancement for Spain - Memory ID Issue and Blan</t>
  </si>
  <si>
    <t>RFIDESM340/RFUMSV00:Vat On Cash(Corrections-1)</t>
  </si>
  <si>
    <t>RFIDESM340/RFUMSV00:Vat On Cash(Corrections-2)</t>
  </si>
  <si>
    <t>LU: SAF-T Asset (Master and Transaction) XML file Creation</t>
  </si>
  <si>
    <t>RFIDHU_DSP : Domestic Sales and Purchase, Hungary</t>
  </si>
  <si>
    <t>HU - EU Sales and Purchase List file format for 2014 (14A60)</t>
  </si>
  <si>
    <t>Checkman errors in package ID-FI-HU</t>
  </si>
  <si>
    <t>Rep.Frwk. - Change in Package Interface ID-REP_FRWK</t>
  </si>
  <si>
    <t>XX-CSC-ID</t>
  </si>
  <si>
    <t>Indonesia</t>
  </si>
  <si>
    <t>ODN ID : ODN for documents posted through BAPI</t>
  </si>
  <si>
    <t>Indonesia : Display Decree number in tax invoice</t>
  </si>
  <si>
    <t>DPC with MIRO:With_item table updated with wrong j_1ibuzie</t>
  </si>
  <si>
    <t>PAN check happening for incorrect documents</t>
  </si>
  <si>
    <t>J1INCCERT: Billing cancelled invoice is reported</t>
  </si>
  <si>
    <t>FIWTIN_QRETURNS: Incorrect Tax rate</t>
  </si>
  <si>
    <t>Amount Based TAN level Exemption for India</t>
  </si>
  <si>
    <t>FI documents are created when an error occurs while posting</t>
  </si>
  <si>
    <t>J_1I_CHALLAN_UPDATE: Security check corrections.</t>
  </si>
  <si>
    <t>F-54: Second and third local currency is getting updated wit</t>
  </si>
  <si>
    <t>J1INPR: Third local currency is not updated</t>
  </si>
  <si>
    <t>DPC with MIRO: Error while doing MR8M for MIRO document.</t>
  </si>
  <si>
    <t>F-54: Tax amount is calculated incorrectly</t>
  </si>
  <si>
    <t>Amount based TAN level exemption for customer postings</t>
  </si>
  <si>
    <t>MR8M: Wrong posting keys updated while doing MR8M</t>
  </si>
  <si>
    <t>F110: Amount based TAN accumulation is not considered</t>
  </si>
  <si>
    <t>TAN BASED EXEMPTION : Credit Memo Scenario</t>
  </si>
  <si>
    <t>DPC with MIRO: DPC document is posted with wrong tax amount</t>
  </si>
  <si>
    <t>F-54 : Downpayment clearing is reversing wrong TDS amount</t>
  </si>
  <si>
    <t>J1INUT : Utilization is not working for invoices where downp</t>
  </si>
  <si>
    <t>Wrong fiscal year for FI document documents in output</t>
  </si>
  <si>
    <t>RPFIAAIN_PO_TRACK: Save variant for ALV Grid Display</t>
  </si>
  <si>
    <t>Enabling control for line item wise tax calculation- India</t>
  </si>
  <si>
    <t>SELECTSORT potential sort issue J1AI</t>
  </si>
  <si>
    <t>RFIDITVCL : Legal Change 2013  Additional Correction-2</t>
  </si>
  <si>
    <t>RFIDITBLIST : Italy Black List Declaration (Legal Change)</t>
  </si>
  <si>
    <t>RFIDITVCL : Legal Change 2013  Additional Correction-3</t>
  </si>
  <si>
    <t>RFIDITVCL : Legal Change 2013  Additional Correction-4</t>
  </si>
  <si>
    <t>RFIDITVCL : Legal Change 2013 Additional Correction-5</t>
  </si>
  <si>
    <t>RFIDITBLIST : Italy Black List Declaration Additional Correc</t>
  </si>
  <si>
    <t>Documentation for RFIDITBLIST : Italy Black List Declaration</t>
  </si>
  <si>
    <t>Legal Change 2014/2015 on VAT Rate: Post Tax Adjustment</t>
  </si>
  <si>
    <t>Posting of Bill of Exchange or Partial Payment not possible</t>
  </si>
  <si>
    <t>Performance load on BTE 900 (Invoice Summary Japan)</t>
  </si>
  <si>
    <t>Posting of credit memo with multiple taxes shows wrong resul</t>
  </si>
  <si>
    <t>Call of a security relevant function without processing of s</t>
  </si>
  <si>
    <t>KR: Sibuin report - PDF output shows one row per page</t>
  </si>
  <si>
    <t>XX-CSC-LU</t>
  </si>
  <si>
    <t>Luxembourg</t>
  </si>
  <si>
    <t>LU: SAF-T Report Changes</t>
  </si>
  <si>
    <t>LU: SAF-T DDIC Changes</t>
  </si>
  <si>
    <t>LU: SAF-T Report Changes (2_F)</t>
  </si>
  <si>
    <t>XX-CSC-NL-FI</t>
  </si>
  <si>
    <t>XBRL File Transfer : Netherlands</t>
  </si>
  <si>
    <t>XBRL File Transfer (Netherlands) : Corrections to FOTV</t>
  </si>
  <si>
    <t>Validating tax reporting Date based on document date</t>
  </si>
  <si>
    <t>RFIDPL10: GL Account is displayed everytime before a new ven</t>
  </si>
  <si>
    <t>Poland Legal Change : Update Tax Reporting Date for incoming</t>
  </si>
  <si>
    <t>Poland Legal Change : Update Tax Reporting Date (Sale of goo</t>
  </si>
  <si>
    <t>RFASLD15:Corrections For Multiple Issues</t>
  </si>
  <si>
    <t>RFASLD15: Rounding issue in Poland EC-Sales XML</t>
  </si>
  <si>
    <t>RFASLD15(PL/CZ) : Multiple issues related to XML file genera</t>
  </si>
  <si>
    <t>EUVAT : Correction to Note 1505429</t>
  </si>
  <si>
    <t>RFIDPTFO: Incorrect totals in Regularizations of VAT</t>
  </si>
  <si>
    <t>SAFT-PT: Corrections RSAFT_PT_XML for 2010 (70)</t>
  </si>
  <si>
    <t>RFUVPT00:Correction for Field 40 Field 41</t>
  </si>
  <si>
    <t>SAF-T : Self Billing Corrections (10)</t>
  </si>
  <si>
    <t>Cash on VAT Payment Receipts - Smartforms</t>
  </si>
  <si>
    <t>Cash on VAT Payment Receipts - Portaria 71/2013 (617 only)</t>
  </si>
  <si>
    <t>Prerequisite for SAF-T Payments section 4.4 (617 only)</t>
  </si>
  <si>
    <t>SAF-T PT : Table 4.4 for RSAFT_PT_XML (617 only)</t>
  </si>
  <si>
    <t>SAFT-PT: Corrections RSAFT_PT_XML for 2010   (71)</t>
  </si>
  <si>
    <t>Documentation for RFUVPT00 legal change</t>
  </si>
  <si>
    <t>Issue in Integrating RFUVPT00 file output with RFIDPTFO file</t>
  </si>
  <si>
    <t>Law 274/2013 for FI-CA Integration in SAF-T (PT)</t>
  </si>
  <si>
    <t>RFUVPT00: Issue in Total field 40 of Anexo-40 in record type</t>
  </si>
  <si>
    <t>Law 274/2013 for FI-CA Integration in SAF-T (PT) Further Cor</t>
  </si>
  <si>
    <t>SAFT-PT: Corrections RSAFT_PT_XML for 2010 (72)</t>
  </si>
  <si>
    <t>RFUVPT00 :Multiple issues.</t>
  </si>
  <si>
    <t>SAFT-PT: Corrections RSAFT_PT_XML for 2010 (73)</t>
  </si>
  <si>
    <t>RFUVPT00: Summarization based on VAT ID and AT Code is not w</t>
  </si>
  <si>
    <t>RFUVPT00: Empty header/trailer record types for Anexo-40 and</t>
  </si>
  <si>
    <t>PT: Mapas Fiscais - Multiple Mapa PDF layout Correction</t>
  </si>
  <si>
    <t>Mapas(New) - Deletion of blank lines form XML;  user exit ex</t>
  </si>
  <si>
    <t>Mapas Fiscais(new)- Data Dictionary objects for the redesign</t>
  </si>
  <si>
    <t>Mapas(new)- Changes for map 32 column 7, column 10, column 1</t>
  </si>
  <si>
    <t>MAPAS(NEW) - Addition of column 6 &amp; column 9 in excel for fu</t>
  </si>
  <si>
    <t>XX-CSC-PT-LO</t>
  </si>
  <si>
    <t>PT-MM:No support for different Number Groups in Self Billing</t>
  </si>
  <si>
    <t>Form M-2. Error message while printing the form</t>
  </si>
  <si>
    <t>Account offsetting for New GL saving correction</t>
  </si>
  <si>
    <t>Transfer Pricing. 2nd phase</t>
  </si>
  <si>
    <t>Performance optimization of RFHABU10</t>
  </si>
  <si>
    <t>J_3RTAX21_09 - XML for Customs union is not generated</t>
  </si>
  <si>
    <t>Wrong calculation in report J_3R_PTAX_CALC (property tax)</t>
  </si>
  <si>
    <t>INV-17 has incorrect amounts</t>
  </si>
  <si>
    <t>Programs J3RFPDE and J3RFPCR fail in dump</t>
  </si>
  <si>
    <t>Transfer Pricing. Shifted Fiscal Year</t>
  </si>
  <si>
    <t>OS and INV-forms: Error  J3R_LEGAL_FORMS056  in ALV-preview</t>
  </si>
  <si>
    <t>Revision of Invoices from billing documents: output, registr</t>
  </si>
  <si>
    <t>J3RFVATSD - Translation date not updated</t>
  </si>
  <si>
    <t>CCD assignments to reversal material documents</t>
  </si>
  <si>
    <t>J_3RF_DEPRBONUS: December's acquisitions are not processed i</t>
  </si>
  <si>
    <t>J_3RF_FIND_PAYMENTS class correction</t>
  </si>
  <si>
    <t>Technical note</t>
  </si>
  <si>
    <t>OKTMO for Russian transport tax, property tax and j3ralffata</t>
  </si>
  <si>
    <t>Invoice and Correction Invoice form: Seller name, name of go</t>
  </si>
  <si>
    <t>Transfer Pricing 2nd Phase</t>
  </si>
  <si>
    <t>XML for Purchase/Sales Ledger</t>
  </si>
  <si>
    <t>Property and Transport Tax Update</t>
  </si>
  <si>
    <t>J3RTAXREP - Wrong order of nodes</t>
  </si>
  <si>
    <t>Cash Flow. Dump due to using non-char additional parameters</t>
  </si>
  <si>
    <t>J_3RF_CLEARING: cleared invoices are not found</t>
  </si>
  <si>
    <t>J_3RFTAX_AMTEST  shows incorrect posted depreciation if repo</t>
  </si>
  <si>
    <t>J_3rfum26:Wrong amount in local currency for currencies with</t>
  </si>
  <si>
    <t>J3RTAXREP - Incorrect handling of checkboxes in formulas</t>
  </si>
  <si>
    <t>Sales/Purchase Ledger: incorrect amounts for downpayments</t>
  </si>
  <si>
    <t>OKATO-OKTMO-migration tool</t>
  </si>
  <si>
    <t>Incorrect CCD quantity calculated for a credit memo (RU)</t>
  </si>
  <si>
    <t>OKTMO Search Help for 'Additional information for Russian pa</t>
  </si>
  <si>
    <t>Electronic VAT invoices: optional attributes for &amp;lt; InfPol &amp;gt;</t>
  </si>
  <si>
    <t>VAT Declaration Russia: version changes in XML forms</t>
  </si>
  <si>
    <t>J_1UNCREATE: incorrect amount in foreign currency</t>
  </si>
  <si>
    <t>Offsetting Account is empty in ALV Document List</t>
  </si>
  <si>
    <t>VAT invoice deletion</t>
  </si>
  <si>
    <t>J_3RF_RATE_CALC: translation date for MIRO, overflow</t>
  </si>
  <si>
    <t>Amounts in local currency are wrong for currencies w/o decim</t>
  </si>
  <si>
    <t>OKATO-OKTMO-migration tool: Dictionary objects,  Report's te</t>
  </si>
  <si>
    <t>J_3RF_TAX_REPORT company code authority check</t>
  </si>
  <si>
    <t>Shifted fiscal year in separate VAT</t>
  </si>
  <si>
    <t>J_3RF_VAT_ANALYSIS: Selecting invoice from BKPF-BKTXT instea</t>
  </si>
  <si>
    <t>J3RFKSLD Incorrect company name in header</t>
  </si>
  <si>
    <t>J3RALFTTAXDECL. The tax amount in declaration is less than t</t>
  </si>
  <si>
    <t>Incorrect F1-help then pressing F1 for OKTMO field</t>
  </si>
  <si>
    <t>Invoice Registration Journal: ALV-layout enhancement</t>
  </si>
  <si>
    <t>RFHABU10 correction of account format in debet and credit se</t>
  </si>
  <si>
    <t>Corrective invoice: name of goods, Tax Agent</t>
  </si>
  <si>
    <t>Package J3RPDFFIN: Technical corrections</t>
  </si>
  <si>
    <t>FIN_LOC_CI_40 Protect the core Russia 2013</t>
  </si>
  <si>
    <t>Cash Flow: non-leading ledger, shifted fiscal year</t>
  </si>
  <si>
    <t>Invoice Journal (RU): incorrect selection of outgoing invoic</t>
  </si>
  <si>
    <t>LC RU OKATO-OKTMO. Use of OKTMO codes instead of OKATO in re</t>
  </si>
  <si>
    <t>J_3rfum26: Wrong event number in linked invoices or wrong nu</t>
  </si>
  <si>
    <t>Advance Report AO-1: documents of travel expenses are not di</t>
  </si>
  <si>
    <t>OKATO-&amp;gt;OKTMO Migration: New table with OKATO-OKTMO Assignmen</t>
  </si>
  <si>
    <t>J_3RF_OKATO_OKTMO_MIGRATION, New table with OKATO-OKTMO-assi</t>
  </si>
  <si>
    <t>LC RU OKATO-OKTMO New form and XML file for russian transpor</t>
  </si>
  <si>
    <t>J_3RF_VAT_ANALYSIS: Selection by tax code does not work</t>
  </si>
  <si>
    <t>RFUMSV50: Batch input due to active "MORE". Negative posting</t>
  </si>
  <si>
    <t>Property Tax Calculation errors</t>
  </si>
  <si>
    <t>Sales/Purchase Ledger: Signature in the footer</t>
  </si>
  <si>
    <t>Invoice Registration Journal: sequential numeration of entri</t>
  </si>
  <si>
    <t>BF - FIN_LOC_CI_41 (TORG-12)</t>
  </si>
  <si>
    <t>Property Tax: New declaration 2013</t>
  </si>
  <si>
    <t>Electronic VAT Invoices: multiple EDO operators</t>
  </si>
  <si>
    <t>Technical corrections in table J_3RFDI_ARC</t>
  </si>
  <si>
    <t>TORG-12 documentation</t>
  </si>
  <si>
    <t>TORG-12 form: technical note</t>
  </si>
  <si>
    <t>Technical note: check of Russian switches</t>
  </si>
  <si>
    <t>J3RTAXREP - Descriptions on selection screen aren't shown</t>
  </si>
  <si>
    <t>Non-taxable VAT invoices</t>
  </si>
  <si>
    <t>Balance notification report: documents with several contract</t>
  </si>
  <si>
    <t>J3RTAXREP - Entry is too long for the field</t>
  </si>
  <si>
    <t>Technical corrections in Import Customs Declaration solution</t>
  </si>
  <si>
    <t>Transfer Pricing. Shifted Fiscal Year: dictionary objects, r</t>
  </si>
  <si>
    <t>J_3RCALD(K): credit memos</t>
  </si>
  <si>
    <t>Transfer Pricing 2nd phase: dictionary objects, report's tex</t>
  </si>
  <si>
    <t>J_3RFTAX_FINREZ_LIST: Debit and Credit-indicators in Expense</t>
  </si>
  <si>
    <t>Documents without tax items are not displayed in result set</t>
  </si>
  <si>
    <t>J3RTAXREP - Objects links aren't respected in generation</t>
  </si>
  <si>
    <t>Structural divisions table key correction</t>
  </si>
  <si>
    <t>RFUMSV50: batch input session could not be processed</t>
  </si>
  <si>
    <t>Section 2 of VAT declaration</t>
  </si>
  <si>
    <t>Location address is not taken in OS-forms if plant is empty</t>
  </si>
  <si>
    <t>J3RTAXREP - Unrequired parameters on sel.screen</t>
  </si>
  <si>
    <t>J3RFPDE, J3RFPCR: In spite of the checkbox "Show Open Items</t>
  </si>
  <si>
    <t>J_3RSINVOICE, J_3RFUM26 and J_3RSTRANSFEXPVAT_J3RSSEPVAT cha</t>
  </si>
  <si>
    <t>J_3RF_RATE_CALC: overflow</t>
  </si>
  <si>
    <t>Purchase Ledger: revisions with shifted fiscal period</t>
  </si>
  <si>
    <t>VAT on Commission Trade</t>
  </si>
  <si>
    <t>Wrong quantity in CCD assignment to credit memo cancellation</t>
  </si>
  <si>
    <t>J3RFPDE: Show open items only</t>
  </si>
  <si>
    <t>J_3R_OS_F05:  home_bank_data(j_3rv_deliv_pdf)  wrong number</t>
  </si>
  <si>
    <t>IMG for Deal Passport</t>
  </si>
  <si>
    <t>FM J_3RF_TAX_SELECT_OBJ_CO: shot dump</t>
  </si>
  <si>
    <t>Payment order: Field 22 UIN</t>
  </si>
  <si>
    <t>Transport tax for expensive vehicles</t>
  </si>
  <si>
    <t>5-digit OKOPF for CASH FLOW and balance forms</t>
  </si>
  <si>
    <t>J_3RF_DEPRBONUS does't work in Asset Accounting (New)</t>
  </si>
  <si>
    <t>Vendor Certificates for Kingdom of Saudi Arabia</t>
  </si>
  <si>
    <t>KSA Income Tax Return Statement</t>
  </si>
  <si>
    <t>KSA Income Tax Return Statement Enclosures</t>
  </si>
  <si>
    <t>KSA Income Tax Return Statement - DDIC Objects</t>
  </si>
  <si>
    <t>KSA Support Documents - DDIC Objects</t>
  </si>
  <si>
    <t>KSA Basic customizing Delivery</t>
  </si>
  <si>
    <t>KSA Income Tax Return Statement - internal change in source</t>
  </si>
  <si>
    <t>KSA: Form table change in program RFIDSAU_TD_MAIN</t>
  </si>
  <si>
    <t>Addition of help documentation in KSA Vendor certificates sc</t>
  </si>
  <si>
    <t>KSA – Withholding Tax Vendor certificate (Missing Arabic tra</t>
  </si>
  <si>
    <t>Adjustment Entry Reporting (KSA)</t>
  </si>
  <si>
    <t>Withholding tax form to government (Arabic layout) for KSA</t>
  </si>
  <si>
    <t>KSA New Zakat Report</t>
  </si>
  <si>
    <t>KSA: DDIC Objects for the Note 1992623</t>
  </si>
  <si>
    <t>KSA: Extension of tax declaration enclosures</t>
  </si>
  <si>
    <t>VAT Ledger for Slovakia</t>
  </si>
  <si>
    <t>RPFISKEVAT: Issue with Implementation of the note 1826197</t>
  </si>
  <si>
    <t>Further corrections to the report RPFISK_VATCNTRL</t>
  </si>
  <si>
    <t>Additional corrections to RPFISK_VATCNTRL(1)</t>
  </si>
  <si>
    <t>Additional corrections to RPFISK_VATCNTRL:1.b</t>
  </si>
  <si>
    <t>Additional corrections to RPFISK_VATCNTRL:1.c</t>
  </si>
  <si>
    <t>Additional corrections to RPFISK_VATCNTRL:1.d</t>
  </si>
  <si>
    <t>Additional corrections to RPFISK_VATCNTRL:1.e</t>
  </si>
  <si>
    <t>TH: Legal Change for VAT reporting.</t>
  </si>
  <si>
    <t>TH: Legal Change for the forms of report J_1HKORD.</t>
  </si>
  <si>
    <t>TH: Legal Change for VAT reporting DDIC Note.</t>
  </si>
  <si>
    <t>RFUMSV00(TH): Head office details shows with zeroes instead</t>
  </si>
  <si>
    <t>TH: Enhanced master data tables stores two records for the s</t>
  </si>
  <si>
    <t>Technical corrections to Thailand Branch Details in customer</t>
  </si>
  <si>
    <t>RFIDTRIVAT: Sequence and serial number is missing or display</t>
  </si>
  <si>
    <t>Popup in transaction FTR02  - report rfidtrweko: mess FR60</t>
  </si>
  <si>
    <t>JOURNAL_00003310 : More than one alternative document number</t>
  </si>
  <si>
    <t>Changes in profit tax declaration</t>
  </si>
  <si>
    <t>MIR7: external tax system is updated upon deletion of parked</t>
  </si>
  <si>
    <t>Protokollierung User Exit Calls für externe Steuern</t>
  </si>
  <si>
    <t>XX-PROJ-FI</t>
  </si>
  <si>
    <t>Finance</t>
  </si>
  <si>
    <t>XX-PROJ-FI-CA</t>
  </si>
  <si>
    <t>Contract Accounting</t>
  </si>
  <si>
    <t>Abstimmreport verz. Erlöse bei Währungsumstellung</t>
  </si>
  <si>
    <t>No description of WBS element with expense report</t>
  </si>
  <si>
    <t>Enhancement of BAPI BAPI_ACCSERV_CHECKACCASSIGNMT</t>
  </si>
  <si>
    <t>Gap in document number with BAPI_ACC_DOCUMENT_REV_POST</t>
  </si>
  <si>
    <t>Form of address field missing in BAPI_ACC_DOCUMENT_POST</t>
  </si>
  <si>
    <t>Consistent check of line-by-line tax calculation in a BAPI i</t>
  </si>
  <si>
    <t>Incorrect tax base when you post NVV tax with IDOC type ACLP</t>
  </si>
  <si>
    <t>Incorrect reference in SEPA mandate with posting using BAPI</t>
  </si>
  <si>
    <t>Status in ECS workplace not updated</t>
  </si>
  <si>
    <t>ECS: Customer Field Empty after Corrections in ECS</t>
  </si>
  <si>
    <t>ECS: Incorrect conversion of the exchange rate when posting</t>
  </si>
  <si>
    <t>Improved performance when you use ACP substitution</t>
  </si>
  <si>
    <t>DRB: ASH_AC_RELATIONS_GET: Incorrect handling of IDocs</t>
  </si>
  <si>
    <t>BW-BCT: Extraction of orders: Order category not filled/perf</t>
  </si>
  <si>
    <t>Extraction with 0PM_PRM_PLCS_1: Error message GP626</t>
  </si>
  <si>
    <t>DataSource 0CO_PC_PCP_30: Output quantity calculated incorre</t>
  </si>
  <si>
    <t>0CO_PC_PCP_30: Explosion of recursive structures</t>
  </si>
  <si>
    <t>0FI_AA_20 does not load selected periods</t>
  </si>
  <si>
    <t>0FI_AA_12: Data of certain depreciation runs not loaded duri</t>
  </si>
  <si>
    <t>Error 'No applicable data found' in BI queries on drilldown</t>
  </si>
  <si>
    <t>DataSource 0FI_GL_40 extracts line items multiple times</t>
  </si>
  <si>
    <t>0FI_GL_40 does not extract general ledger view and parked do</t>
  </si>
  <si>
    <t>Delta-Extraction with 0FI_GL_10 dumps with runtime error RAI</t>
  </si>
  <si>
    <t>Datasource extracts no records if package size is too small</t>
  </si>
  <si>
    <t>Euro: Selective conversion in New G/L with document splittin</t>
  </si>
  <si>
    <t>RGFLDOC0C: Long runtime due to plans abroad active</t>
  </si>
  <si>
    <t>Euro: spliting data are not reconcilied for company codes AL</t>
  </si>
  <si>
    <t>DMEE: FI_PAYMEDIUM_DMEE_30 uses structure with incorrect typ</t>
  </si>
  <si>
    <t>FTWN: Authorisation check for ALV display of view files</t>
  </si>
  <si>
    <t>FTWN: Company code authorization is missing for view files.</t>
  </si>
  <si>
    <t>FTWN: Default value for directory set during deletion</t>
  </si>
  <si>
    <t>FTW1A: Texts for financial statement items missing</t>
  </si>
  <si>
    <t>DART 2.7e: Enhancement of the data catalog</t>
  </si>
  <si>
    <t>AS400: Termination DATASET_SEEK_ERROR with archived files</t>
  </si>
  <si>
    <t>FTWH / FTWY - error XW285 with "eliminate duplicates"</t>
  </si>
  <si>
    <t>FTWL / FTWF - DEC fields converted incorrect for display</t>
  </si>
  <si>
    <t>DART: Decimal places for view files in FEC format</t>
  </si>
  <si>
    <t>FTW1A: Data not extracted for Period '01' for France</t>
  </si>
  <si>
    <t>Wrong generation of selection screen for DART views</t>
  </si>
  <si>
    <t>FTW1A: FI data not extracted when New G/L not active</t>
  </si>
  <si>
    <t>FTWH/FTWY: Termination UC_OBJECTS_NOT_CHARLIKE during export</t>
  </si>
  <si>
    <t>Joint Vent. /Prod Sh</t>
  </si>
  <si>
    <t>JVA Collective note: Suite on HANA Changes</t>
  </si>
  <si>
    <t>Field XLOEV of A segment is not updated II</t>
  </si>
  <si>
    <t>Dump in RKACOR04</t>
  </si>
  <si>
    <t>CO-OM tools: Tables and value search II</t>
  </si>
  <si>
    <t>CO-OM tools: SE16N: Role transport</t>
  </si>
  <si>
    <t>CO-OM tools: SE16N: Output field selection</t>
  </si>
  <si>
    <t>CO-OM tools: Tables and value search III</t>
  </si>
  <si>
    <t>CO-OM tools: Runtime error DBSQL_BUF_CONVERSION_ERROR</t>
  </si>
  <si>
    <t>CO-OM tools: Table determination for RRI</t>
  </si>
  <si>
    <t>CO-OM tools: Enhancements for transaction SE16SL</t>
  </si>
  <si>
    <t>Endless loop in report RKCOOKP1_MORE</t>
  </si>
  <si>
    <t>CO-OM tools: System selects more rows than entered in select</t>
  </si>
  <si>
    <t>CO-OM Tools: SE16N: Restrictions to selection options in mod</t>
  </si>
  <si>
    <t>ABC: The function OrderMaterialQuantityConf does not always</t>
  </si>
  <si>
    <t>Adjustment of ZDM for CO-ABC: Part 2</t>
  </si>
  <si>
    <t>Performance problems in KSBT</t>
  </si>
  <si>
    <t>Incorrect cost component split determined when using average</t>
  </si>
  <si>
    <t>OKEON: Assigning master data of another controlling area</t>
  </si>
  <si>
    <t>BAPI_COSTCENTER_CREATEMULTIPLE unable to determine Tax Juris</t>
  </si>
  <si>
    <t>Unable to change Vality Date in Cost Center Master in NWBC</t>
  </si>
  <si>
    <t>KP06ff: Error when several files uploaded</t>
  </si>
  <si>
    <t>Cost center planning/Excel upload: Public sector checks are</t>
  </si>
  <si>
    <t>ALLOCATION: GA736 System error during conversion of consumpt</t>
  </si>
  <si>
    <t>ALLOCATION: RKALLOOK Does not Process Statistical Key Figure</t>
  </si>
  <si>
    <t>CO line item report: Partner segment not displayed despite h</t>
  </si>
  <si>
    <t>Error message KB496 during jump to line item report of repor</t>
  </si>
  <si>
    <t>Outsourced Manufacturing: Quantity updated by goods receipt</t>
  </si>
  <si>
    <t>Manually entered or substituted segment incorrectly deleted</t>
  </si>
  <si>
    <t>Table BWOM_SETTINGS is not buffered</t>
  </si>
  <si>
    <t>Internal Orders: Collective Display - Investment Program Mis</t>
  </si>
  <si>
    <t>Release of CO internal order ALE segment type E2BP2075_MASTE</t>
  </si>
  <si>
    <t>Settlement rule: Change document without changes</t>
  </si>
  <si>
    <t>Create 999 distribution rules in settlement rule: Error mess</t>
  </si>
  <si>
    <t>Settlement rule: Message KD804 for incorrect object</t>
  </si>
  <si>
    <t>Availability control is not activated/unjustified warning me</t>
  </si>
  <si>
    <t>Settlement: Background job canceled by warning message or in</t>
  </si>
  <si>
    <t>ALLOCATION: SCMAUPDLOG incorrectly updated</t>
  </si>
  <si>
    <t>KE28: Not all values are converted when you enter the tracin</t>
  </si>
  <si>
    <t>KEAW: Frozen report data no longer readable</t>
  </si>
  <si>
    <t>Correction report RKE_CORRECT_ACTIVITY_COST terminates with</t>
  </si>
  <si>
    <t>Virtual InfoProvider - authority check on customer defined c</t>
  </si>
  <si>
    <t>VIP: Filter function for characteristics without check table</t>
  </si>
  <si>
    <t>Excel upload: Messages in log missing or duplicated/multipli</t>
  </si>
  <si>
    <t>KEPM:wrong data posted when using planning sequence</t>
  </si>
  <si>
    <t>Excel upload ignores CO period locks</t>
  </si>
  <si>
    <t>RKEREOCE4_EXTRACT: GETWA_NOT_ASSIGNED II</t>
  </si>
  <si>
    <t>COPAC preprocessing: GETWA_NOT_ASSIGNED in RKE_REORGCE4_SCAN</t>
  </si>
  <si>
    <t>Long runtime of goods movement if many batches in Q-stock</t>
  </si>
  <si>
    <t>Not allocated price differences in production processes</t>
  </si>
  <si>
    <t>BADI CKML_CROSS_COMPANY method SOURCE_CURRENCY_FOR_MARKUP</t>
  </si>
  <si>
    <t>Markup in material ledger period data and document</t>
  </si>
  <si>
    <t>Incorrect deactivation of planned delivery costs</t>
  </si>
  <si>
    <t>FCML update of WIP</t>
  </si>
  <si>
    <t>Special stocks F and R in the material ledger</t>
  </si>
  <si>
    <t>CKMLCP: Incorrect cost component split after iteration</t>
  </si>
  <si>
    <t>ML Virtual Info Provider /ML1/COPCACT_1 (No Cost Comp) adjus</t>
  </si>
  <si>
    <t>FCML_FILL: Error reading cost component split price</t>
  </si>
  <si>
    <t>FCML: Cost component split values for price determination do</t>
  </si>
  <si>
    <t>FCML double cost component split values for activity types i</t>
  </si>
  <si>
    <t>Achiving: CO_ML_BEL delete program doesn't work</t>
  </si>
  <si>
    <t>CKMVFM: F4 help for company code</t>
  </si>
  <si>
    <t>FAGL_ML_ADJUST gives incorrect output when no Material Stock</t>
  </si>
  <si>
    <t>SIT: Multilevel cost component split for goods receipt</t>
  </si>
  <si>
    <t>FCML: Differences in WIP lines contain incorrect plus/minus</t>
  </si>
  <si>
    <t>CKMM: Error C+182 when you change the price determination</t>
  </si>
  <si>
    <t>Authority checks in Material ledger Drilldown Reporting</t>
  </si>
  <si>
    <t>FCML: Additional  Customizing for VIP and DDOWN-Reporting</t>
  </si>
  <si>
    <t>Error MLCCS 009 in LMLCCS_UPDATEF02 during goods issue</t>
  </si>
  <si>
    <t>FCML_REP - Missing process number (1-lvl Pr. Diff. f. Order)</t>
  </si>
  <si>
    <t>MRY4 writes invalid pricing indicator</t>
  </si>
  <si>
    <t>Severe Inconsistencies after Material Price Change or MR22</t>
  </si>
  <si>
    <t>Unauthorized status error for multilevel price calculation</t>
  </si>
  <si>
    <t>GR value with split valuation for batches (-&amp;gt;planned values)</t>
  </si>
  <si>
    <t>Error CK867 for sequence determination</t>
  </si>
  <si>
    <t>Actual settlements for Order with co-product missing</t>
  </si>
  <si>
    <t>KKRC: Incorrect update of RPSQT</t>
  </si>
  <si>
    <t>KKRC: Termination COMPUTE_BCD_OVERFLOW when calculating exce</t>
  </si>
  <si>
    <t>KKRC - CO summarization of sales orders with selection profi</t>
  </si>
  <si>
    <t>Dump CX_SY_NESTED_PRINT_ON in LOBJ1_PROCESSING_LOGF01</t>
  </si>
  <si>
    <t>CK 869: Itemization differs from cost component split</t>
  </si>
  <si>
    <t>Unaccountable planned costs in production order for componen</t>
  </si>
  <si>
    <t>Production order plan credit without standard price</t>
  </si>
  <si>
    <t>Error message CK018 during reference cost estimate</t>
  </si>
  <si>
    <t>Currencies with incorrect decimal places in fact sheet (Fina</t>
  </si>
  <si>
    <t>EC-CS-ICS</t>
  </si>
  <si>
    <t>Layout of FI document display after navigation from EC-CS do</t>
  </si>
  <si>
    <t>Wrong data selection for hierarchy nodes with interval</t>
  </si>
  <si>
    <t>Bad performane for drilldown reports using hierarchy node se</t>
  </si>
  <si>
    <t>Report SCMA_DEL_DATA terminates with message KM 747</t>
  </si>
  <si>
    <t>Error message KM865</t>
  </si>
  <si>
    <t>Error message KM 865</t>
  </si>
  <si>
    <t>Error clearing with down payments</t>
  </si>
  <si>
    <t>Error clearing with down payments part 2</t>
  </si>
  <si>
    <t>Error KM 865 for reversal of down payment request</t>
  </si>
  <si>
    <t>ALLOCATION: GU016 by allocation in several periods</t>
  </si>
  <si>
    <t>KE52: Communication language cannot be changed</t>
  </si>
  <si>
    <t>KE1V - SYST: Period 016 is not valid in fiscal year variant</t>
  </si>
  <si>
    <t>ISR : Date conversion error for ISR_CONVERT_INPUT</t>
  </si>
  <si>
    <t>Document display does not show the current data.</t>
  </si>
  <si>
    <t>SFIN: check old dc engine and parallel currency  in precheck</t>
  </si>
  <si>
    <t>Short Dump with ASSERTION_FAILED when maintaining parallel c</t>
  </si>
  <si>
    <t>S2I:  OBJECTS_OBJREF_NOT_ASSIGNED in method _CONFIG_CONSISTE</t>
  </si>
  <si>
    <t>S2I: cannot correct errors on document line items</t>
  </si>
  <si>
    <t>Error when changing the depreciation key</t>
  </si>
  <si>
    <t>Creating multiple assets: ANLHTXT and INVSL</t>
  </si>
  <si>
    <t>No transfer posting for mass change PRCTR/SEGMENT</t>
  </si>
  <si>
    <t>AAPM + AISA0001: inventory number not synchronized</t>
  </si>
  <si>
    <t>S2I: Termination with importing the activation of the "New A</t>
  </si>
  <si>
    <t>Validation of "Asset acquired used" indicator</t>
  </si>
  <si>
    <t>S2I: Creating Asset with error STACK_STATE_NO_ROLL_MEMORY in</t>
  </si>
  <si>
    <t>BAPI: Incorrect screen layout rule when creating subnumbers</t>
  </si>
  <si>
    <t>AS91/AS92: Transactions saved without values</t>
  </si>
  <si>
    <t>Asset Accounting: Locking vendor</t>
  </si>
  <si>
    <t>Collective payment request with more than one vendor: values</t>
  </si>
  <si>
    <t>AAPO190 for invoice parking</t>
  </si>
  <si>
    <t>AA338 for retirement with group asset</t>
  </si>
  <si>
    <t>Missing asset lines in down payment clearing</t>
  </si>
  <si>
    <t>V2 update of asset document report terminates with error APE</t>
  </si>
  <si>
    <t>Error FAGL_LEDGER_CUST 400 when activating new General Ledge</t>
  </si>
  <si>
    <t>S2I: Error AAPO176 due to VBUND for retirement via worklist</t>
  </si>
  <si>
    <t>ABSO -  Unjustified error F5814</t>
  </si>
  <si>
    <t>Non-calendar fiscal years for base depreciation areas for pa</t>
  </si>
  <si>
    <t>Copying areas: Default values for company code/areas are not</t>
  </si>
  <si>
    <t>RAPERB2000:  Message AA 064 for incorrect user</t>
  </si>
  <si>
    <t>S2I: Error AAPO 007 for settlement with capitalization key</t>
  </si>
  <si>
    <t>FI-AA-AA-I</t>
  </si>
  <si>
    <t>Investment Support</t>
  </si>
  <si>
    <t>Write-up in the investment support depreciation area on the</t>
  </si>
  <si>
    <t>RAHIST01 shows incorrect depreciation start date</t>
  </si>
  <si>
    <t>Depreciation areas not displayed in Asset Explorer</t>
  </si>
  <si>
    <t>RABIKA_ALV01 -  ALV list: No short text for depreciation are</t>
  </si>
  <si>
    <t>RASIMU_ALV01 - Missing revaluations</t>
  </si>
  <si>
    <t>Field catalog: Duplicate fields and formatting of quantity</t>
  </si>
  <si>
    <t>Reporting:  Segment is not determined</t>
  </si>
  <si>
    <t>AW01N -  Planned depreciation value 0,00 for last period in</t>
  </si>
  <si>
    <t>RAAEND01 - ALV output not using ALV Tree control</t>
  </si>
  <si>
    <t>PEO: Documents with direct tax items are not displayed F891</t>
  </si>
  <si>
    <t>Text for logo can't be recognized in PDF form F130_CONFIRM_0</t>
  </si>
  <si>
    <t>Central functions: Technical SAP Note</t>
  </si>
  <si>
    <t>Central functions: Locking customer and vendor</t>
  </si>
  <si>
    <t>OB74: Error message "Field too long"</t>
  </si>
  <si>
    <t>ME2DP/FPDP_CREATE: tax code transferred incorrectly</t>
  </si>
  <si>
    <t>FB05/partial payment: No check of terms of payment</t>
  </si>
  <si>
    <t>Differentiated document currencies with cross-company code p</t>
  </si>
  <si>
    <t>MIRO error F5 847: Down payment is already cleared and canno</t>
  </si>
  <si>
    <t>FI documents: Locking customers and vendors</t>
  </si>
  <si>
    <t>FB02: Deletion of IBAN</t>
  </si>
  <si>
    <t>FB01: Entered trading partner is deleted</t>
  </si>
  <si>
    <t>F110: Extended individual payment in invoice reference</t>
  </si>
  <si>
    <t>Mandate management: FI - Adding where-used data manually</t>
  </si>
  <si>
    <t>FBZ0/SEPA: New payment group with one-time mandates</t>
  </si>
  <si>
    <t>Payment card information updated incorrectly</t>
  </si>
  <si>
    <t>F110: Credit memo clearing when specifying SEPA mandates in</t>
  </si>
  <si>
    <t>FBZ0: House bank IBAN is not changed</t>
  </si>
  <si>
    <t>Cash discount applied after cash discount period expired</t>
  </si>
  <si>
    <t>SEPA direct debit pre-notification: Date in e-mail title</t>
  </si>
  <si>
    <t>F110: Cash discount rounding causes exchange rate difference</t>
  </si>
  <si>
    <t>F110: Checking the posting period for payment orders</t>
  </si>
  <si>
    <t>F110 incorrect due date for net payments upon due date</t>
  </si>
  <si>
    <t>FPRL_LIST Performance problems with large datasets</t>
  </si>
  <si>
    <t>F110: CONVT_OVERFLOW</t>
  </si>
  <si>
    <t>F110: Extended individual payment and zero clearing</t>
  </si>
  <si>
    <t>F110/SEPA: Error during the check of mandate validity</t>
  </si>
  <si>
    <t>F110: Account ID of house bank missing in payment document</t>
  </si>
  <si>
    <t>DMEE CH: CH_DTA: IBAN and KOINH is not getting filled.</t>
  </si>
  <si>
    <t>RFFOPT_CBR: Performance issue while processing large number</t>
  </si>
  <si>
    <t>RFEBIT00: Message FB770 " Account Number not in bank storage</t>
  </si>
  <si>
    <t>Portugal: SEPA CT: Corrections regarding the tags Ustrd, Str</t>
  </si>
  <si>
    <t>SAF-T PT Payment Section 4.4</t>
  </si>
  <si>
    <t>BE_BEPDTA_FOR: Changes for 'no IBAN' field in Sub06</t>
  </si>
  <si>
    <t>Dump during F110 Payment proposal run</t>
  </si>
  <si>
    <t>System error in report RFFOPL_OVRDUE_INV</t>
  </si>
  <si>
    <t>DMEE FR_ETEBAC_VRT-ETR - Total amount is wrong</t>
  </si>
  <si>
    <t>Changes in segment BUS and UNZ for DMEE tree V3</t>
  </si>
  <si>
    <t>RFFOIT_FOR: The relationship information for the bank curren</t>
  </si>
  <si>
    <t>RFEBBECODA00: IBAN not passed in multicash file when IBAN fo</t>
  </si>
  <si>
    <t>Pain .002 duplicate records updated in Note to Payee</t>
  </si>
  <si>
    <t>COPE Report RFFOPT_CBR Enhancements</t>
  </si>
  <si>
    <t>CODA: Changes to fill the Note to payee information SEPA</t>
  </si>
  <si>
    <t>SAF-T PT Payment Section 4.4 Corrections</t>
  </si>
  <si>
    <t>SEPA CT: Austria Tax Payments</t>
  </si>
  <si>
    <t>RFFOPT_CBR: Bank G/L balances from table T042I not displayed</t>
  </si>
  <si>
    <t>Changes for SEPA countries</t>
  </si>
  <si>
    <t>SAF-T PT Solution integration with FICA</t>
  </si>
  <si>
    <t>RFDEPL00/RFDOPO10/RFKEPL00 - Plus/minus sign for cash discou</t>
  </si>
  <si>
    <t>Down payment clearing document split with cancellation in MM</t>
  </si>
  <si>
    <t>Completion of clearing function via accounting interface (5)</t>
  </si>
  <si>
    <t>INVOIC: Message 00 349 "Field BSEG-MWSKZ. does not exist in</t>
  </si>
  <si>
    <t>OBAU/OB30 and the fields TIBAN-IBAN and TIBAN-VALID_FROM</t>
  </si>
  <si>
    <t>RFDABL00/RFKABL00: Syntax check displays errors</t>
  </si>
  <si>
    <t>Error 7Q303 when creating a document with reference using FB</t>
  </si>
  <si>
    <t>RFIDYYWT - Incorrect documents getting reported for France</t>
  </si>
  <si>
    <t>RFIDYYWT: Japan exchange rate issue</t>
  </si>
  <si>
    <t>RFIDYYWT: Wrong documents are getting reported for France</t>
  </si>
  <si>
    <t>US 1099 LC 2013 - 1099 K File Changes</t>
  </si>
  <si>
    <t>RFITREVAL: Italy revaluation</t>
  </si>
  <si>
    <t>J1INCCREP: Incorrect period summary while reprinting custome</t>
  </si>
  <si>
    <t>J_1HDTAX: Transfer deferred tax for zero tax amount</t>
  </si>
  <si>
    <t>Columbia: Tax amount Rounding</t>
  </si>
  <si>
    <t>RF0KQST5: Wrong base amount is displayed in list output</t>
  </si>
  <si>
    <t>RFIDYYWT: reversed/reversal documents are not getting report</t>
  </si>
  <si>
    <t>Belgium-one time vendor house number is not getting filled</t>
  </si>
  <si>
    <t>FI: Ready for input status of state central bank ind. for SA</t>
  </si>
  <si>
    <t>Problem after you implement SAP Note 1750624</t>
  </si>
  <si>
    <t>FV 669: Error message RECAAP007</t>
  </si>
  <si>
    <t>FINS_APAR_CHECK_CUST_POSTINGS interface enhancement</t>
  </si>
  <si>
    <t>Error code 1 during generation of the view FIN_ARPOS_NETDT</t>
  </si>
  <si>
    <t>Top-10-Liste fällige Forderungen zum Monatsende anzeigen</t>
  </si>
  <si>
    <t>Correspondence in accordance with the reason code for manual</t>
  </si>
  <si>
    <t>Down payment: Text field for sales order is incorrectly disp</t>
  </si>
  <si>
    <t>FB15: Clearing does not take all payment advice notes into a</t>
  </si>
  <si>
    <t>ISR procedure in a company code</t>
  </si>
  <si>
    <t>RFMAHN21: Short dump SAPSQL_ARRAY_INSERT_DUPREC after change</t>
  </si>
  <si>
    <t>FI dunning: Locking customer and vendor</t>
  </si>
  <si>
    <t>FINT results in error BL207: "Log not found (in main memory)</t>
  </si>
  <si>
    <t>FINT doesn't post interest with installment payment terms</t>
  </si>
  <si>
    <t>F150: F4 help has a long runtime</t>
  </si>
  <si>
    <t>FINT aborts with runtime error GETWA_NOT_ASSIGNED</t>
  </si>
  <si>
    <t>Technical correction</t>
  </si>
  <si>
    <t>In the balance confirmation, the table header also appears o</t>
  </si>
  <si>
    <t>Performance of FI correspondence</t>
  </si>
  <si>
    <t>Short dump (termination point BALANCE_CALC_LOGVO_1)' when tr</t>
  </si>
  <si>
    <t>STCD1, PFACH, REGIO, and LAND1 cannot be changed in FI_DOCUM</t>
  </si>
  <si>
    <t>Automatic Update of Address and IBAN for SEPA Mandates</t>
  </si>
  <si>
    <t>SEPA: Bank return</t>
  </si>
  <si>
    <t>Consideration of branch and head office in the SEPA mandate</t>
  </si>
  <si>
    <t>SEPA: Duplicate messages issued with mandate creation in FD0</t>
  </si>
  <si>
    <t>RFDABL00/RFKABL00: Locking customers and vendors</t>
  </si>
  <si>
    <t>Credit management: Locking of customers</t>
  </si>
  <si>
    <t>RFDRRSEL low performance</t>
  </si>
  <si>
    <t>FI12: Transport of IBAN and cross-client objects</t>
  </si>
  <si>
    <t>CAMT054 currency not taken into consideration</t>
  </si>
  <si>
    <t>RFEBKA00: Dunning block indicator is not set according to cu</t>
  </si>
  <si>
    <t>Bank statement: Accounting clerk not filled</t>
  </si>
  <si>
    <t>FEB_FILE_HANDLING: Interpretation does not take place</t>
  </si>
  <si>
    <t>Bank statement: Functions delivered with SAP Note 863132 not</t>
  </si>
  <si>
    <t>FEB_FILE_HANDLING: Incorrect termination for wrong ISO code</t>
  </si>
  <si>
    <t>FBCJ: Short dump MESSAGE_TYPE_X for check deposit</t>
  </si>
  <si>
    <t>FI cash journal: Locking customer and vendor</t>
  </si>
  <si>
    <t>FBCJ: Runtime error MESSAGE_TYPE_X for BAPI usage</t>
  </si>
  <si>
    <t>RFCASH20 - company code name cut off</t>
  </si>
  <si>
    <t>SEPA_CT:  Controlling &amp;lt;PmtMtd&amp;gt; using instruction 2 of instru</t>
  </si>
  <si>
    <t>SEPA_DD: Amendment for RCUR</t>
  </si>
  <si>
    <t>Characters '&amp;gt;' in front of vertical lines in output of repor</t>
  </si>
  <si>
    <t>Check management: Technical SAP Note</t>
  </si>
  <si>
    <t>Check management: Locking customer and vendor</t>
  </si>
  <si>
    <t>Check management: Check of authorization group and account g</t>
  </si>
  <si>
    <t>Lock problems for payment of payment requests - PZ057</t>
  </si>
  <si>
    <t>F111: Update termination PZ124</t>
  </si>
  <si>
    <t>FIBLFFP - entering the exchange rate</t>
  </si>
  <si>
    <t>@0S@BAI2 Preprocessor not working with FEB_FILE_HANDLING.</t>
  </si>
  <si>
    <t>Zero-balance OIM lines: Follow-on doc. cannot be reversed</t>
  </si>
  <si>
    <t>SoH LDB SDF: Runtime error with BSQL_TOO_MANY_OPEN_CURSOR</t>
  </si>
  <si>
    <t>Error in FI customizing</t>
  </si>
  <si>
    <t>Permitting BAPI_SL_GETTOTALRECORDS for ledgers of General Le</t>
  </si>
  <si>
    <t>Program GP_GLX_FAGLFLEXT not regenerated after table or extr</t>
  </si>
  <si>
    <t>Frequent accesses to table DD02L due to check on pooled tabl</t>
  </si>
  <si>
    <t>Structures GLU1 and GLU2 do not have TADIR-GENFLAG set to 'X</t>
  </si>
  <si>
    <t>SAPDBSDF: Runtime error SAPSQL_SQLS_INVALID_CURSOR in SAPLFA</t>
  </si>
  <si>
    <t>Performance optimization in report RFBELJ00</t>
  </si>
  <si>
    <t>Program corrections for control table FAGL_SETTINGS</t>
  </si>
  <si>
    <t>Deletion and locking of customers and vendors in FI</t>
  </si>
  <si>
    <t>FIUT_180_APAR: Unsorted output</t>
  </si>
  <si>
    <t>MCA postings without cost accounting not possible</t>
  </si>
  <si>
    <t>GLE_MCA_FXR: Various errors</t>
  </si>
  <si>
    <t>Ledger delivery cleanup</t>
  </si>
  <si>
    <t>GLE_MCA_FXR: Various errors, correction to SAP Note 1987506</t>
  </si>
  <si>
    <t>Check Manager errors in MCA</t>
  </si>
  <si>
    <t>Runtime error ASSERTION_FAILED in subroutine CALL_BADI_MODIF</t>
  </si>
  <si>
    <t>KB31N - statistical key figures: Incorrect substitution for</t>
  </si>
  <si>
    <t>Incorrect segment derivation after "Simulate General Ledger"</t>
  </si>
  <si>
    <t>Performance BAdI GLT0_COMPLETE_ASGMT</t>
  </si>
  <si>
    <t>A reversal of a cross-company code goods movement or cross-c</t>
  </si>
  <si>
    <t>FAGLSKF: Some fields aren't stored in FAGLSKF</t>
  </si>
  <si>
    <t>AIM objects: ZDM check for further FI components (2)</t>
  </si>
  <si>
    <t>AIM objects: ZDM check for further FI components (3)</t>
  </si>
  <si>
    <t>OBH2 doesn't copy document number ranges</t>
  </si>
  <si>
    <t>Error message FAGL_MIG 283 when you try to reverse documents</t>
  </si>
  <si>
    <t>ENJOY: Field status for the "Prod.Month" field (PRODPER) is</t>
  </si>
  <si>
    <t>FI: Activity for authorization check CHECK_AUTH_PRCTR</t>
  </si>
  <si>
    <t>FB03/ALV list display: No profit center authorization check</t>
  </si>
  <si>
    <t>OB74: Fields with a length of more than 20</t>
  </si>
  <si>
    <t>FB03/ALV list: Transaction no longer offered for display</t>
  </si>
  <si>
    <t>ENJOY:  Dump GETWA_NOT_ASSIGNED if using account assignment</t>
  </si>
  <si>
    <t>Average Daily Balances: Trigger deleted in simulation mode</t>
  </si>
  <si>
    <t>SoH LDB SDF: Runtime error with DBIF_RSQL_TABLE_UNKNOWN</t>
  </si>
  <si>
    <t>FAGLL03: Mass change - message MSITEM006 (field DKAC)</t>
  </si>
  <si>
    <t>SoH LDB SDF: Runtime error for transaction FAGL_FC_TRANS</t>
  </si>
  <si>
    <t>Line items: Header line for drilldown (summation levels) inc</t>
  </si>
  <si>
    <t>FS10N: Amounts in general ledger (document) currency are not</t>
  </si>
  <si>
    <t>SoH LDB SDF: Runtime error DBSQL_STMNT_TOO_LARGE</t>
  </si>
  <si>
    <t>SoH LDB SDF: Runtime error for execution of report RFSKVZ00</t>
  </si>
  <si>
    <t>SoH LDB SDF: Incorrect results for RFBILA00</t>
  </si>
  <si>
    <t>FI line item reporting: Locking customers and vendors</t>
  </si>
  <si>
    <t>SAPDBSDF: FS10N / RFSSLD00 / RFSUSA00: The display of classi</t>
  </si>
  <si>
    <t>FI_TF_DEB: Customers are not archived</t>
  </si>
  <si>
    <t>F.07: Check for archived Transaction Figures is incorrect</t>
  </si>
  <si>
    <t>Adaptation of FI_DOCUMNT</t>
  </si>
  <si>
    <t>0%  self-assessed conditions not correctly considered</t>
  </si>
  <si>
    <t>Rounding reverse charge only with input tax</t>
  </si>
  <si>
    <t>EC sales list - missing information about cancellation for d</t>
  </si>
  <si>
    <t>VF11: FF786 because BKPF-VATDATE initial due to no BSET</t>
  </si>
  <si>
    <t>MIRO/FB60 dump DYNPRO_FIELD_CONVERSION during reverse charge</t>
  </si>
  <si>
    <t>FTXP - Not possible to maintain more than 8 tax accounts</t>
  </si>
  <si>
    <t>VATDATE: Document without BSET -&amp;gt; VATDATE if tax code in doc</t>
  </si>
  <si>
    <t>Additional user fields added to the structure - RFUMS_TAX_IT</t>
  </si>
  <si>
    <t>RFUMSV25: Technical correction due to BKPF-XBLNR</t>
  </si>
  <si>
    <t>Error FF 747 although tax rate above 100% is set</t>
  </si>
  <si>
    <t>RFUMSV25: No error text with errors in call transaction</t>
  </si>
  <si>
    <t>Report RFTAXIMP does not transfer any country-specific tax c</t>
  </si>
  <si>
    <t>Reverse charge - Rounding tax base for gross entry</t>
  </si>
  <si>
    <t>Austria: VAT Refund(FOTV)</t>
  </si>
  <si>
    <t>RPFICHSNB: Cleared invoices are not getting reported.</t>
  </si>
  <si>
    <t>RPFICHSNB : Authorization checks missing for TCODE SNBCH</t>
  </si>
  <si>
    <t>RFIDITSR00 : Issues with the Central Bank Reporting.</t>
  </si>
  <si>
    <t>Accruals posting in CBR, Luxembourg</t>
  </si>
  <si>
    <t>RFIDITSR00(FR) : Incorrect amount in the output.</t>
  </si>
  <si>
    <t>RPFIEU_SAFT : SAF-T Framework Corrections (5_F)</t>
  </si>
  <si>
    <t>RPFIEU_SAFT : SAF-T Framework Corrections (6_F)</t>
  </si>
  <si>
    <t>RPFIEU_SAFT : SAF-T Framework Corrections (7_F)</t>
  </si>
  <si>
    <t>RFUMSV00: Unused GUI numbers reporting in DMEE File for Taiw</t>
  </si>
  <si>
    <t>RPFIEU_SAFT : SAF-T Framework Corrections (8_F)</t>
  </si>
  <si>
    <t>RPFIEU_SAFT : Report Enhancement  to include FI-CA data</t>
  </si>
  <si>
    <t>France ECSL 2010 correction note for 1438243 and few issues</t>
  </si>
  <si>
    <t>RPFIEU_SAFT : SAF-T Framework Corrections (9_F)</t>
  </si>
  <si>
    <t>RPFIEU_SAFT : SAF-T Framework DDIC Enhancement(1)</t>
  </si>
  <si>
    <t>SAFT-LU : Setting for DB-Specific properties for tables that</t>
  </si>
  <si>
    <t>Allocation: The cycle overview displays wrong II</t>
  </si>
  <si>
    <t>RFAWVZ40F: Generate a report file for each FTR reporting num</t>
  </si>
  <si>
    <t>FAGL_FC_VAL: Number of postings not displayed correctly in l</t>
  </si>
  <si>
    <t>FAGL_FCV: Error KI 280 for cost element</t>
  </si>
  <si>
    <t>Foreign currency valuation: Transfer of venture data in batc</t>
  </si>
  <si>
    <t>newGL allocation: Receiver's Segment incorrectly copied to S</t>
  </si>
  <si>
    <t>FAGL_FCV: Resetting balance valuations</t>
  </si>
  <si>
    <t>FAGL_FCV: Differences between valuation and posting</t>
  </si>
  <si>
    <t>RFHABU00N: Custom selections for fields of new General Ledge</t>
  </si>
  <si>
    <t>Error executing Report/Program: RFSUMB00  Date Format</t>
  </si>
  <si>
    <t>FAGL_MM_RECON: Derivation of business area when division is</t>
  </si>
  <si>
    <t>newGL allocations: GA776 error unjustified</t>
  </si>
  <si>
    <t>FAGL_FCV: Loading of log: Authorization check</t>
  </si>
  <si>
    <t>SAPF101: Posting list does not use the list variant entered</t>
  </si>
  <si>
    <t>FAGL_YEC_POSTINGS_EHP4: Inconsitensies Of G/L Account Balanc</t>
  </si>
  <si>
    <t>RFAWVZ40N: Credit memo from MM invoice verification without</t>
  </si>
  <si>
    <t>RFAWVZ40F: code page of report file</t>
  </si>
  <si>
    <t>newGL allocations: authorization check during reversal</t>
  </si>
  <si>
    <t>FAGL_FCV: Parallel processing for data selection - Multiple</t>
  </si>
  <si>
    <t>New General Ledger Accounting allocation:  Syntax error for</t>
  </si>
  <si>
    <t>posting_interface_document: Mandate reference transferred to</t>
  </si>
  <si>
    <t>RW310 when posting via direct input or IDoc type INVOIC02</t>
  </si>
  <si>
    <t>Completion of clearing function via accounting interface (2)</t>
  </si>
  <si>
    <t>BAPI: Balance error for posting with alternative tax rate</t>
  </si>
  <si>
    <t>Incorrect VBUND inheritance for posting with transaction COG</t>
  </si>
  <si>
    <t>Completion of clearing function via accounting interface (3)</t>
  </si>
  <si>
    <t>Error messages F5 567 and F5 568 or short dump MESSAGE_TYPE_</t>
  </si>
  <si>
    <t>FI document change interface: locking customer and vendor</t>
  </si>
  <si>
    <t>Completion of clearing function via accounting interface (4)</t>
  </si>
  <si>
    <t>F5165 for subsequent posting in EC-PCA</t>
  </si>
  <si>
    <t>RW 008 when posting a payroll</t>
  </si>
  <si>
    <t>Completion of clearing function via accounting interface (7)</t>
  </si>
  <si>
    <t>VBKPF-XWFFR not initial when parking multiple documents usin</t>
  </si>
  <si>
    <t>FAGLDT01/FAGLST01: B1(000): ***** Messages for input and out</t>
  </si>
  <si>
    <t>ALE: Missing text elements in FAGL_RUNID_INIT</t>
  </si>
  <si>
    <t>GLMAST - Distribution of new fields across older segment rel</t>
  </si>
  <si>
    <t>Info: Currencies in real-time integration CO with FI</t>
  </si>
  <si>
    <t>Performance: mass processing of transfer CO documents into E</t>
  </si>
  <si>
    <t>Performance: Transfer CO documents retrospectively</t>
  </si>
  <si>
    <t>FBV2/FBV0: Trading partner is lost after you delete a line</t>
  </si>
  <si>
    <t>ENJOY: Validation/substitution only in visible area when sim</t>
  </si>
  <si>
    <t>FV50: Branch number is not displayed when you call transacti</t>
  </si>
  <si>
    <t>SBWP: Incorrect issue of message F5413 requesting correction</t>
  </si>
  <si>
    <t>RFBILA00: Error message FR623 in classic G/L</t>
  </si>
  <si>
    <t>RFBILA00: Classical List: List Header in Thai Language</t>
  </si>
  <si>
    <t>RFBILA00/RFBILA00N: SU22</t>
  </si>
  <si>
    <t>EFS: Assignment to reporting items in P&amp;L format CSA</t>
  </si>
  <si>
    <t>LI Browser: Corrections &amp; Fields from other tables (KE5ZH)</t>
  </si>
  <si>
    <t>Line Item Browsers: Report Interface: Item Type</t>
  </si>
  <si>
    <t>Electronic financial statement (EFS): Message for informatio</t>
  </si>
  <si>
    <t>Database objects without ABAP Dictionary counterpart</t>
  </si>
  <si>
    <t>Standard reports not integrated with Schedule Manager and Cl</t>
  </si>
  <si>
    <t>Electronic financial statement - missing text for root node</t>
  </si>
  <si>
    <t>Electronic financial statement - missing text for irrelevant</t>
  </si>
  <si>
    <t>RFBISA10: Error message FB043</t>
  </si>
  <si>
    <t>Generation error V_GLPOS_C_CT</t>
  </si>
  <si>
    <t>Performance improvement V_GLPOS_C_CT</t>
  </si>
  <si>
    <t>Internal Error FAGL_MIG017 ADJ_PSWBT</t>
  </si>
  <si>
    <t>GLM_DS: Document Splitting of Residual Items</t>
  </si>
  <si>
    <t>newGL mig: FAGL_CHECK_ACCOUNT_LINETYPE zero balance clearing</t>
  </si>
  <si>
    <t>PRCTR: Incorrect company code for a purchase order with acco</t>
  </si>
  <si>
    <t>PRCTR: Activating checkpoints</t>
  </si>
  <si>
    <t>AA347 with account assignment change for assets</t>
  </si>
  <si>
    <t>Aditional balancing fields are not updated into transfer pos</t>
  </si>
  <si>
    <t>Error message FAGL_REORGANIZATION 073 during transfer postin</t>
  </si>
  <si>
    <t>Error 'Structure name XXXX YYYY not supported' when you disp</t>
  </si>
  <si>
    <t>Additional balancing fields - exceptions handling</t>
  </si>
  <si>
    <t>Transfer postings: Document currency determination</t>
  </si>
  <si>
    <t>Error F5 800 during transfer posting</t>
  </si>
  <si>
    <t>PRCTR: AR simulation of ext. document splitting characterist</t>
  </si>
  <si>
    <t>PRCTR: AP/AR - Document account not reassigned despite statu</t>
  </si>
  <si>
    <t>PRCTR: Generate AP/AR - runtime analysis</t>
  </si>
  <si>
    <t>PRCTR/SEG: Exclusion of cleared documents during display II</t>
  </si>
  <si>
    <t>PRCTR/SEG: Error message FAGL_REORGANIZATION 566/567 II - co</t>
  </si>
  <si>
    <t>PRCTR/SEG: Error message FAGL_REORGANIZATION 566 (XX)</t>
  </si>
  <si>
    <t>PRCTR/SEG: Rounding differences for foreign currency valuati</t>
  </si>
  <si>
    <t>PRCTR: Valuation classes ignored</t>
  </si>
  <si>
    <t>PRCTR-REORG: Error F5 800</t>
  </si>
  <si>
    <t>Performance issue with GRR3 reports</t>
  </si>
  <si>
    <t>RW: Texts for currencies are not issued</t>
  </si>
  <si>
    <t>Message GG732 ("Check field &amp; of table &amp;") has incorrect lon</t>
  </si>
  <si>
    <t>Runtime error CONVT_NO_NUMBER in routine CHECK_TOTALS_UPD1</t>
  </si>
  <si>
    <t>SAPFGVTR: Termination TABLE_HASH_NO_MEMORY for internal tabl</t>
  </si>
  <si>
    <t>Rollup: Dump MESSAGE_TYPE_X in SAPMGLRV</t>
  </si>
  <si>
    <t>FI-SL-SL-J</t>
  </si>
  <si>
    <t>Int. / Direct Post.</t>
  </si>
  <si>
    <t>CO actual data update: Missing document line item in the Spe</t>
  </si>
  <si>
    <t>GP12N - dump while using single set</t>
  </si>
  <si>
    <t>GP12N - wrongly changed inserted amounts during save</t>
  </si>
  <si>
    <t>GP52 - incorrect period allowed check</t>
  </si>
  <si>
    <t>GP12N - error TD605 appears during longtext creation</t>
  </si>
  <si>
    <t>GP12N - dump during save</t>
  </si>
  <si>
    <t>Group comparison delivers incorrect results with intervals</t>
  </si>
  <si>
    <t>ZDM Prelock Method for RW and Set Objects</t>
  </si>
  <si>
    <t>FI-SL-SL-Z</t>
  </si>
  <si>
    <t>Others</t>
  </si>
  <si>
    <t>GCAR: Infinite loop</t>
  </si>
  <si>
    <t>FI-TV</t>
  </si>
  <si>
    <t>Business Trip Management</t>
  </si>
  <si>
    <t>FI-TV-COS</t>
  </si>
  <si>
    <t>Trip Costs</t>
  </si>
  <si>
    <t>Introduction of a Where Used check for vendor usage in trave</t>
  </si>
  <si>
    <t>EDX: Support for inbound invoices with more than 950 line it</t>
  </si>
  <si>
    <t>EDX: Web Client cannot display document, wrong mime type.</t>
  </si>
  <si>
    <t>CPON: No correct mapping for HR payments (BNK_COM_CORE 104)</t>
  </si>
  <si>
    <t>Runtime error TABLE_ILLEGAL_STATEMENT when you change rules</t>
  </si>
  <si>
    <t>BNK_MONI Display of payment currency, if unique</t>
  </si>
  <si>
    <t>BCM rule maintenance: Preparation for SAP Note 1999340</t>
  </si>
  <si>
    <t>BCM rule maintenance: Missing rule currency amount and local</t>
  </si>
  <si>
    <t>BCM: Preparation for SAP Note 2006650</t>
  </si>
  <si>
    <t>BCM - payment status shows incorrect due date</t>
  </si>
  <si>
    <t>BCM: Not possible to save display variants in BNK_MONIP</t>
  </si>
  <si>
    <t>BCM rule maintenance: Rule description cannot be changed</t>
  </si>
  <si>
    <t>FF7B: Duplicate update for payment orders</t>
  </si>
  <si>
    <t>Data inconsistency when running t-code FF7A and FF7B with di</t>
  </si>
  <si>
    <t>When executing t-code FF7A or FF7B in a non-HANA system, wro</t>
  </si>
  <si>
    <t>Receivables processing: RFC destination for billing document</t>
  </si>
  <si>
    <t>Unnecessary RFCs for commitment reservations</t>
  </si>
  <si>
    <t>UKM_TRANSFER_VECTOR: Long runtime or termination</t>
  </si>
  <si>
    <t>SAP Dispute Management: Error in cash management</t>
  </si>
  <si>
    <t>F4 help for query sequence in RFLQ_CASH_FORECAST_TRT1</t>
  </si>
  <si>
    <t>RFLQ_CASH_FORECAST_FIN: Origin in selection screen</t>
  </si>
  <si>
    <t>1957022 : Additional corrections</t>
  </si>
  <si>
    <t>Incorrect third currency values in reversed documents</t>
  </si>
  <si>
    <t>FLQAF: Display withholding tax seperately</t>
  </si>
  <si>
    <t>FLQAF: Document Chains in Transaction Currency</t>
  </si>
  <si>
    <t>RFLQ_CASH_FORECAST_SDSO: All the fields from BKPF and BSEG a</t>
  </si>
  <si>
    <t>Liquidity Planner: Inconsistency between line items and tota</t>
  </si>
  <si>
    <t>RFLQ_CASH_FORECAST_TR*: Condition fields for queries with or</t>
  </si>
  <si>
    <t>Testing of depreciation simulation/Primary cost planning fro</t>
  </si>
  <si>
    <t>IMA11/IMA1N/IMA2N set invalid memory ID TXN_CURR</t>
  </si>
  <si>
    <t>BAPI_EXPENDITUREPROGTREE_CHVAL does not perform consistency</t>
  </si>
  <si>
    <t>IMR1_ALV: Dump GETWA_NOT_ASSIGNED or MESSAGE_TYPE_X</t>
  </si>
  <si>
    <t>IS-ADEC-GPD</t>
  </si>
  <si>
    <t>Group.,Pegg.,Distr.</t>
  </si>
  <si>
    <t>GPD602+: Core enhancements for note 2011587</t>
  </si>
  <si>
    <t>LO-MD</t>
  </si>
  <si>
    <t>Logistics Basic Data</t>
  </si>
  <si>
    <t>LO-MD-BP</t>
  </si>
  <si>
    <t>Business Partners</t>
  </si>
  <si>
    <t>LO-MD-BP-DP</t>
  </si>
  <si>
    <t>Customer / Vendor</t>
  </si>
  <si>
    <t>Customer/vendor Destruction: Interface note - Archiving adap</t>
  </si>
  <si>
    <t>Customer/Vendor Master Destruction</t>
  </si>
  <si>
    <t>MRF1: Price inexplicable when processing several valuation a</t>
  </si>
  <si>
    <t>MRF1: Error for FIFO determination after scheduling via Sche</t>
  </si>
  <si>
    <t>PM-EQM</t>
  </si>
  <si>
    <t>Equipment and Technical Objects</t>
  </si>
  <si>
    <t>PM-EQM-EQ</t>
  </si>
  <si>
    <t>Equipment</t>
  </si>
  <si>
    <t>IE4N: Error message ERP_CO_OLC_E003</t>
  </si>
  <si>
    <t>Error message KO104 when purchase requisition saved</t>
  </si>
  <si>
    <t>GTAS 2 - Material Management Changes for Ehp7</t>
  </si>
  <si>
    <t>GTAS2: Earmarked Funds: Correction in FMR1_GET_DOCUMENT_FIEL</t>
  </si>
  <si>
    <t>GTAS 2: Batch Input Issues in COBL Screens</t>
  </si>
  <si>
    <t>GTAS 2: Enable MM Integration for Down Payment</t>
  </si>
  <si>
    <t>GTAS 2: MM Contracts Enhancements (Interface note)</t>
  </si>
  <si>
    <t>GTAS 2: Correction to note 1920035</t>
  </si>
  <si>
    <t>GTAS 2: Correction to note 1944950</t>
  </si>
  <si>
    <t>Unexpected error message from the function module FMFA_MM_AU</t>
  </si>
  <si>
    <t>Budget planning: Table is too small</t>
  </si>
  <si>
    <t>Incorrect authorization check with long commitment items</t>
  </si>
  <si>
    <t>FM Postings</t>
  </si>
  <si>
    <t>FM Short-term Waiver Request: Resubmission Date</t>
  </si>
  <si>
    <t>Automatic downpayment clearing functionality considers GR an</t>
  </si>
  <si>
    <t>DPC document number is not properly stored in the PO History</t>
  </si>
  <si>
    <t>RFFMERLK: Processing documents resulting from PCB</t>
  </si>
  <si>
    <t>Earmarked funds journal: Refreshing data in the list (UI)</t>
  </si>
  <si>
    <t>Generic object services in the earmarked funds transactions</t>
  </si>
  <si>
    <t>Blocking problems in the payment run (with different symptom</t>
  </si>
  <si>
    <t>FMRE: Check of field selection for FMFR_CHANGE_FROM_DATA</t>
  </si>
  <si>
    <t>End Of Purpose Check in PSM (funds commitments)</t>
  </si>
  <si>
    <t>ILM enablement of archiving object FM_FUNRES</t>
  </si>
  <si>
    <t>Earmarked Funds: Restrict access to personal data</t>
  </si>
  <si>
    <t>FMRE: Approved amount is not undone</t>
  </si>
  <si>
    <t>Commitment plan; funded program deleted in earmarking</t>
  </si>
  <si>
    <t>Hinweis für Transporte ohne Korrekturanleitung</t>
  </si>
  <si>
    <t>PSM-FM-UP-FI-GR</t>
  </si>
  <si>
    <t>Goods Receipt</t>
  </si>
  <si>
    <t>FMX* fields updated even if PSM-FM updating is off II.</t>
  </si>
  <si>
    <t>PY</t>
  </si>
  <si>
    <t>Payroll</t>
  </si>
  <si>
    <t>PY-XX</t>
  </si>
  <si>
    <t>Payroll: General Parts</t>
  </si>
  <si>
    <t>PY-XX-DT</t>
  </si>
  <si>
    <t>Posting</t>
  </si>
  <si>
    <t>Posting to accounting: Where-used check for customer/vendor</t>
  </si>
  <si>
    <t>CHECKMAN: Generic buffer not read completely: CL_WUC_HCM_CVP</t>
  </si>
  <si>
    <t>RE-BD</t>
  </si>
  <si>
    <t>Basic Data</t>
  </si>
  <si>
    <t>SU cost collector: Performance problem with access via OBJNR</t>
  </si>
  <si>
    <t>FOOBJECTBROWSER: Dump MESSAGE_TYPE_X</t>
  </si>
  <si>
    <t>SD</t>
  </si>
  <si>
    <t>Sales and Distribution</t>
  </si>
  <si>
    <t>SD-BF</t>
  </si>
  <si>
    <t>SD-BF-CM</t>
  </si>
  <si>
    <t>SAP Credit Management: Incorrect delivery commitment for ite</t>
  </si>
  <si>
    <t>RG3164: Problem with resetting of payment document in differ</t>
  </si>
  <si>
    <t>XX-CSC-BR-FI</t>
  </si>
  <si>
    <t>Payment Files</t>
  </si>
  <si>
    <t>J_1BBR30: Reason code not passed during the post processing</t>
  </si>
  <si>
    <t>Balance Sheet for Tax Purposes(CL): Wrong GL account balance</t>
  </si>
  <si>
    <t>Short Dump after Integrating Cash Budgeting with EPIC</t>
  </si>
  <si>
    <t>ABC transaction detail dump by RFC security authorization</t>
  </si>
  <si>
    <t>Bank deposit journal selection criteria performs the incorre</t>
  </si>
  <si>
    <t>Bank receipt identify lock issue</t>
  </si>
  <si>
    <t>EPIC: Special GL indicator correction for outgoing bank rece</t>
  </si>
  <si>
    <t>Date Compliance Issue between EPIC and Cash Budgeting</t>
  </si>
  <si>
    <t>CN:Fix printer parameter issue for IDCNDOC</t>
  </si>
  <si>
    <t>CN:Fix IDCNDOC can't display 'Total Value' correctly issue</t>
  </si>
  <si>
    <t>CN:Fix period text determine error for IDCNACCTBLN</t>
  </si>
  <si>
    <t>CN:Fix Account Balnce drill down issue</t>
  </si>
  <si>
    <t>CN:Fix IDCNGRIR_GNB can't retrive material document for vend</t>
  </si>
  <si>
    <t>CN:Fix ZJF issue for account with 'Post Automatically Only'</t>
  </si>
  <si>
    <t>CN:Fix ODN skip issue for HR integration</t>
  </si>
  <si>
    <t>Instructions for DMEE Tree Creation of Golden Audit(China)</t>
  </si>
  <si>
    <t>RFIDCZ_VAT_DOC_DP: Addition of new Selection Screen Field fo</t>
  </si>
  <si>
    <t>Rep.Frwk. - Correction of Accessibility Issues</t>
  </si>
  <si>
    <t>Rep.Frwk. - ALV Tree Output</t>
  </si>
  <si>
    <t>Reporting Framework - Downport to EhP4</t>
  </si>
  <si>
    <t>Reporting Framework - Downport to EhP4 - Manual Activities</t>
  </si>
  <si>
    <t>Reporting Framework - Downport to ECC 600</t>
  </si>
  <si>
    <t>Rep.Frwk. - Data Element Change + FM Interface Change</t>
  </si>
  <si>
    <t>RFIDESM340/RFUMSV00:Vat On Cash(Corrections-3)</t>
  </si>
  <si>
    <t>RFIDESM340/RFUMSV00:Vat On Cash(Corrections-4)</t>
  </si>
  <si>
    <t>Vat on Cash Functionality for Spain:Setting DB-Specific prop</t>
  </si>
  <si>
    <t>FBCJ - RFCASH_HU_AVP - modified check for SAPF100 based val.</t>
  </si>
  <si>
    <t>RFIDHU_DSP : Limit Check and Invoice ID not functioning corr</t>
  </si>
  <si>
    <t>HU - Domestic Sales and Purchase List (RFIDHU_DSP) File Stru</t>
  </si>
  <si>
    <t>FINT: Mit welchem Kurs wurde der Festbetrag umgerechnet?</t>
  </si>
  <si>
    <t>Reverse charge VAT declaration for Hungary: Setting DB-Speci</t>
  </si>
  <si>
    <t>Rep.Frwk. - Save Selection Parameters</t>
  </si>
  <si>
    <t>ODN ID:New ODN issued when credit memo created w.r.t invoice</t>
  </si>
  <si>
    <t>PAN check is not working for the documents with 0 tax rate</t>
  </si>
  <si>
    <t>J1INUT: Utilization corrections</t>
  </si>
  <si>
    <t>FIWTIN_QRETURNS: FVU error 'Total Value of Purchase must be</t>
  </si>
  <si>
    <t>dummy note</t>
  </si>
  <si>
    <t>J1INUT does not consider the exemption amount</t>
  </si>
  <si>
    <t>J1INPR: Profit center is not getting filled while doing Prov</t>
  </si>
  <si>
    <t>RPFIWTIN_PROVISION_INFO : New report to find out the vendor</t>
  </si>
  <si>
    <t>J1INCCREP: Incorrect period summary</t>
  </si>
  <si>
    <t>J1INPR: If PO currency is other than INR then tax is not bei</t>
  </si>
  <si>
    <t>J1INUT: Documents are not picked</t>
  </si>
  <si>
    <t>FIWTIN_QRETURNS: Section code and certifiacte no is not popu</t>
  </si>
  <si>
    <t>Replacement of J1INQEFILE with FIWTIN_QRETURNS</t>
  </si>
  <si>
    <t>J1INUT: ABAP programming error</t>
  </si>
  <si>
    <t>TAN Based accumulation not working for automatic payment run</t>
  </si>
  <si>
    <t>FIWTIN_QRETURNS: Exemption certificate number length</t>
  </si>
  <si>
    <t>J1INUT: Amount rounding is incorrect</t>
  </si>
  <si>
    <t>DB table: Technical settings</t>
  </si>
  <si>
    <t>FIWTIN_QRETURNS: Section 194I is reported in form 26Q</t>
  </si>
  <si>
    <t>F-54: Extra documents are getting considered</t>
  </si>
  <si>
    <t>J1INUT: Reversal of correction note 1937091</t>
  </si>
  <si>
    <t>J1INUT : Wrong Tax amount is calculated at the time of utili</t>
  </si>
  <si>
    <t>J1INJV: Wrong line Item number is updated in WITH_ITEM table</t>
  </si>
  <si>
    <t>XX-CSC-IN-SD</t>
  </si>
  <si>
    <t>Sales &amp; Distrib</t>
  </si>
  <si>
    <t>Circular No. 978/2/2014-CX dated 07-01-2014: Edu. cess to be</t>
  </si>
  <si>
    <t>ODN IT:ODN not generated if more than 1 accounting document</t>
  </si>
  <si>
    <t>Italy Law 83: Removal of Fascimile block(F)</t>
  </si>
  <si>
    <t>ODN-IT: XBLNR_ALT field value not completely displayed (II)</t>
  </si>
  <si>
    <t>ODN IT: Performance issue while posting MM invoice due to  n</t>
  </si>
  <si>
    <t>RFKORDES:Issue with print immediatley option</t>
  </si>
  <si>
    <t>RFIDITVCL : Legal Change 2013  Additional Correction-6</t>
  </si>
  <si>
    <t>RFIDITBLIST: Italy Black List Declaration Additional Correct</t>
  </si>
  <si>
    <t>RFIDITVCL: Correction due to requirement of F1 help on scree</t>
  </si>
  <si>
    <t>Performance improvement in Invoice Summary Processing</t>
  </si>
  <si>
    <t>Invoice Summary Japan Print program not considering document</t>
  </si>
  <si>
    <t>Down payment settlement not correct in Monthly Invoice</t>
  </si>
  <si>
    <t>Invoice Summary related where-used-check before blocking of</t>
  </si>
  <si>
    <t>Korea Legal Change 2014:Approval Code in Amended Electronic</t>
  </si>
  <si>
    <t>Technical note. J_3RFVATMM. Usage Enablement for KZ</t>
  </si>
  <si>
    <t>LU: SAF-T Report Changes (3_F)</t>
  </si>
  <si>
    <t>RFCLLIB04_PE: Wrong period in Header</t>
  </si>
  <si>
    <t>EUVAT - Poland Legal Requirement for VAT corrections</t>
  </si>
  <si>
    <t>Cash on VAT Payment Receipts</t>
  </si>
  <si>
    <t>SAFT-PT: Corrections RSAFT_PT_XML for 2010 (74)</t>
  </si>
  <si>
    <t>RFUVPT00: VAT declaration error regarding foreign VAT codes</t>
  </si>
  <si>
    <t>RFIDPTFO: Dump while integrating the file of RFUVPT00</t>
  </si>
  <si>
    <t>RFUVPT00: Issue in case of Field 57, 58 and 59 in Annual VAT</t>
  </si>
  <si>
    <t>PT SAF-T: RPFIEU_SAFT : Wrong value for P&amp;L G/L account in S</t>
  </si>
  <si>
    <t>Portugal : Setting for DB-Specific properties for tables tha</t>
  </si>
  <si>
    <t>MAPAS(New) - Limits for column 16 of Map 32; Passing the con</t>
  </si>
  <si>
    <t>MAPAS(NEW) : FINA Asset category  not to be reported in the</t>
  </si>
  <si>
    <t>Mapas(New): Changes for xml generation for ABAT assets, colu</t>
  </si>
  <si>
    <t>XX-CSC-RAT</t>
  </si>
  <si>
    <t>VAT Pro Rata</t>
  </si>
  <si>
    <t>VAT Pro-Rata: Performance issue in Calculation Formula</t>
  </si>
  <si>
    <t>J3RTAXREP - $ROOT variable behavior</t>
  </si>
  <si>
    <t>OKTMO Search-helps problem</t>
  </si>
  <si>
    <t>J_3rfum26: Negative posting and batch input</t>
  </si>
  <si>
    <t>No-tax documents with multiple counterparty items</t>
  </si>
  <si>
    <t>J3RTAXREP - XSD parsing improvements</t>
  </si>
  <si>
    <t>Balance Notification: payment and inter-offsets in one docum</t>
  </si>
  <si>
    <t>J_3RF_RATE_CALC: rounding error for downpayments in local cu</t>
  </si>
  <si>
    <t>J_3RFUM26: Wrong amount for separate VAT transfer in partly</t>
  </si>
  <si>
    <t>LC RU XML form for financial statements</t>
  </si>
  <si>
    <t>J3RFKSLD, J3RDKSLD Incorrect amounts</t>
  </si>
  <si>
    <t>Deadlock error while changing J_3RKKR0 table</t>
  </si>
  <si>
    <t>Shifted fiscal year correction for J3RKKRD, J3RKOBS, J3RKOBX</t>
  </si>
  <si>
    <t>Data provider for Purchase Book, Sales Book, Journal - deliv</t>
  </si>
  <si>
    <t>Purchase Ledger: incoming invoice GTDs determination</t>
  </si>
  <si>
    <t>Authorization object check values</t>
  </si>
  <si>
    <t>Property Tax: Cadastral Value</t>
  </si>
  <si>
    <t>J3RFPCR: Show open items only</t>
  </si>
  <si>
    <t>Russian transport tax solution uses wrong number of months w</t>
  </si>
  <si>
    <t>Corrections of IMCD and Currency control</t>
  </si>
  <si>
    <t>Electronic Delivery and Acceptable Document Journal (Russia)</t>
  </si>
  <si>
    <t>RFUMSV50:Composite tax code with non-deductible part</t>
  </si>
  <si>
    <t>SVO: multiple corrections</t>
  </si>
  <si>
    <t>Issue with RunID external number in transaction code J3RSVAT</t>
  </si>
  <si>
    <t>Doc number and year in ledger might differ from entry view</t>
  </si>
  <si>
    <t>J_3RF_INV_TARG_PERIOD  : Short-Dump TSV_TNEW_BLOCKS_NO_ROLL_</t>
  </si>
  <si>
    <t>J_3RF_VAT_ANALYSIS: Clearing documents results on the balanc</t>
  </si>
  <si>
    <t>Form OS-14 is not printed for the objects with asset types =</t>
  </si>
  <si>
    <t>Sales/Purchase Ledger: down payments for tax-free and 0% inv</t>
  </si>
  <si>
    <t>Sales/Purchase Ledger: additional sheet per order 952</t>
  </si>
  <si>
    <t>Balance Notification: contracts with empty turnovers</t>
  </si>
  <si>
    <t>TORG-12: Online matching fixes</t>
  </si>
  <si>
    <t>Sales/Purchase Ledger: secondary events</t>
  </si>
  <si>
    <t>J_3RF_REGTORG: attachments are not added to journal records</t>
  </si>
  <si>
    <t>VAT invoice on Commission Trade: INN, KPP of Buyer</t>
  </si>
  <si>
    <t>Number Range Objects</t>
  </si>
  <si>
    <t>J_3RF_REGTORG: correction of XML files for Acts and IZVPOL</t>
  </si>
  <si>
    <t>Authorization Object Links</t>
  </si>
  <si>
    <t>J3RTAXREP - Repeatable nodes based on several tables</t>
  </si>
  <si>
    <t>Technical note: report J_3RF_TGXML_IAKT_FI, field 'GD_DATA_E</t>
  </si>
  <si>
    <t>INV-17 correction</t>
  </si>
  <si>
    <t>Transfer pricing. Incorrect unit of measure and quantity for</t>
  </si>
  <si>
    <t>Expensive Vehicles</t>
  </si>
  <si>
    <t>J_3RF_VAT_ANALYSIS: Missed target tax code for separate VAT</t>
  </si>
  <si>
    <t>J3RFPCR, J3RFPDE: process cleared items</t>
  </si>
  <si>
    <t>J_3RF_RATE_CALC: rounding error in SD invoices</t>
  </si>
  <si>
    <t>Cash Flow: technical corrections</t>
  </si>
  <si>
    <t>Technical SAP Note: changes in dropdown lists texts selectio</t>
  </si>
  <si>
    <t>Purchase Ledger: down payment information from Invoice Journ</t>
  </si>
  <si>
    <t>J_3RFVATMM (Customs Union): shot dump for KZ Import Claims X</t>
  </si>
  <si>
    <t>FIN_LOC_CI_42: VAT solution, Cash Flow, Stock Overview on HA</t>
  </si>
  <si>
    <t>Technical SAP Note. Changes on Delivery and Acceptance docum</t>
  </si>
  <si>
    <t>J_3RF_GLTOOL_PERFORM_SPLIT: material quantity is not split</t>
  </si>
  <si>
    <t>New Import Customs Declaration. Error fixing</t>
  </si>
  <si>
    <t>Import Customs Declaration. Technical corrections</t>
  </si>
  <si>
    <t>Sales/Purchase Ledger: original document for correction is n</t>
  </si>
  <si>
    <t>Transfer pricing. Error corrections. Performance improvement</t>
  </si>
  <si>
    <t>Transfer pricing. Error corrections. Dictionary objects, mes</t>
  </si>
  <si>
    <t>J_3RF_VAT_ANALYSIS: Empty VATDATE- tax reporting date field</t>
  </si>
  <si>
    <t>J_3RF_REGTORG. Program message is empty if there is no custo</t>
  </si>
  <si>
    <t>SVO/SPD (Currency Control): shot dump in case of empty VBLNR</t>
  </si>
  <si>
    <t>J_3RFCALD(K): multiple partial clearings are not processed</t>
  </si>
  <si>
    <t>Cash Flow on Hana</t>
  </si>
  <si>
    <t>E17 fixes</t>
  </si>
  <si>
    <t>KSA: Wage Protection System</t>
  </si>
  <si>
    <t>KSA - Withholding tax certificates for vendors (English / LT</t>
  </si>
  <si>
    <t>Correct the description for the enhancement implementation</t>
  </si>
  <si>
    <t>RPFISK_VATCNTRL Solution:DDIC Note</t>
  </si>
  <si>
    <t>Additional corrections to RPFISK_VATCNTRL:1.g</t>
  </si>
  <si>
    <t>Additional corrections to RPFISK_VATCNTRL:1.g (DDIC)</t>
  </si>
  <si>
    <t>Additional corrections to RPFISK_VATCNTRL:1.f</t>
  </si>
  <si>
    <t>In the From IDWTCERT_TH_2 Buddish calender year not displayi</t>
  </si>
  <si>
    <t>IDWTCERT_TH_1 form is incorrect in Thai language</t>
  </si>
  <si>
    <t>J_1HDTAX: Cancelled FI document is getting reported</t>
  </si>
  <si>
    <t>XX-CSC-TW</t>
  </si>
  <si>
    <t>Taiwan</t>
  </si>
  <si>
    <t>ODN not generated with BAPI(TW)</t>
  </si>
  <si>
    <t>XX-CSC-VE</t>
  </si>
  <si>
    <t>Venezuela</t>
  </si>
  <si>
    <t>VE:Use of prefixes for automatic official document numbering</t>
  </si>
  <si>
    <t>Forced updated for buffered identical items</t>
  </si>
  <si>
    <t>AP Sales Tax transferred to External Tax System</t>
  </si>
  <si>
    <t>Buffering of RFC calls for tax calculation per application s</t>
  </si>
  <si>
    <t>RFUTAX00 führt viele redundante Zugriffe für Stammdaten aus</t>
  </si>
  <si>
    <t>Missing Update of External Tax system after note 1966618</t>
  </si>
  <si>
    <t>FPIA: Cross-company clearing documents issue error message F</t>
  </si>
  <si>
    <t>XX-TRANSL-EN</t>
  </si>
  <si>
    <t>Translation EN</t>
  </si>
  <si>
    <t>Correction of translation of 'Evaluaton group  3', 'Conract</t>
  </si>
  <si>
    <t>SJ 027 for foreign key check of customer-specific coding blo</t>
  </si>
  <si>
    <t>SACF scenarios for RFC postings in FI</t>
  </si>
  <si>
    <t>SEPA: Missing address data from paying company code during p</t>
  </si>
  <si>
    <t>F5 102 or F5 104 during posting using BAPI with RFC</t>
  </si>
  <si>
    <t>Incorrect tax base when you post non-deductible distributabl</t>
  </si>
  <si>
    <t>Syntax error in FI_AUTH_CHECK_RFC</t>
  </si>
  <si>
    <t>ECS: No hard error when you post with invalid company code</t>
  </si>
  <si>
    <t>ECS: Partner company is not updated when mapping is active</t>
  </si>
  <si>
    <t>ECS: Problems in subsequent posting with BMV0</t>
  </si>
  <si>
    <t>Mapping the document reference for subsequent posting in ECS</t>
  </si>
  <si>
    <t>BC-UPG</t>
  </si>
  <si>
    <t>Upgrade - general</t>
  </si>
  <si>
    <t>BC-UPG-DTM</t>
  </si>
  <si>
    <t>Downtime Minimization</t>
  </si>
  <si>
    <t>BC-UPG-DTM-TLA</t>
  </si>
  <si>
    <t>Downtime Minim ABAP</t>
  </si>
  <si>
    <t>ZDM AIM Repository for SAP_FIN</t>
  </si>
  <si>
    <t>BW-BCT: Extraction with scaling of values</t>
  </si>
  <si>
    <t>BW-BCT: Performance during COSP/COSS extraction</t>
  </si>
  <si>
    <t>Objects and program changes for CO totals extraction in delt</t>
  </si>
  <si>
    <t>BW-BCT: Extraction of layered costs with object currency</t>
  </si>
  <si>
    <t>Extracting noted item</t>
  </si>
  <si>
    <t>0FI_TX_4: AWTYP &amp; AWKEY fields are not extracted</t>
  </si>
  <si>
    <t>0FI_AP_51 does not extract documents that have headers but n</t>
  </si>
  <si>
    <t>Valuated Amount in Local Currency Field is empty</t>
  </si>
  <si>
    <t>Program changes for (full) extraction of changed, reversed,</t>
  </si>
  <si>
    <t>0FI_GL_40: Field XBLNR_ALT is missing in extract structure F</t>
  </si>
  <si>
    <t>Termination UC_OBJECTS_NOT_CONVERTIBLE in GP_GLX_HDB_FAGLFLE</t>
  </si>
  <si>
    <t>DMEE: handling of aggregation nodes for incoming files</t>
  </si>
  <si>
    <t>FTW1A terminates with SAPSQL_ARRAY_INSERT_DUPREC dump</t>
  </si>
  <si>
    <t>.</t>
  </si>
  <si>
    <t>Vertical line in description text shifts columns in views</t>
  </si>
  <si>
    <t>FTW1A: Control total errors due to multiple company codes wi</t>
  </si>
  <si>
    <t>FTWN: Incorrect source extract displayed</t>
  </si>
  <si>
    <t>MDGF: Erweiterung Service Nachricht für Hauptbuchkonten</t>
  </si>
  <si>
    <t>CA-MDG-APP-ISS</t>
  </si>
  <si>
    <t>Internal Self-Servic</t>
  </si>
  <si>
    <t>Missing authority check in CA-MDG-APP-ISS</t>
  </si>
  <si>
    <t>COGM: Splitting in COGM environment</t>
  </si>
  <si>
    <t>Module K_COEJA_READ_SINGLES delivers initial segment or budg</t>
  </si>
  <si>
    <t>Error: No main item found in table CT_COEP_ITEMS</t>
  </si>
  <si>
    <t>Switchable authorization checks for RFC in CO-OM and CO-PA</t>
  </si>
  <si>
    <t>Enable central finance scenario for COGS split</t>
  </si>
  <si>
    <t>CRM transaction launcher: Link to cost center missing in bus</t>
  </si>
  <si>
    <t>CO-OM tools: Delete user-specific layouts</t>
  </si>
  <si>
    <t>Termination in transaction CJV4</t>
  </si>
  <si>
    <t>Buffering in function module K_ACTIVITY_PRICE_PREFETCH does</t>
  </si>
  <si>
    <t>CO-OM Tools: Transporting Customizing Tables</t>
  </si>
  <si>
    <t>CRM Transaction Launcher: Link to Document Number Missing in</t>
  </si>
  <si>
    <t>CO-OM Tools: Partitioning of Database Accesses</t>
  </si>
  <si>
    <t>CL_FCO_COSP_UPDATE: Verbuchung der Transaktionswährung ist e</t>
  </si>
  <si>
    <t>Input for order type print form: Error SRT720</t>
  </si>
  <si>
    <t>CPT1/2: Error during generation of templates after transport</t>
  </si>
  <si>
    <t>Template allocation: Deactivation of transport link</t>
  </si>
  <si>
    <t>Template allocation: Worklist is not transferred</t>
  </si>
  <si>
    <t>Template allocation: Incorrect posting line</t>
  </si>
  <si>
    <t>Template Allocation: Document Line Items without Amount</t>
  </si>
  <si>
    <t>Template allocation: Documents without sender rows</t>
  </si>
  <si>
    <t>KSPI: Manually entered price varies for average price</t>
  </si>
  <si>
    <t>Actual Price Calculation: Shortdump in update mode</t>
  </si>
  <si>
    <t>Error in function module K_SC_SPLIT_FIX_VARIABLE_BADI</t>
  </si>
  <si>
    <t>Actual Cost Splitting : Costs from all valuations are splitt</t>
  </si>
  <si>
    <t>KSII: Resetting ends with KI402 and KI101</t>
  </si>
  <si>
    <t>Cost Center Acctg</t>
  </si>
  <si>
    <t>KK04: Unable to save as variant</t>
  </si>
  <si>
    <t>Enhancement category for FCOMS_CR_ISR_CC is inconsistent</t>
  </si>
  <si>
    <t>BAPI_COSTCENTER_CREATEMULTIPLE: Causes inconsistent entries</t>
  </si>
  <si>
    <t>Planungsprozessor: Dump RAISE_EXCEPTION (PROGRAM_ERROR)</t>
  </si>
  <si>
    <t>Query falsely delivered</t>
  </si>
  <si>
    <t>New CO planning: BI objects incorrectly defined</t>
  </si>
  <si>
    <t>Message number range for CO renovation</t>
  </si>
  <si>
    <t>Value help for Hierarchie variables</t>
  </si>
  <si>
    <t>CO Planning for statistical key figures</t>
  </si>
  <si>
    <t>BAPI_COSTACTPLN_POSTPRIMCOST: dump BCD_FIELD_OVERFLOW</t>
  </si>
  <si>
    <t>CO-OM planning BAPI, KIPL function modules: "Controlling are</t>
  </si>
  <si>
    <t>KSPU - source code generation</t>
  </si>
  <si>
    <t>KB61/65: Selection by composite objects with orders does not</t>
  </si>
  <si>
    <t>DBM: Reposting similar to KB61 terminates with error BK162 f</t>
  </si>
  <si>
    <t>ALLOCATIONS: Runtime error MESSAGE_TYPE_X</t>
  </si>
  <si>
    <t>Allocations: Exception condition "NOT_FOUND" raised</t>
  </si>
  <si>
    <t>Allocations: Value date not taken into account</t>
  </si>
  <si>
    <t>ALLOCATIONS: Job log incorrect in batch - 2</t>
  </si>
  <si>
    <t>RKAZKSA8: Schedule Manager does not execute job/workflow</t>
  </si>
  <si>
    <t>ALLOCATION: No Functional Area Derivation</t>
  </si>
  <si>
    <t>ALLOCATION: Values incorrectly displayed during collective e</t>
  </si>
  <si>
    <t>Cycle overview: Error during switch to cycle maintenance for</t>
  </si>
  <si>
    <t>KSB5: Value Fields Missing in Layout with Parallel Valuation</t>
  </si>
  <si>
    <t>Customer Connect CO: Jump from line item report to CO docume</t>
  </si>
  <si>
    <t>KS13: system incorrectly provides generic object services at</t>
  </si>
  <si>
    <t>KI100 with stock transfer with nonvaluated stock</t>
  </si>
  <si>
    <t>Error message ERP_CO_OLC_E 20 for production odrer</t>
  </si>
  <si>
    <t>KSB1: Controlling access type of database selection</t>
  </si>
  <si>
    <t>Settlement history: Costs settled for assets under construct</t>
  </si>
  <si>
    <t>KAEP: Line item reporting with SAP HANA in the background</t>
  </si>
  <si>
    <t>Customer Connect CO: Selection of maximum number of hits for</t>
  </si>
  <si>
    <t>OLC: Performance problems with object selection for order re</t>
  </si>
  <si>
    <t>KAEP: Setting selection parameters</t>
  </si>
  <si>
    <t>Cost component split report: Texts of the cost component str</t>
  </si>
  <si>
    <t>CCSS report: No display of data for relevant order items</t>
  </si>
  <si>
    <t>KP34: Dump RAISE_EXCEPTION / FIELD_NOT_IN_DICTIONARY</t>
  </si>
  <si>
    <t>ZDM SOBJ_EXT entry for V_KONX</t>
  </si>
  <si>
    <t>Overhead rates: Credit object randomly derived incorrectly</t>
  </si>
  <si>
    <t>Settlement rule: Identical rule created automatically</t>
  </si>
  <si>
    <t>Own transaction group for travel expenses</t>
  </si>
  <si>
    <t>Error in reference of the availability control for projects</t>
  </si>
  <si>
    <t>Long Runtime with Commitment Carried Forward</t>
  </si>
  <si>
    <t>No correction of commitment data with RKANBU01</t>
  </si>
  <si>
    <t>RKANBU01: DUMP for saving a variant</t>
  </si>
  <si>
    <t>No revalutation with plan price</t>
  </si>
  <si>
    <t>Settlement for asset: zero balance w. multiple trans. types</t>
  </si>
  <si>
    <t>Settlement to asset and other receivers: AW751 during rev.</t>
  </si>
  <si>
    <t>Investment measure: AuC subnumber not deactivated</t>
  </si>
  <si>
    <t>Realtime overhead: Document not posted</t>
  </si>
  <si>
    <t>Settlement of production order for material with equivalence</t>
  </si>
  <si>
    <t>Settlement of an activity-assigned PM order: Credit to other</t>
  </si>
  <si>
    <t>Commitment overhead rates: Schedule Manager integration</t>
  </si>
  <si>
    <t>CK11N: Overheads not calculated</t>
  </si>
  <si>
    <t>Overhead rates: Exception error with mandatory functional ar</t>
  </si>
  <si>
    <t>KEAN: Overflow in program RKE_ANALYSE_COPA</t>
  </si>
  <si>
    <t>KEAI: KE/AD 006 Company code currency not activated for oper</t>
  </si>
  <si>
    <t>KE24 DBIF_RSQL_INVALID_RSQL</t>
  </si>
  <si>
    <t>RKEANA* obsolete</t>
  </si>
  <si>
    <t>ALLOCATION: COBK-PERBI incorrect during plan assessment</t>
  </si>
  <si>
    <t>TC05c - Generic ABAP Function Calls (CALL FUNCTION)</t>
  </si>
  <si>
    <t>KE28: Incomplete cancellation</t>
  </si>
  <si>
    <t>Incoming sales order from CRM reverses invoiced items</t>
  </si>
  <si>
    <t>KEAT: Performanceverbesserung</t>
  </si>
  <si>
    <t>KE4F: Profitability segment is not determined</t>
  </si>
  <si>
    <t>Incoming sales orders: Cleanup of table CEERROR III</t>
  </si>
  <si>
    <t>KE27: Duplicate revaluation for settlement reversal</t>
  </si>
  <si>
    <t>KEAI: Delta for MM documents</t>
  </si>
  <si>
    <t>Costing key control data not ready for input</t>
  </si>
  <si>
    <t>Setting up summarization level terminates with error KE 548</t>
  </si>
  <si>
    <t>Top-down (account-based): Line items missing for reversal us</t>
  </si>
  <si>
    <t>SEC-251: RFC Missing Auth. Check in CO-PC</t>
  </si>
  <si>
    <t>Rounding differences in KE27</t>
  </si>
  <si>
    <t>KE27: MLCCS201 although standard price cost component split</t>
  </si>
  <si>
    <t>Long runtime in buffer of material ledger period records and</t>
  </si>
  <si>
    <t>SAPRCKMV_WRITE_IDX performance</t>
  </si>
  <si>
    <t>BAdI method MODIFY_CONSUMPTION_GROUP does not delete movemen</t>
  </si>
  <si>
    <t>KON2: long runtime in the program SAPLCKMLMVCONNECT</t>
  </si>
  <si>
    <t>FCML_FILL: Switch from periodic- to transaction based-update</t>
  </si>
  <si>
    <t>Authority checks in Material Ledger Drilldown Reporting (2)</t>
  </si>
  <si>
    <t>Authority checks in Material Ledger Drilldown Reporting (3)</t>
  </si>
  <si>
    <t>FCML: Error during conversion with FCML_FILL and AVR</t>
  </si>
  <si>
    <t>Error MLCCS202 in multilevel material price determination</t>
  </si>
  <si>
    <t>FCML: Falsche Zugangsmenge für sonstigen Zugang</t>
  </si>
  <si>
    <t>Technical enhancement of table CKMLPP</t>
  </si>
  <si>
    <t>CO_ML_BEL: Incorrect statistics when you delete archiving ru</t>
  </si>
  <si>
    <t>CO88: Error F5 583 during order settlement</t>
  </si>
  <si>
    <t>MM01: Missing unit of measure in previous year</t>
  </si>
  <si>
    <t>CKMM: Stocks in transit cannot be converted</t>
  </si>
  <si>
    <t>MM01: incorrect unit of measure in previous year</t>
  </si>
  <si>
    <t>Unexplained price differences after termination of the itera</t>
  </si>
  <si>
    <t>COMPUTE_BCD_OVERFLOW during multilevel price determination</t>
  </si>
  <si>
    <t>KKBC_ORD: Target cost calculation for orders with items</t>
  </si>
  <si>
    <t>Termination  TSV_TNEW_PAGE_ALLOC_FAILED for CO summarization</t>
  </si>
  <si>
    <t>Inconsistent generation of RKKR* programs in CO summarizatio</t>
  </si>
  <si>
    <t>Long runtimes during sales order selection: RKKBSELL</t>
  </si>
  <si>
    <t>KKBC_HOE background processing - message SF 616</t>
  </si>
  <si>
    <t>RKKBALV1 - dump BCD_FIELD_OVERFLOW in form KEYFIGURES_MOVE_C</t>
  </si>
  <si>
    <t>KKBC: call of line items not possible - message KB420 (3)</t>
  </si>
  <si>
    <t>Customizing overhead: Overhead record not in check table</t>
  </si>
  <si>
    <t>sFIN: Splitting the price difference posting according to th</t>
  </si>
  <si>
    <t>CO-PC-OBJ-PER</t>
  </si>
  <si>
    <t>ProductCost byPeriod</t>
  </si>
  <si>
    <t>Product Cost Collector: Change documents missing for status</t>
  </si>
  <si>
    <t>Easy Cost Planning: Incorrect rounding</t>
  </si>
  <si>
    <t>Cost planning in network or maintenance order: Costs of prod</t>
  </si>
  <si>
    <t>Error message CK465 in parallel valuation view</t>
  </si>
  <si>
    <t>Incorrect total value in report header of transaction KKEC</t>
  </si>
  <si>
    <t>CO41: Notification C!006 in log of conversion inexplicable</t>
  </si>
  <si>
    <t>Easy Cost Planning: Changes from user exit not transferred</t>
  </si>
  <si>
    <t>CK40N: Analysis displays material price in wrong currency</t>
  </si>
  <si>
    <t>CK11N: No strategy specification for valuation with user exi</t>
  </si>
  <si>
    <t>EC-CS-CSF-A</t>
  </si>
  <si>
    <t>Master data</t>
  </si>
  <si>
    <t>Usage of S_TABU_NAM in EC-CS customizing</t>
  </si>
  <si>
    <t>EC-CS-CSF-F</t>
  </si>
  <si>
    <t>Delete EC-CS document type: Transport of dependent entries i</t>
  </si>
  <si>
    <t>Dump in Customizing Settings Check for Consolidation of Inve</t>
  </si>
  <si>
    <t>Bad performance of tranferring document to consolidation</t>
  </si>
  <si>
    <t>Slow document transfer from FI</t>
  </si>
  <si>
    <t>Runtime error in List of Journal Entries</t>
  </si>
  <si>
    <t>Error G0031 is displayed after expansion of detail in DD-rep</t>
  </si>
  <si>
    <t>Termination GETWA_NOT_ASSIGNED_RANGE during scrolling in the</t>
  </si>
  <si>
    <t>KH125 or KH263 during generation of reports or checking of t</t>
  </si>
  <si>
    <t>KE 541 termination during execution of the report RKE_REGENE</t>
  </si>
  <si>
    <t>KH299 SAVE_DATEN during saving of frozen data</t>
  </si>
  <si>
    <t>Unnecessary characters in the dialogue box</t>
  </si>
  <si>
    <t>Variable in Report Painter or planning layout cannot be dele</t>
  </si>
  <si>
    <t>KM 078 with transfer from unvaluated special stock</t>
  </si>
  <si>
    <t>MRKO: Poor performance during settlement</t>
  </si>
  <si>
    <t>KB11N/KB15N: Error if DUMMY profit center locked</t>
  </si>
  <si>
    <t>Incorrect reference year in parked documents</t>
  </si>
  <si>
    <t>9KE0: Currency translation of rounding differences</t>
  </si>
  <si>
    <t>MIR7: Error when saving as completed</t>
  </si>
  <si>
    <t>Doc line item and reference doc line item are different</t>
  </si>
  <si>
    <t>Exception missing</t>
  </si>
  <si>
    <t>Periodic transfer: Termination DYNPRO_SEND_IN_BACKGROUND dur</t>
  </si>
  <si>
    <t>1KEJ: Currency key is incorrectly displayed</t>
  </si>
  <si>
    <t>EC-PCA-BS</t>
  </si>
  <si>
    <t>Basic Settings</t>
  </si>
  <si>
    <t>COGM: Errors C+ 337 and C+ 304 when activating C&amp;V profile</t>
  </si>
  <si>
    <t>Incorrect display of PCA drilldown documents</t>
  </si>
  <si>
    <t>RCOPCA02 navigation using material number</t>
  </si>
  <si>
    <t>RCOPCA02: Navigation using cost centers</t>
  </si>
  <si>
    <t>6KEA: Old authorization object K_PCAR_REP is checked</t>
  </si>
  <si>
    <t>KE52/KE54: Check of assigned orders during profit center del</t>
  </si>
  <si>
    <t>BAPI_PROFITCENTER_CREATE/CHANGE: Missing check for validity</t>
  </si>
  <si>
    <t>KE54: Profit center is deleted even though user does not hav</t>
  </si>
  <si>
    <t>KE62 - Plan period not allowed - GLPL 722</t>
  </si>
  <si>
    <t>EC-PCA-TL</t>
  </si>
  <si>
    <t>Extras</t>
  </si>
  <si>
    <t>EC-PCA-TL-ALE</t>
  </si>
  <si>
    <t>Distribution (ALE)</t>
  </si>
  <si>
    <t>Decentralized ALE scenario and FI-CA</t>
  </si>
  <si>
    <t>EC-PCA-TP</t>
  </si>
  <si>
    <t>Transfer Prices</t>
  </si>
  <si>
    <t>Extended syntax checks in MPO_COST_CENTER_MONITOR</t>
  </si>
  <si>
    <t>S2I: Asset Activation Check report gives error AC500</t>
  </si>
  <si>
    <t>S2I: Button "addtional asset account assignment" does not wo</t>
  </si>
  <si>
    <t>S2I: Changes in simulated line items are not transferred</t>
  </si>
  <si>
    <t>ZDM: AIM Repository for SAP_FIN</t>
  </si>
  <si>
    <t>S2I: Short dump ASSERTION_FAILED during preparation of Asset</t>
  </si>
  <si>
    <t>Settlement of zero value for a completed asset</t>
  </si>
  <si>
    <t>S2I: Configure the basis area for a derived area with error</t>
  </si>
  <si>
    <t>ILM: Conversion of information table T093R in the ILM file c</t>
  </si>
  <si>
    <t>S2I: BAPI: Document reference fields are not filled</t>
  </si>
  <si>
    <t>S2I: Transaction type should no longer be used operatively</t>
  </si>
  <si>
    <t>S2I: "Show/hide areas" button should not be displayed in AIA</t>
  </si>
  <si>
    <t>BAPI: Dump if asset subnumber not set</t>
  </si>
  <si>
    <t>AS02 - Dump GETWA_NOT_ASSIGNED</t>
  </si>
  <si>
    <t>Error AC-496 or short dump SFIN_FI-004 when transferring tra</t>
  </si>
  <si>
    <t>CRM transaction starter: Link to asset missing in business c</t>
  </si>
  <si>
    <t>AS02: Vendor text is not saved</t>
  </si>
  <si>
    <t>Change organizational unit with posting: Dump SAPLAMOC</t>
  </si>
  <si>
    <t>Supplier name field displayed even though hidden in the sc</t>
  </si>
  <si>
    <t>Technical revision BOR BUS1022</t>
  </si>
  <si>
    <t>Investment support separate error message for current acquis</t>
  </si>
  <si>
    <t>Error AAPO 219 during down payment clearing</t>
  </si>
  <si>
    <t>RAPERB2000 Derived area not posted if constituent area missi</t>
  </si>
  <si>
    <t>Depreciation posting run: Information message instead of err</t>
  </si>
  <si>
    <t>RAPOST2000, RAPOST2001: Posting period selection: No results</t>
  </si>
  <si>
    <t>RAKOPL02: Unjustified warning KAFF152 in the log</t>
  </si>
  <si>
    <t>RAAUFW02: Depreciation not cleared - error in parallel area</t>
  </si>
  <si>
    <t>RAITAR01: Totals row even during execution over only one are</t>
  </si>
  <si>
    <t>RASIMU_ALV01: Book values for future years</t>
  </si>
  <si>
    <t>RABEWG_ALV01 - line break in header line</t>
  </si>
  <si>
    <t>Runtime error CONVT_NO_NUMBER in reporting</t>
  </si>
  <si>
    <t>S2I AW01N -  Display depreciation areas</t>
  </si>
  <si>
    <t>PEO: Country check performed too late</t>
  </si>
  <si>
    <t>Payment Program Terminates with a Dump after X399</t>
  </si>
  <si>
    <t>One-time document: Error when creating a SEPA mandate</t>
  </si>
  <si>
    <t>EnjoySAP: General document number is lost or not assigned</t>
  </si>
  <si>
    <t>EnjoySAP: Parked document cannot be displayed with FBV0 due</t>
  </si>
  <si>
    <t>MIRO: Supplying country from purchase order is not transferr</t>
  </si>
  <si>
    <t>FBL1N/FB03: Function code SPLIT missing in document overview</t>
  </si>
  <si>
    <t>UTR preparation (payment reference in G/L account lines)</t>
  </si>
  <si>
    <t>F110: Master data for branch missing</t>
  </si>
  <si>
    <t>F110: Credit memo with reference to invoice with supplement</t>
  </si>
  <si>
    <t>F110 SEPA sequence type RCUR although mandate usage deleted</t>
  </si>
  <si>
    <t>FBZ0 long response times for SEPA direct debits</t>
  </si>
  <si>
    <t>F110: Posting period not checked correctly</t>
  </si>
  <si>
    <t>F110 Posting checks missing for direct debit pre-notificatio</t>
  </si>
  <si>
    <t>F110/SEPA: Error during due date calculation</t>
  </si>
  <si>
    <t>FBZ0 - long response time due to international address versi</t>
  </si>
  <si>
    <t>FBZ0 Public Sector: Validity check for bank details</t>
  </si>
  <si>
    <t>Payment program terminates with a dump as of X399</t>
  </si>
  <si>
    <t>F110 GTS incorrect account type of the alternative payer</t>
  </si>
  <si>
    <t>F110/SEPA: Settlement despite invalid mandate in payment run</t>
  </si>
  <si>
    <t>Error message F0016 displayed while saving parameters, which</t>
  </si>
  <si>
    <t>F110/PRL: Incorrect house bank and performance improvements</t>
  </si>
  <si>
    <t>F110: Distribution amount is not taken into account correctl</t>
  </si>
  <si>
    <t>DMEE XML: CGI_XML_DD: BIC Swift Code, Batch Booking, Credito</t>
  </si>
  <si>
    <t>CGI_XML_CT: Spain Specific Additional Requirements</t>
  </si>
  <si>
    <t>Modifying note payee information in the report RFIDATEB00</t>
  </si>
  <si>
    <t>Poland Overdue Invoice Report : Scenario for Partial Payment</t>
  </si>
  <si>
    <t>RFFOPT_CBR : Wrong amount in the document</t>
  </si>
  <si>
    <t>RFFOJP_T: Bank to Bank Transfer through Payment Request - Ad</t>
  </si>
  <si>
    <t>SAFT PT Corrections for payment section 4.4</t>
  </si>
  <si>
    <t>RFEBBECODA00: Issue in decimals for Foreign amount currency</t>
  </si>
  <si>
    <t>RFFOPL_OVRDUE_INV : Runtime error while executing the Poland</t>
  </si>
  <si>
    <t>Pain .002 house bank details missing</t>
  </si>
  <si>
    <t>RFFOJP_T: Error scheduling multiple jobs in F110 - Enhanceme</t>
  </si>
  <si>
    <t>Interface note: Deletion of personal data in Central Bank Re</t>
  </si>
  <si>
    <t>Pain.002 : Updating statement number</t>
  </si>
  <si>
    <t>Delete entries from FIPYXXD_INSTMT</t>
  </si>
  <si>
    <t>PT SAF-T : RPFIEU_SAFT : Payment section 4.4 corrections (1)</t>
  </si>
  <si>
    <t>DMEE ACB_ZA: The User Id field in the format paramter FPM_ZA</t>
  </si>
  <si>
    <t>CGI_XML_CT: Italy Specific Enhancements in CGI Credit Transf</t>
  </si>
  <si>
    <t>Changes for function modules in function group DME_CGI</t>
  </si>
  <si>
    <t>CGI_XML_CT: Enhancements for APAC</t>
  </si>
  <si>
    <t>ATC check in CBR report - For All Entries</t>
  </si>
  <si>
    <t>DMEE V3 - Date not picked up from Format Paramters</t>
  </si>
  <si>
    <t>RFEBBECODA00: Symbol replace impossible issue occurs</t>
  </si>
  <si>
    <t>RFFOHK_A: The employee bank account number not coming in the</t>
  </si>
  <si>
    <t>PT SAF-T : RPFIEU_SAFT : Payments section 4.4 – Correction o</t>
  </si>
  <si>
    <t>PL: RFFOPL_OVRDUE_INV</t>
  </si>
  <si>
    <t>BE_BEPDTA_FOR Duplicate Records</t>
  </si>
  <si>
    <t>RFID_BR_VENDOP: No authorization to execute Tcode</t>
  </si>
  <si>
    <t>SAPF010: List header incomplete</t>
  </si>
  <si>
    <t>SAPF010: Wrong status display in Schedule Manager (SCMA)</t>
  </si>
  <si>
    <t>FI-AP-AP-H</t>
  </si>
  <si>
    <t>Batch input session terminates in transaction FBWD "Returned</t>
  </si>
  <si>
    <t>FBWD: No bill of exchange liability accounts found for selec</t>
  </si>
  <si>
    <t>Completion of clearing function via accounting interface (6)</t>
  </si>
  <si>
    <t>Dump COLLECT_OVERFLOW_TYPE_P when posting down payment clear</t>
  </si>
  <si>
    <t>Completion of clearing function via accounting interface (8)</t>
  </si>
  <si>
    <t>MIRO: Error message F5080 during posting with freight lines</t>
  </si>
  <si>
    <t>Incorrect update VBUND when parking using RWIN</t>
  </si>
  <si>
    <t>GLT2 201 when posting goods receipt with down payment cleari</t>
  </si>
  <si>
    <t>Document splitting in FI according to SAP Notes 1497092 and</t>
  </si>
  <si>
    <t>XNEGP incorrect with reversal posting of an incoming invoice</t>
  </si>
  <si>
    <t>Tax base not set in accordance with the tax code for reverse</t>
  </si>
  <si>
    <t>RFKKVZ00, RFDKVZ00: Incomplete address data displayed</t>
  </si>
  <si>
    <t>Extended IBAN Maintenance in Financial Accounting</t>
  </si>
  <si>
    <t>RFKKVZ00/RFDKVZ00: Closing line missing II</t>
  </si>
  <si>
    <t>Wtax amnt rounding problem with 2nd local currency</t>
  </si>
  <si>
    <t>F110: Performance Issue</t>
  </si>
  <si>
    <t>Wtax amnt in document curr and 2nd Local curr is different</t>
  </si>
  <si>
    <t>Old document not deleted in with_item with fiscal yr change</t>
  </si>
  <si>
    <t>Classic Wtax: Incorrect wtax amount display</t>
  </si>
  <si>
    <t>Certificate Issue Date is initial  for payment time wtax typ</t>
  </si>
  <si>
    <t>Passing the value of the field PARXVORL to wtax during F110</t>
  </si>
  <si>
    <t>RFWT0020: Lock overflow</t>
  </si>
  <si>
    <t>BADI method for payment proposal</t>
  </si>
  <si>
    <t>WT_STAT filled incorrectly when a document is parked usign B</t>
  </si>
  <si>
    <t>Correction of note 1776690</t>
  </si>
  <si>
    <t>BKPF-BSTAT value is not known in withholding tax module duri</t>
  </si>
  <si>
    <t>Addition of new field in QSTRE/QSTRE_BF.</t>
  </si>
  <si>
    <t>RFKQST00: Incorrect Official withholding tax key in form out</t>
  </si>
  <si>
    <t>RFIDYYWT: Incorrect company code address and translations fo</t>
  </si>
  <si>
    <t>Colombia: Limit on deductions</t>
  </si>
  <si>
    <t>RFKQST00 - Exempted amount is getting filled for every vendo</t>
  </si>
  <si>
    <t>RFIDYYWT- Wrong amounts are getting reported in file output</t>
  </si>
  <si>
    <t>RFIDYYWT-France BOE documents getting wrong tax base amount</t>
  </si>
  <si>
    <t>WHT tax base amount correction for gross-up cenarios</t>
  </si>
  <si>
    <t>RF0KQST5: Modello 770 LC 2014</t>
  </si>
  <si>
    <t>RFIDYYWT: BOE Partial payment for France</t>
  </si>
  <si>
    <t>DB table: Technical settings modification</t>
  </si>
  <si>
    <t>RFIDYYWT-Filtering document type through selection screen</t>
  </si>
  <si>
    <t>RF0KQST5: Position 20 in Modello 770 file is not validated p</t>
  </si>
  <si>
    <t>RFPKDB00: Amounts displayed incorrectly</t>
  </si>
  <si>
    <t>FBV0: Message 00 349 for the field BSEG-SKNTO</t>
  </si>
  <si>
    <t>FBV4: Duplicate entries in FDFIEP</t>
  </si>
  <si>
    <t>FI-AP-IS</t>
  </si>
  <si>
    <t>FBL1N: Report-Report Interface</t>
  </si>
  <si>
    <t>Identification of bank details for SEPA mandates</t>
  </si>
  <si>
    <t>Switchable authorization checks for RFC in FI, FI-AP-AP, FI-</t>
  </si>
  <si>
    <t>Output of the message F5 216: Calculated rate deviates from</t>
  </si>
  <si>
    <t>FINT: Error message MSINT446 or RW014</t>
  </si>
  <si>
    <t>F150: Dunning by e-mail with CC and BCC</t>
  </si>
  <si>
    <t>F150: Accounting clerk in different language to form in CPD</t>
  </si>
  <si>
    <t>FINT: Termination MSINT401 in CHECK_AUTHORITY</t>
  </si>
  <si>
    <t>FINT: Fixed amounts for residual items for archived invoices</t>
  </si>
  <si>
    <t>Fixed amount for interest is incorrect</t>
  </si>
  <si>
    <t>FI-AR-AR-E</t>
  </si>
  <si>
    <t>FI_ACCRECV: STXH and STXL entries for KNKK are not archived</t>
  </si>
  <si>
    <t>Correspondence letter without company code (BUKRS)</t>
  </si>
  <si>
    <t>Error as a result of printing from the preview</t>
  </si>
  <si>
    <t>FI correspondence: Spool number 0</t>
  </si>
  <si>
    <t>FBWE: Creating new files with the PMW for Spain</t>
  </si>
  <si>
    <t>Incorrect DME file creation for bill of exchange presentatio</t>
  </si>
  <si>
    <t>F110/SEPA: Mandate check for incoming bills of exchange</t>
  </si>
  <si>
    <t>Unnecessary split of FI documents for posting from SD or MM-</t>
  </si>
  <si>
    <t>F5 842 or F5 703 when transferring an SD billing document wi</t>
  </si>
  <si>
    <t>Preventing the split according to SAP Notes 1353125 and 1670</t>
  </si>
  <si>
    <t>Completion of clearing function via accounting interface (9)</t>
  </si>
  <si>
    <t>Document split in FI when posting an outbound invoice with p</t>
  </si>
  <si>
    <t>External tax system is not called when posting an SD billing</t>
  </si>
  <si>
    <t>Reading company code 0000 with function module READ_KNB1</t>
  </si>
  <si>
    <t>Returns of the bank:  The mandate usage is not deleted.</t>
  </si>
  <si>
    <t>Incomplete mandate check</t>
  </si>
  <si>
    <t>RFKKVZ00/RFDKVZ00: Closing line missing</t>
  </si>
  <si>
    <t>RFDKVZ00 displays no mandate information</t>
  </si>
  <si>
    <t>Change documents: Dump GETWA_NOT_ASSIGNED_RANGE</t>
  </si>
  <si>
    <t>Error 7Q 320 for Cross company code customer down payments</t>
  </si>
  <si>
    <t>Withholding tax certificate number not generated for custome</t>
  </si>
  <si>
    <t>RFDKLI43: Incorrect DSO calculation (France)</t>
  </si>
  <si>
    <t>RFCMCRCV: A/R summary Idocs stay in status 30</t>
  </si>
  <si>
    <t>FD24: User parameter BUK is deleted</t>
  </si>
  <si>
    <t>FBL5N: Report Interface</t>
  </si>
  <si>
    <t>FEB_FILE_HANDLING house bank account not recognized</t>
  </si>
  <si>
    <t>Bank statement: Posting rule not filled</t>
  </si>
  <si>
    <t>Bank statement for HR checks in 2-system scenario</t>
  </si>
  <si>
    <t>FF.5: Error message FB757 displayed during import of a DME f</t>
  </si>
  <si>
    <t>RFEKA400: Message FB759 issued without account number</t>
  </si>
  <si>
    <t>FF67: Error message OK522 when saving layout</t>
  </si>
  <si>
    <t>Directory traversal in FI-BL-PT-BA</t>
  </si>
  <si>
    <t>FBCJ: Saving takes place despite message KM 409</t>
  </si>
  <si>
    <t>FBCJ: F5A409 incorrect for down payments without tax on sale</t>
  </si>
  <si>
    <t>FBCJ: Reversal in cash journal possible despite block on doc</t>
  </si>
  <si>
    <t>FBCJ: Receipt printout does not work after upgrade</t>
  </si>
  <si>
    <t>FBCJ: Error after check deposit with check lot</t>
  </si>
  <si>
    <t>FBCJ: BAPI_CASHJOURNALDOC_CREATE returns error FCJ 019 when</t>
  </si>
  <si>
    <t>FBCJ: Termination KE499 - missing CO-PA segment</t>
  </si>
  <si>
    <t>FBCJ: Expenditure/reversal not possible despite adequate bal</t>
  </si>
  <si>
    <t>FBCJ: Exchange rate is deleted if substitution is active</t>
  </si>
  <si>
    <t>FBCJ: Subsequent document missing after check deposit</t>
  </si>
  <si>
    <t>PMW: Lack of memory in XML, limit number of payments per fil</t>
  </si>
  <si>
    <t>PMW-format depending on house bank and company code / messag</t>
  </si>
  <si>
    <t>FBZ5: Termination with BFIBL02 155</t>
  </si>
  <si>
    <t>Check display: Database optimization for accompanying docume</t>
  </si>
  <si>
    <t>SAPFPAYM: No parallel scheduling of PMW groups possible</t>
  </si>
  <si>
    <t>Amendment: Change to vendor name with no change to vendor ID</t>
  </si>
  <si>
    <t>FDTA: Unnecessary check of file name for download to front e</t>
  </si>
  <si>
    <t>XML formats: Encoding=UTF-16, adjustment for FI-CA, without</t>
  </si>
  <si>
    <t>Payment advice printing with PDF: incorrect spool ID</t>
  </si>
  <si>
    <t>PMW file with type FTA: Receiver BIC in the prefix is incorr</t>
  </si>
  <si>
    <t>A character is missing in XML file</t>
  </si>
  <si>
    <t>Payment advice notes: Text module for e-mail in single langu</t>
  </si>
  <si>
    <t>PMW: Maximum number in transaction OBPM3</t>
  </si>
  <si>
    <t>Dump in FI_PAYM_FILE_WRITE with DATASET_NOT_OPEN</t>
  </si>
  <si>
    <t>Different PMW format in view cluster VC_T042ZA_FORMAT: Forma</t>
  </si>
  <si>
    <t>F111: Termination PZ464</t>
  </si>
  <si>
    <t>Selection for maximum number of hits 0</t>
  </si>
  <si>
    <t>Check of payment reference (KIDNO)</t>
  </si>
  <si>
    <t>FIBLFFP: State central bank indicator not transferred to G/L</t>
  </si>
  <si>
    <t>FCH8:Unable to undo Remit Acknowldgmt for HR check</t>
  </si>
  <si>
    <t>ACH/IAT : RFFOUS_T source code corrections missing for EhP r</t>
  </si>
  <si>
    <t>Switchable authorization checks for RFC in FI-FM and PSM-FM</t>
  </si>
  <si>
    <t>FSS0/FD03/FK03/KE53: Start in new task</t>
  </si>
  <si>
    <t>RGURECGLFLEX: Quantity in General Ledger View not updated fo</t>
  </si>
  <si>
    <t>Poor performance of BAPIs BAPI_COMPANYCODE_*</t>
  </si>
  <si>
    <t>Termination RAISE_EXCEPTION with exception "WRONG_BUKRS" in</t>
  </si>
  <si>
    <t>FB00: "P.adv" tab page text instead of Chinese</t>
  </si>
  <si>
    <t>SAPF180A: DBSQL_DUPLICATE_KEY_ERROR for INSERT in table RF04</t>
  </si>
  <si>
    <t>SAPF181: Reactivation of assets with investment order</t>
  </si>
  <si>
    <t>ALE overwrites Field MCA Key with SPACE</t>
  </si>
  <si>
    <t>GMCA_PLL: Runtime error for excessively large amounts</t>
  </si>
  <si>
    <t>P&amp;L processes - unexpected error messages for collective run</t>
  </si>
  <si>
    <t>FBMCA01A: Layout is not set correctly</t>
  </si>
  <si>
    <t>FBMCA01A: Posting possible with trading partner</t>
  </si>
  <si>
    <t>GMCA_FXV: Screen validations with initial company code</t>
  </si>
  <si>
    <t>GMCA_IFX: Error GLE_MCA492 for customers/vendors</t>
  </si>
  <si>
    <t>MCA Journal raises "No active nametab for CI_COBL"</t>
  </si>
  <si>
    <t>Item category "!!" in line items in General Ledger Accountin</t>
  </si>
  <si>
    <t>Error FAGL_LEDGER_CUST170 for the view V_FAGL_TRGT_LDGR</t>
  </si>
  <si>
    <t>General Ledger Accounting (new) - Assigning scenario to ledg</t>
  </si>
  <si>
    <t>Message GU167 when displaying document header in transaction</t>
  </si>
  <si>
    <t>Negative posting: Incorrect period in case of ledger-specifi</t>
  </si>
  <si>
    <t>FI-GL (new) trace: Documents in zero period cannot be read</t>
  </si>
  <si>
    <t>FI-GL (new) trace: Documents in zero period cannot be read (</t>
  </si>
  <si>
    <t>Performance problems because of SELECTs on object table</t>
  </si>
  <si>
    <t>FAGL_EHP4_T001B_COFI : F1 help for authorization group</t>
  </si>
  <si>
    <t>Switching the leading ledger: Incorrect status of switch pro</t>
  </si>
  <si>
    <t>FB03: Cannot call HR posting document from document line ite</t>
  </si>
  <si>
    <t>Cross-company-code recurring entries: amounts in local curre</t>
  </si>
  <si>
    <t>ENJOY: GRICD, GRIRG, and GITYP in screen variants</t>
  </si>
  <si>
    <t>SAPF080R: List output with truncated lines</t>
  </si>
  <si>
    <t>F-20 runtime error BALANCE_CCODE</t>
  </si>
  <si>
    <t>Field status control: Setting for "Bank reference" does not</t>
  </si>
  <si>
    <t>FB01: STCEG deleted if alternative payer is copied</t>
  </si>
  <si>
    <t>FI: input field BSEU-VOZEI in wrong line</t>
  </si>
  <si>
    <t>FB03: Text fields in header screen are not translated</t>
  </si>
  <si>
    <t>FI:Aktivität Berechtigungsprüfung CHECK_AUTH_PRCTR</t>
  </si>
  <si>
    <t>ENJOY: Unwanted error message (F5A 374) when using account a</t>
  </si>
  <si>
    <t>FBU3/ALV grid control: Transaction currency is incorrectly d</t>
  </si>
  <si>
    <t>FI: BAdI FI_RES_ITEM_CURRENCY in posting transactions</t>
  </si>
  <si>
    <t>Reversing a reversal document for a balance carryforward pos</t>
  </si>
  <si>
    <t>RFSZIS00. RFDZIS00, RFKZIS00: Incorrect indicator for negati</t>
  </si>
  <si>
    <t>FI-GL-GL-CUR</t>
  </si>
  <si>
    <t>Market Data Exchange</t>
  </si>
  <si>
    <t>Error GLE_AL_BA1_F4_MSG 001 ("Exchange rate type M not mappe</t>
  </si>
  <si>
    <t>FAGLL03: Removing maximum limit for the custom selections</t>
  </si>
  <si>
    <t>FAGLL03: Special fields not filled for archived items (2)</t>
  </si>
  <si>
    <t>Line items: Message F4 308 in case of external call</t>
  </si>
  <si>
    <t>FAGLL03: Error message "No account fulfils the selection con</t>
  </si>
  <si>
    <t>Line items: List position lost for mass change</t>
  </si>
  <si>
    <t>Archiving Check is incorrect at the time of Document reset</t>
  </si>
  <si>
    <t>FI_DOCUMNT: Period version is not defined message is thrown</t>
  </si>
  <si>
    <t>Billing document transfer:  Existence of an active tax code</t>
  </si>
  <si>
    <t>Determination of tax base for direct tax - rounding problems</t>
  </si>
  <si>
    <t>RFUMSV25: Additional transfer for retention amounts</t>
  </si>
  <si>
    <t>NDDI tax - input values in local currency not retained for t</t>
  </si>
  <si>
    <t>Posting via BAPI to tax account without tax code</t>
  </si>
  <si>
    <t>RFUMSV25: Reverse charge and payment with several cash disco</t>
  </si>
  <si>
    <t>Manual tax base is not posted for line-by-line tax</t>
  </si>
  <si>
    <t>Wrong BSEG-TXGRP in downpayment created as clearing of other</t>
  </si>
  <si>
    <t>RFUMSV10: Error message F7224 for COFI line item</t>
  </si>
  <si>
    <t>FB60: Incorrect cash discount base/FF754 ("Document also con</t>
  </si>
  <si>
    <t>Error FF 747 if tax base is changed on tax tab</t>
  </si>
  <si>
    <t>Incorrect authorization check for transaction FBTR</t>
  </si>
  <si>
    <t>FOTV: Dump when sending ELSTER UVA for Germany</t>
  </si>
  <si>
    <t>FOTV: Convert status after termination of ELSTER tax return</t>
  </si>
  <si>
    <t>RFUMSV00: Incomplete update of table BSET</t>
  </si>
  <si>
    <t>RF_STEUERINFO: Tax group version is missing</t>
  </si>
  <si>
    <t>RFIDITSR00(BE): Vendor Credit memo displayed with oppsite si</t>
  </si>
  <si>
    <t>FOTV:Assign same rule to multiple Tax Boxes for UK EVAT</t>
  </si>
  <si>
    <t>RFIDITSR12: Multiple Issues in CBR Austria</t>
  </si>
  <si>
    <t>New Zealand Business Number in Company Code - Master Data.</t>
  </si>
  <si>
    <t>LU: SAF-T Report Changes (4_L)</t>
  </si>
  <si>
    <t>RFUMSV00(ID) : Cancellation documents were not reported in l</t>
  </si>
  <si>
    <t>RFUMSV50: Down payment clearing with target tax code</t>
  </si>
  <si>
    <t>RPFIEU_SAFT : SAF-T Framework Corrections (10_F)</t>
  </si>
  <si>
    <t>RPFILUCBR : Documents posted through MR11 transaction are no</t>
  </si>
  <si>
    <t>RPFICHSNB : Issue while retrieving data from table IDITSR_DO</t>
  </si>
  <si>
    <t>RFUMSV50: Dump FB05 clearing down payment and down payment r</t>
  </si>
  <si>
    <t>RPFIEU_SAFT : SAF-T Framework Corrections (11_F)</t>
  </si>
  <si>
    <t>RPFIEU_SAFT : SAF-T Framework Corrections (12_F)</t>
  </si>
  <si>
    <t>RFUMSV50: Partial clearing of many invoices with Open bank a</t>
  </si>
  <si>
    <t>RPFICHSNB:Incorrect documents in SAP List Output</t>
  </si>
  <si>
    <t>RFBUST10: Manual Tax Posting</t>
  </si>
  <si>
    <t>RPFIEU_SAFT : SAF-T Framework Corrections (13_F)</t>
  </si>
  <si>
    <t>VAT Refund Austria : Translation Issue</t>
  </si>
  <si>
    <t>RFIDATAFS: Report Title text missing</t>
  </si>
  <si>
    <t>RFIDITSR00 (FR) : Issue with document selection</t>
  </si>
  <si>
    <t>RFUMSV00(ID): Performance issue</t>
  </si>
  <si>
    <t>LU: SAF-T Report Changes (5_L)</t>
  </si>
  <si>
    <t>RFUMSV50: Posting tax transfer documents via FB01 support</t>
  </si>
  <si>
    <t>RFUMSV50: Partial payment scenario dose not work after note</t>
  </si>
  <si>
    <t>RPFICHSNB : Reporting of surveys with version 1.3</t>
  </si>
  <si>
    <t>RPFIEU_SAFT : Truncated Supplier ID in master data section.</t>
  </si>
  <si>
    <t>RFASLD12: Selection screen text</t>
  </si>
  <si>
    <t>Luxembourg eVAT: Issue in the XML file with the Box ID 425.</t>
  </si>
  <si>
    <t>FAGL_FC_VALUATION: Display of amount with wrong sign</t>
  </si>
  <si>
    <t>F107: Authorization check missing</t>
  </si>
  <si>
    <t>FAGL_FC_VALUATION: RXD gain/loss account in RXD adjustments</t>
  </si>
  <si>
    <t>RFAWVZ40N: Reporting for foreign plants from second/third lo</t>
  </si>
  <si>
    <t>FAGL_FCV: Laufzeitfehler CREATE_DATA_UNKNOWN_TYPE</t>
  </si>
  <si>
    <t>FAGL_FCV: RXD adjustment - Amount calculation and gain/loss</t>
  </si>
  <si>
    <t>FAGL_FC_TRANS: Long runtimes during update run</t>
  </si>
  <si>
    <t>FAGLF101: System uses same difference for calculation of two</t>
  </si>
  <si>
    <t>RFHABU00/RFHABU00N: General Ledger View</t>
  </si>
  <si>
    <t>FAGL_FCV: Error FGV002 in balance valuation</t>
  </si>
  <si>
    <t>FAGL_FCV: Additional V_FAGL_FCBAL characteristics are not ta</t>
  </si>
  <si>
    <t>FAGL_FCV: Customer/vendor open items with transaction curren</t>
  </si>
  <si>
    <t>FAGL_YEC_POSTINGS_EHP4: Opening posting added to BCF amount.</t>
  </si>
  <si>
    <t>Transaction FAGLGVTR (balance carryforward NewGL) processed</t>
  </si>
  <si>
    <t>FAGL_FCV: Display of stored posting list with runtime error</t>
  </si>
  <si>
    <t>RFAWVZ40N: Local currency types for EUR reporting amounts</t>
  </si>
  <si>
    <t>FAGL_YEC_POSTINGS_EHP4: Error in calculation of ending balan</t>
  </si>
  <si>
    <t>FAGL_FCV: No display of business area in item list</t>
  </si>
  <si>
    <t>FAGL_FC_VAL/FAGL_FCV: Error KI 280 for cost element</t>
  </si>
  <si>
    <t>ALE rollup: Export ledger is updated but no IDOC is created</t>
  </si>
  <si>
    <t>F107, Methode 3: fehlende Übersetzungen in der Listanzeige b</t>
  </si>
  <si>
    <t>RFBIBL00: Transfer of BBSEG-TXJCD</t>
  </si>
  <si>
    <t>Error in tax items with FI_DOC_TO_ACC_TRANSFORM</t>
  </si>
  <si>
    <t>BAPI: posting possible in closed fiscal year or closed perio</t>
  </si>
  <si>
    <t>AAPO 008 when reversing an asset document in AB08 or FB08</t>
  </si>
  <si>
    <t>FAGLAL3: Runtime error OBJECT_NOT_STRUCTURED</t>
  </si>
  <si>
    <t>FAGLDT01 (FI ALE line item transfer in new general ledger):</t>
  </si>
  <si>
    <t>FAGLDT01: No link between IDoc and document</t>
  </si>
  <si>
    <t>FAGLDT01, FIDCC1/2: Check KTOSL in tax item</t>
  </si>
  <si>
    <t>DYNPRO_MSG_IN_HELP in FS00</t>
  </si>
  <si>
    <t>FSP0: Account with ledger group-specific clearings can be co</t>
  </si>
  <si>
    <t>FAGLCOFITRNSFRCODOCS - Errorneous docs into worklist</t>
  </si>
  <si>
    <t>Fast entry in FBV1: No copying of segment text</t>
  </si>
  <si>
    <t>FBV2/FBV3: Document displayed despite lack of segment author</t>
  </si>
  <si>
    <t>FBV1/batch input: Validation message leads to problems (II)</t>
  </si>
  <si>
    <t>Fast entry in FBV1: Problems copying tax code</t>
  </si>
  <si>
    <t>FBV3: Display terminates with message C6018</t>
  </si>
  <si>
    <t>Financial Statements: ALV Tree: Expand all FS items</t>
  </si>
  <si>
    <t>RFAUDI30: Table ATPRA</t>
  </si>
  <si>
    <t>RFBNUM00N: Archived Documents Not Considered</t>
  </si>
  <si>
    <t>Line Item Browsers: Several issues</t>
  </si>
  <si>
    <t>Electronic financial statement - runtime error GETWA_NOT_ASS</t>
  </si>
  <si>
    <t>Incorrect call of drilldown report with hierarchy through th</t>
  </si>
  <si>
    <t>RFEPOJ00, RFDKLIAB, RF*ABL00: BCD_FIELD_OVERFLOW runtime err</t>
  </si>
  <si>
    <t>Generation error after you implement SAP Note 1995820</t>
  </si>
  <si>
    <t>Drilldown reporting or RFBILA00: Unjustified error message G</t>
  </si>
  <si>
    <t>PRCTR: Payables for purchase orders</t>
  </si>
  <si>
    <t>Change of an assignment possible even though the reorg. plan</t>
  </si>
  <si>
    <t>Derivation of the profit center from the cost center after r</t>
  </si>
  <si>
    <t>ASSERTION_FAILED during object generation III.</t>
  </si>
  <si>
    <t>PRCTR/SEG: Generate AP/AR - recognition of rounding differen</t>
  </si>
  <si>
    <t>PRCTR/SEG: AP/AR reassignment - reading of split information</t>
  </si>
  <si>
    <t>PRCTR/SEG: Generating clearing documents</t>
  </si>
  <si>
    <t>PRCTR/SEG: FAGL_REORGANIZATION 566 (XXI)</t>
  </si>
  <si>
    <t>Error GR355 when you call reporting</t>
  </si>
  <si>
    <t>RGRWSUBMIT cannot be executed with variant</t>
  </si>
  <si>
    <t>RW: Extract saved although no authority</t>
  </si>
  <si>
    <t>RW:The option 'Format figures' is unchecked in GRE0</t>
  </si>
  <si>
    <t>RW: Timeout when calling a receiver report</t>
  </si>
  <si>
    <t>Liquidity Actuals Reporting using Report Writer</t>
  </si>
  <si>
    <t>RW: Restriction of office Integration for webgui</t>
  </si>
  <si>
    <t>Report Group documentation not visible when translation does</t>
  </si>
  <si>
    <t>RW : An entry for table T804C was delivered in customer name</t>
  </si>
  <si>
    <t>GD23: Documents with zero amount not displayed</t>
  </si>
  <si>
    <t>RGUREC10: Termination DYNPRO_SEND_IN_BACKGROUND when used in</t>
  </si>
  <si>
    <t>FAGLGP52N - copy to different target periods</t>
  </si>
  <si>
    <t>FI-SL: Update of FI transaction currency and CO quantity upd</t>
  </si>
  <si>
    <t>Notification of new bills for payer</t>
  </si>
  <si>
    <t>Due date not being used while fetching open item</t>
  </si>
  <si>
    <t>Balances and line items not displayed correctly for currency</t>
  </si>
  <si>
    <t>BCM for HR/HCM: No data for payment advice RFFOAVIS_FPAYM</t>
  </si>
  <si>
    <t>SEPA: BNK_APP - Able to change the due date of a SEPA direct</t>
  </si>
  <si>
    <t>CPON: Error message BNK_COM_CORE 104 or BNK_COM_INTF 015</t>
  </si>
  <si>
    <t>BNK_MONIP, BNK_APP and BNK_MONI: enable ALV function 'count'</t>
  </si>
  <si>
    <t>BCM: Rule description missing in IMG and BNK_MONI</t>
  </si>
  <si>
    <t>SAPFPAYM_MERGE / FBPM1:  no batch generated for particular p</t>
  </si>
  <si>
    <t>BCM: incorrect currency after copying in FTE_BSM_CUST</t>
  </si>
  <si>
    <t>BNK_MONI BNK_APP - no navigation to bank directory</t>
  </si>
  <si>
    <t>PMW/BCM: Exception rule for reservation, in particular for H</t>
  </si>
  <si>
    <t>CPON: Status message for items in payment orders</t>
  </si>
  <si>
    <t>FIN_TRM_CM_DIMENSIONS: RFFUEB00 structures balances incorrec</t>
  </si>
  <si>
    <t>Distributed CM does not take decimal places into account cor</t>
  </si>
  <si>
    <t>Payment run termination with document split in Cash Manageme</t>
  </si>
  <si>
    <t>Enhancements for SAP Cash Management</t>
  </si>
  <si>
    <t>Incorrect dunning in dunning run for documents with promise</t>
  </si>
  <si>
    <t>Dump ITAB_DUPLICATE_KEY while generating the worklist</t>
  </si>
  <si>
    <t>FDM_INVOICE_MEMORY: Performance improvement in the selection</t>
  </si>
  <si>
    <t>XBLNR in invoice history</t>
  </si>
  <si>
    <t>Exception handling in the FM FDM_AR_ESA_DISPUTE_BUILD</t>
  </si>
  <si>
    <t>Document sychronization: add items</t>
  </si>
  <si>
    <t>Dequeue of the FDM_DCOBJ entries is not triggered while crea</t>
  </si>
  <si>
    <t>IHC: Account holder name incomplete in PAYRQ</t>
  </si>
  <si>
    <t>FLQLGRP/FLQUPGRP:Upload/downlad of query sequence in excel</t>
  </si>
  <si>
    <t>RFLQ_CASH_FORECAST_TRT1:'New Entry has Priority' not working</t>
  </si>
  <si>
    <t>Open G/L Account Lines are End Point also for TA FLQAF</t>
  </si>
  <si>
    <t>RFLQ_CASH_FORECAST_SDSO: Account determination brings blank</t>
  </si>
  <si>
    <t>RFLQ_CASH_FORECAST_FIN - Forecast snapshot from new FI items</t>
  </si>
  <si>
    <t>0TR_LP_1: data of standard fields of structure FLQ_EXTENSION</t>
  </si>
  <si>
    <t>LP: Incorrect amount on bank charge items</t>
  </si>
  <si>
    <t>1957022: Additional corrections (2)</t>
  </si>
  <si>
    <t>Missing authorization check for user exits in Liquidity Plan</t>
  </si>
  <si>
    <t>FLQINFACC/FLQC7: Authorization check happens for company cod</t>
  </si>
  <si>
    <t>RFLQ_CASH_FORECAST_SDSO:checkman error due to missing messag</t>
  </si>
  <si>
    <t>LP: Incorrect account text in FLQLACC</t>
  </si>
  <si>
    <t>Consumer and Mortgage Loans</t>
  </si>
  <si>
    <t>FS-CML-AC</t>
  </si>
  <si>
    <t>FS-CML-AC-PI</t>
  </si>
  <si>
    <t>Posting Interface</t>
  </si>
  <si>
    <t>BUC: Supplement to SAP Note 2015035</t>
  </si>
  <si>
    <t>Performance problem, RAKOPL02/RASIMU02 with simulation with</t>
  </si>
  <si>
    <t>Performance problem RAKOPL02/RASIMU02 in simulation with pro</t>
  </si>
  <si>
    <t>IMA11/12/13: Appropriation requests can no longer be display</t>
  </si>
  <si>
    <t>Unjustified error message CJ824 or AY089 during master data</t>
  </si>
  <si>
    <t>IMCCP1/3/4, IMCOC1/3/4, IMCRC1/3/4: Data not updated or only</t>
  </si>
  <si>
    <t>IM52: Termination AP100 [READ_BUFFER_OBJCURR_FAILED]</t>
  </si>
  <si>
    <t>Short dump LOAD_TEXTPOOL_LOST in master data list</t>
  </si>
  <si>
    <t>IMR1_ALV: Incorrect master data fields</t>
  </si>
  <si>
    <t>IS-CWM</t>
  </si>
  <si>
    <t>Catch Weight Mgmnt</t>
  </si>
  <si>
    <t>SAP_APPL: Core Enhancement Options for Industry Solution</t>
  </si>
  <si>
    <t>Turkey Address Management Legal Change - Interface note 2 (S</t>
  </si>
  <si>
    <t>Turkey Addres Management Legal Change - Interface note 4 (SA</t>
  </si>
  <si>
    <t>LO-MD-BP-CM</t>
  </si>
  <si>
    <t>Customer Master</t>
  </si>
  <si>
    <t>Address Management for Turkey: Integration across SAP Soluti</t>
  </si>
  <si>
    <t>Company code data not considered by where-used-check before</t>
  </si>
  <si>
    <t>MR34/MR35: Error message BM 305 for unit of measure</t>
  </si>
  <si>
    <t>Balance sheet valuation: Incorrect document extract</t>
  </si>
  <si>
    <t>MRY2: No updating for selection with valuation class</t>
  </si>
  <si>
    <t>LIFO/FIFO: Incorrect online update</t>
  </si>
  <si>
    <t>MRF3 / MRL9: Selection variant J not used with document extr</t>
  </si>
  <si>
    <t>(MM) ME22N: Termination in the function module FM_DOCUMENT_U</t>
  </si>
  <si>
    <t>CJCO: Unauthorized error messages in the log</t>
  </si>
  <si>
    <t>IMCRC3: Unwarranted error message AP_COPY026</t>
  </si>
  <si>
    <t>Planning/Budgeting: Incorrect totaling up of values in contr</t>
  </si>
  <si>
    <t>Dump CONVT_NO_NUMBER when the report BPPLAN00 is executed</t>
  </si>
  <si>
    <t>PS-IS-ACC</t>
  </si>
  <si>
    <t>PS-IS-ACC-ITE</t>
  </si>
  <si>
    <t>Line-item reports</t>
  </si>
  <si>
    <t>CJI3N: Sales Document items in list shown incorrectly or dum</t>
  </si>
  <si>
    <t>PS-REV</t>
  </si>
  <si>
    <t>Revenues and Eamings</t>
  </si>
  <si>
    <t>PS-REV-PLN</t>
  </si>
  <si>
    <t>Planned Revenues</t>
  </si>
  <si>
    <t>Incorrect values in the liquidity forecast 2</t>
  </si>
  <si>
    <t>Due Date not passed with Period of Performance switch off</t>
  </si>
  <si>
    <t>GTAS 2: Earmarked Funds False Required Entry Message</t>
  </si>
  <si>
    <t>GTAS 2: Data object "BSEG" does not have a component called</t>
  </si>
  <si>
    <t>Zero Downtime Management</t>
  </si>
  <si>
    <t>Availability Control Failure</t>
  </si>
  <si>
    <t>Technical note for fields FMXDOCNR, FMXYEAR, FMXDOCLN</t>
  </si>
  <si>
    <t>New fields in Document Journal</t>
  </si>
  <si>
    <t>RFFMRE10: Haushaltsprogramm</t>
  </si>
  <si>
    <t>Redundant documentation of Data Elements</t>
  </si>
  <si>
    <t>FM report FMRP_3FMB4003: Dump when using WebGUI</t>
  </si>
  <si>
    <t>Drilldown report and error FI003</t>
  </si>
  <si>
    <t>FMCI_FYC: ABAP runtime error TABLE_INVALID_INDEX in the prog</t>
  </si>
  <si>
    <t>Fund Center - SAP delivered entries for Field Selection Stri</t>
  </si>
  <si>
    <t>F110: Exception handling for FMRE_DPR_DOCUMENT_CLEAR</t>
  </si>
  <si>
    <t>Automat. down payment clearing: No payment update</t>
  </si>
  <si>
    <t>Incorrect Document Number in Purchase Order History During M</t>
  </si>
  <si>
    <t>FMRE: RE041 when Clearing with non-local currency</t>
  </si>
  <si>
    <t>FMRE: Locking problems on Fund Reservations when using ME55</t>
  </si>
  <si>
    <t>FMRE: Incorrect Sign when Cancelling Income</t>
  </si>
  <si>
    <t>RFFMRE01: Dump during pickup on consumption that does not ex</t>
  </si>
  <si>
    <t>SAPSQL_ARRAY_INSERT_DUPREC in Table KBLE</t>
  </si>
  <si>
    <t>Earmarked funds &amp;1 &amp;2 is not due until &amp;3</t>
  </si>
  <si>
    <t>FBRA Down Payment: Use of AZAF in Earmarked Funds is Incorre</t>
  </si>
  <si>
    <t>Usage overview: Document item missing with parked documents</t>
  </si>
  <si>
    <t>Negative posting: FI document number incorrect in usage over</t>
  </si>
  <si>
    <t>Unlocking earmarked funds using CL_FM_EF_FACTORY</t>
  </si>
  <si>
    <t>Earmarked funds for real estate contract with incorrect open</t>
  </si>
  <si>
    <t>Blocking problems when posting FI documents</t>
  </si>
  <si>
    <t>Message RE257 customizable</t>
  </si>
  <si>
    <t>Screen for customer-defined fields too small (item level)</t>
  </si>
  <si>
    <t>FMRE: Message RE072 instead of RE041 for completed funds res</t>
  </si>
  <si>
    <t>FMRE: F1 documentation for completed indicator incorrect</t>
  </si>
  <si>
    <t>FMRE: New transaction FMRESDISPLAY for displaying earmarked</t>
  </si>
  <si>
    <t>HR Payroll: Error 3G473 No derivation with missing controlli</t>
  </si>
  <si>
    <t>RE-CF</t>
  </si>
  <si>
    <t>Cash Flow</t>
  </si>
  <si>
    <t>Incorrect follow-up postings for "never pro rata"</t>
  </si>
  <si>
    <t>RE-FX-CF</t>
  </si>
  <si>
    <t>Conditions and Cash</t>
  </si>
  <si>
    <t>Authorization check REISCDCF, authorization object F_RE_BRGR</t>
  </si>
  <si>
    <t>RE-FX-LC-HU</t>
  </si>
  <si>
    <t>Domestic Sales and Purchases List for Hungary</t>
  </si>
  <si>
    <t>Missing or incorrect payment method in cash flow</t>
  </si>
  <si>
    <t>Rent adjustment: New condition created incorrectly</t>
  </si>
  <si>
    <t>SD-BIL</t>
  </si>
  <si>
    <t>Korrektur der Domäne ACC_SUBSET</t>
  </si>
  <si>
    <t>TR</t>
  </si>
  <si>
    <t>Treasury</t>
  </si>
  <si>
    <t>TR-CB</t>
  </si>
  <si>
    <t>Cash Budget Mgt</t>
  </si>
  <si>
    <t>Code injection vulnerability in Cash Budget Management</t>
  </si>
  <si>
    <t>CCB Payment Status Query -  Deal Resutl 5 - Transaction Fail</t>
  </si>
  <si>
    <t>ICBC payment bank interface and query payment status have is</t>
  </si>
  <si>
    <t>Cleared items appear in later BRS again</t>
  </si>
  <si>
    <t>Mark bank receipt as  have been done posting</t>
  </si>
  <si>
    <t>EPIC: Payment not possilbe for bank to bank transfer  paymen</t>
  </si>
  <si>
    <t>Regenerate payment file limited</t>
  </si>
  <si>
    <t>EPIC: Error when submitting payment items for approval</t>
  </si>
  <si>
    <t>Download Bank receipt text be  Accumulated by Last Bank Rece</t>
  </si>
  <si>
    <t>EPIC EBR table change</t>
  </si>
  <si>
    <t>Security token for EPIC, pass the communication type into BA</t>
  </si>
  <si>
    <t>Allow online method to execute file payment</t>
  </si>
  <si>
    <t>Open items using G/L account without open item management ap</t>
  </si>
  <si>
    <t>Item status update abnormally</t>
  </si>
  <si>
    <t>Surport EBS Area 1 posting in BRM</t>
  </si>
  <si>
    <t>Cash Operation for China Release Note</t>
  </si>
  <si>
    <t>Bank Receipt Overview Screen Authorization Check</t>
  </si>
  <si>
    <t>Enhancement Bank Accounts Required</t>
  </si>
  <si>
    <t>Query payment status user command handling not correct</t>
  </si>
  <si>
    <t>Select more than one group in EPIC approve and confirm, appr</t>
  </si>
  <si>
    <t>Add consideration of enhanced bank accounts to BRS</t>
  </si>
  <si>
    <t>EBS display Bank Receipt data</t>
  </si>
  <si>
    <t>EPIC Change House BANK ISSUE</t>
  </si>
  <si>
    <t>EPIC Edit Bank Data Add Column and Change Width</t>
  </si>
  <si>
    <t>Rejection in EPIC approval process does not have action to c</t>
  </si>
  <si>
    <t>Display account holder name in PRL editing</t>
  </si>
  <si>
    <t>Abnormal Status Update in Payment Proposal Processing for Cl</t>
  </si>
  <si>
    <t>EPIC approver name need to display in log</t>
  </si>
  <si>
    <t>EPIC change item validate bank account</t>
  </si>
  <si>
    <t>Error about Decimal Point Position of the Amounts without De</t>
  </si>
  <si>
    <t>EPIC  payment item show slowly</t>
  </si>
  <si>
    <t>EBR default posting date should be Transaction date</t>
  </si>
  <si>
    <t>CN:Assignment of GNB/BNG for goods return movements</t>
  </si>
  <si>
    <t>CN:Fix ODN skip issue for reference procedure 'AUAK'</t>
  </si>
  <si>
    <t>CN:Blank Official Doucment Number of Reverse Documents in PC</t>
  </si>
  <si>
    <t>CN:Fix bug of batch job dump when excuting Tcode IDCNGRIR_GN</t>
  </si>
  <si>
    <t>CN: Fix reference number clean issue by "OFF_NUMBER_LOCAL_NU</t>
  </si>
  <si>
    <t>RFASLD15:Same Tax Llne Item Dispaly Twice</t>
  </si>
  <si>
    <t>Rep.Frwk. - Report Docu &amp; Selection Parameters</t>
  </si>
  <si>
    <t>Rep.Frwk. - Enhance Report Control Checks Logging</t>
  </si>
  <si>
    <t>Rep.Frwk. - Customer Usage Measurement</t>
  </si>
  <si>
    <t>Rep.Frwk. - RFBILA Enhancement Missing from ECC 600 to EhP6</t>
  </si>
  <si>
    <t>Rep.Frwk. - Technical Check on TRANSLATE in a Multilingual S</t>
  </si>
  <si>
    <t>Rep.Frwk. - Read Only Fields Changeable By F4 Value Request</t>
  </si>
  <si>
    <t>RFIDESM340/RFUMSV00:Vat On Cash(Corrections-5)</t>
  </si>
  <si>
    <t>RFIDESM340:Correction for taxable amount.</t>
  </si>
  <si>
    <t>RFIDESM340:Incash Changes &amp; Corrections</t>
  </si>
  <si>
    <t>RFASLD11B:Correction On File Output</t>
  </si>
  <si>
    <t>RFIDESM340/RFUMSV00:Vat On Cash(Corrections-6)</t>
  </si>
  <si>
    <t>LU SAFT: Asset Module Corrections</t>
  </si>
  <si>
    <t>Korea Sibuin: RAIDKRA10 is not working in Asset Accounting (</t>
  </si>
  <si>
    <t>RFASLD15(HU):Correction for tax base amounts and signs</t>
  </si>
  <si>
    <t>RFIDHU_DSP : Wrong taxpayer name on XML.</t>
  </si>
  <si>
    <t>Missing implementation of FI_TAX_BADI_012</t>
  </si>
  <si>
    <t>RFIDHU_DSP: Individual VAT ID is not getting displayed in th</t>
  </si>
  <si>
    <t>HU: Preagreed exchange rate for the VAT line item</t>
  </si>
  <si>
    <t>FIWTIN_QRETURNS: Cheque/DD number updated wrongly in challan</t>
  </si>
  <si>
    <t>J1INUT: Correction to utilization new functionality</t>
  </si>
  <si>
    <t>PAN check validation should not happen for foreign vendor.</t>
  </si>
  <si>
    <t>J1INJV - Incorrect tax code and tax base amount</t>
  </si>
  <si>
    <t>ATC : DB cloumn store</t>
  </si>
  <si>
    <t>F4 help does not exist for exemption reason in TAN exemption</t>
  </si>
  <si>
    <t>PAN check should not happen for foreign vendors when there i</t>
  </si>
  <si>
    <t>FIWTIN_QRETURNS: Section and Tax deducted/Collected date upd</t>
  </si>
  <si>
    <t>FIWTIN_QRETURNS:Date on which tax collected/deducted wrongly</t>
  </si>
  <si>
    <t>J1INPR: If service entry sheet posted by ML85N Transaction t</t>
  </si>
  <si>
    <t>PAN check for Downpayment request not happening</t>
  </si>
  <si>
    <t>Wrong posting key updated for DPC withholding tax line</t>
  </si>
  <si>
    <t>TAN based exemption Accumulation table is not updated when d</t>
  </si>
  <si>
    <t>J1INPR: Document Header text disappeared in the provision sc</t>
  </si>
  <si>
    <t>F-54: Wrong amount is considered while calculating TDS.</t>
  </si>
  <si>
    <t>Tax condition is not included while BAPI is used for vendor</t>
  </si>
  <si>
    <t>Wrong excise base amount calculated while reversing the subc</t>
  </si>
  <si>
    <t>Error 'Complete PA transfer structure FI'  is displayed whil</t>
  </si>
  <si>
    <t>RFUMSV00 (IT) - Wrong Page Number in Foreground Execution(F8</t>
  </si>
  <si>
    <t>RFIDITVCL : Legal Change 2013 Additional Correction-7</t>
  </si>
  <si>
    <t>Incomplete deletion of Customizing activity</t>
  </si>
  <si>
    <t>RFIDKRTPR - Incorrect display of currency values</t>
  </si>
  <si>
    <t>XX-CSC-OM</t>
  </si>
  <si>
    <t>Oman</t>
  </si>
  <si>
    <t>XX-CSC-OM-FI</t>
  </si>
  <si>
    <t>Oman: Enablement of Bill of Exchange Functionality</t>
  </si>
  <si>
    <t>RFIDPL10:Page number correction</t>
  </si>
  <si>
    <t>RFASLD15(PL):Correction on SmartForms(IDPL_VATUE_2013)</t>
  </si>
  <si>
    <t>RFASLD15:Corrections On G/L Document &amp; Tax Code</t>
  </si>
  <si>
    <t>RFASLD15:Corrections On Amounts(DMBTR,DMSHB,LWBAS)</t>
  </si>
  <si>
    <t>PL DP: Erroneous data in printout of final invoice</t>
  </si>
  <si>
    <t>PL DP: Down payment corrections not considered</t>
  </si>
  <si>
    <t>PL DP:  Open downpayment amount too low for correction</t>
  </si>
  <si>
    <t>PL DP: Incorrect posting to down payment account</t>
  </si>
  <si>
    <t>ILM enablement for DPP-EUVAT</t>
  </si>
  <si>
    <t>SAFT-PT: Corrections RSAFT_PT_XML for 2010 (75)</t>
  </si>
  <si>
    <t>RFUVPT00: FICA Integration</t>
  </si>
  <si>
    <t>RFUVPT00: Issue with Record Type 68 and 87</t>
  </si>
  <si>
    <t>Mapas(New): Data Retrieval option of the report dumps while</t>
  </si>
  <si>
    <t>MAPAS(NEW) : Retired asset wrongly reported in 3203 ABAT ins</t>
  </si>
  <si>
    <t>Corrections for: assets acquired, revaluated and retired in</t>
  </si>
  <si>
    <t>Mapas(NEW) Change in XML Parameter type to allow specificati</t>
  </si>
  <si>
    <t>MAPAS(NEW): Change in user exit for column 14 of map 32 and</t>
  </si>
  <si>
    <t>Mapas(New): Changes done in calculation of column 14 of map</t>
  </si>
  <si>
    <t>J3RTAXREP - Hierarchy checks</t>
  </si>
  <si>
    <t>J_3RF_REGINV: Multiline texts in clarification request</t>
  </si>
  <si>
    <t>Cash Flow. Incorrect work with shifted fiscal year. Error oc</t>
  </si>
  <si>
    <t>Property Tax Calculation: Asset deactivation date</t>
  </si>
  <si>
    <t>Advance property tax declaration: responsible person'sfull n</t>
  </si>
  <si>
    <t>RFUMSV50: Reverse Charge tax code support</t>
  </si>
  <si>
    <t>No change log for territory code in the asset master data</t>
  </si>
  <si>
    <t>Electronic Delivery and Acceptance Document Journal: Transfo</t>
  </si>
  <si>
    <t>J_3RFUM26: Manual changes in local currency for documents in</t>
  </si>
  <si>
    <t>Territory Code search helps</t>
  </si>
  <si>
    <t>J3RALFPTAXDECL: wrong amounts in the output form</t>
  </si>
  <si>
    <t>LC RU transport tax for expensive cars. New payments order</t>
  </si>
  <si>
    <t>Invoice Journal: incorrect external number</t>
  </si>
  <si>
    <t>LC RU field UIP added to electronic payment format MT-103</t>
  </si>
  <si>
    <t>Runtime error COMPUTE_BCD_OVERFLOW in J_3R_PTAX_CALC</t>
  </si>
  <si>
    <t>Cash Flow: organization name is partly visible</t>
  </si>
  <si>
    <t>J3RTAXREP - Dataproviders loading on demand</t>
  </si>
  <si>
    <t>Length of OKTMO code in electronic transport tax return migh</t>
  </si>
  <si>
    <t>Several VAT invoices in one run of correspondence request pr</t>
  </si>
  <si>
    <t>Empty popup window when posting parked document</t>
  </si>
  <si>
    <t>J_3R_TTAX_DECL. Incorrect processing of the advance payments</t>
  </si>
  <si>
    <t>Property Tax calculation based on cadastral value: new featu</t>
  </si>
  <si>
    <t>J_3RTAX21_09:  XML-File Name Generation</t>
  </si>
  <si>
    <t>J_3rfum26: BDC_INSERT error due to too many reversed or post</t>
  </si>
  <si>
    <t>Transfer pricing. Hierarchy corrections</t>
  </si>
  <si>
    <t>Cash Flow. Incorrect amount if payment greater than invoice</t>
  </si>
  <si>
    <t>Sales/Purchase Ledger: revisions of revisions in different p</t>
  </si>
  <si>
    <t>Balance Notification: documents are missing on print form</t>
  </si>
  <si>
    <t>Cash Flow. Negative amounts are not displayed in brackets</t>
  </si>
  <si>
    <t>Cash Orders KO-1, KO-2 forms. New BAdI to change print data</t>
  </si>
  <si>
    <t>OS-forms, INV-forms: Company Code Authorization Check is mis</t>
  </si>
  <si>
    <t>Documentation for BAdi J_3RFKORDR2_A_CASHOR_BADI</t>
  </si>
  <si>
    <t>Transfer pricing. Country code of RU organizations</t>
  </si>
  <si>
    <t>Sales/Purchase Ledger: sequential revisions from SD and MM</t>
  </si>
  <si>
    <t>J_3RVATDECL: Delta and Corrective VAT-Return are not shown</t>
  </si>
  <si>
    <t>J_3R_TTAX_DECL. Wrong tax base unit in PDF and XML tax retur</t>
  </si>
  <si>
    <t>Property Tax Declaration: line 170 of section 2 is incorrect</t>
  </si>
  <si>
    <t>Property Tax Declaration: PDF corrections</t>
  </si>
  <si>
    <t>Purchase Ledger: G/R Date from MM</t>
  </si>
  <si>
    <t>Table J_3R_CADASTR_VAL entries maintenance in the productive</t>
  </si>
  <si>
    <t>Sales/Purchase Ledger: revision date in ALV</t>
  </si>
  <si>
    <t>Technical note for eCATT Transfer pricing Russia.</t>
  </si>
  <si>
    <t>Currency control. SVO (CTS). Corrections in PDF form and att</t>
  </si>
  <si>
    <t>Currency control. SPD. Corrections in PDF form</t>
  </si>
  <si>
    <t>Import Customs Declaration (GTD). Problems with saving or wi</t>
  </si>
  <si>
    <t>Sales/Purchase Ledger: Cancellation from MIRO</t>
  </si>
  <si>
    <t>Field 22 UIN. SM30</t>
  </si>
  <si>
    <t>Advance Payment Invoice form for foreign customers</t>
  </si>
  <si>
    <t>Transfer Pricing. Purch.invoices. Selection Criteria</t>
  </si>
  <si>
    <t>J3RKKRL.DATA_OFFSET_TOO_LARGE and Account long text</t>
  </si>
  <si>
    <t>Cash Flow. Binary Search for unsorted table</t>
  </si>
  <si>
    <t>J_3RFUM26: Batch input due to VATDATE-VAT reporting date. Se</t>
  </si>
  <si>
    <t>Forms: INV-3, INV-5, INV-19, INV-26: Inventory order number</t>
  </si>
  <si>
    <t>Fixed Assets Revaluation: Company Code Authorization Check</t>
  </si>
  <si>
    <t>J3RKKRL. DBIF_RSQL_INVALID_RSQL</t>
  </si>
  <si>
    <t>J_3RF_RATE_CALC: changes for correct enhancement usage</t>
  </si>
  <si>
    <t>Vat return. XML. Podpisant</t>
  </si>
  <si>
    <t>J_3RF_CTS_REG: Technical SAP Note</t>
  </si>
  <si>
    <t>Unified Transfer Document print form (UTD)</t>
  </si>
  <si>
    <t>Report Asset Taxes (Russia). Addition of information message</t>
  </si>
  <si>
    <t>RFUMSV50:Mixed documents DPC+payment+differenes. No tax code</t>
  </si>
  <si>
    <t>Cash Flow: checkman errors corrections</t>
  </si>
  <si>
    <t>Cash Flow: errors in version editor (J3RFF4V)</t>
  </si>
  <si>
    <t>Cash Flow: incorrect amount in case of partial clearing</t>
  </si>
  <si>
    <t>J_3RF_CLEARING: incorrect amounts for invoices</t>
  </si>
  <si>
    <t>RFUMSV50:Non-deductible taxes with separate line indicator i</t>
  </si>
  <si>
    <t>Sales/Purchase Ledger: Tax period in header of additional sh</t>
  </si>
  <si>
    <t>J_3RF_REGINV: texts in Status History ALV</t>
  </si>
  <si>
    <t>J_3RF_REGINV: The signed XML files don't register in a datab</t>
  </si>
  <si>
    <t>Russian Transport Tax Return (J3RALFTTAXDECL) might crash wi</t>
  </si>
  <si>
    <t>4-digit OKEI codes in VAT invoice, Corrective VAT invoice,</t>
  </si>
  <si>
    <t>Technical note: OKEI codes length 4</t>
  </si>
  <si>
    <t>Clearing FM: several vendor/customer items</t>
  </si>
  <si>
    <t>J3RFUM26 cannot post document if XREF3 field is hidden</t>
  </si>
  <si>
    <t>VAT Return for Russia (New): INN is incorrect,KBK is not fil</t>
  </si>
  <si>
    <t>Sales/Purchase Ledger: XBLNR in non tax transfer document</t>
  </si>
  <si>
    <t>Transfer Pricing. Summarizing positions with BUZID = 'W' (GR</t>
  </si>
  <si>
    <t>Electronic VAT Invoices (Russia): partner data is not copied</t>
  </si>
  <si>
    <t>J3RTAXREP - Hierarchy checks (Texts and other objects)</t>
  </si>
  <si>
    <t>Technical note. Class CL_J3RF_TP_ECATT_PARSE_XML-corrections</t>
  </si>
  <si>
    <t>J_3RF_REGTORG: 4-digit OKEI codes in electronic TORG-12</t>
  </si>
  <si>
    <t>Sales/Purchase Ledger: several revisions in one period</t>
  </si>
  <si>
    <t>Accounting Statement report: WBS-element external code</t>
  </si>
  <si>
    <t>J_3RF_INV_A: Incorrect value in total column 5 while printin</t>
  </si>
  <si>
    <t>VAT invoice form: division by zero, partner name for self-is</t>
  </si>
  <si>
    <t>Forms INV-3 and INV-19: Length of OKEI-code increased from 3</t>
  </si>
  <si>
    <t>Restriction of Vendor master certificate functionality via f</t>
  </si>
  <si>
    <t>Additional corrections to RPFISK_VATCNTRL:1.h ( Data Migrati</t>
  </si>
  <si>
    <t>RPFISKEVAT: Issue with authorization check</t>
  </si>
  <si>
    <t>Additional corrections to RPFISK_VATCNTRL:1. i</t>
  </si>
  <si>
    <t>Additional corrections to RPFISK_VATCNTRL:1. j</t>
  </si>
  <si>
    <t>Additional corrections to RPFISK_VATCNTRL:1.g (DDIC) - SAP_F</t>
  </si>
  <si>
    <t>Report RFIMPNBS - Batch Processing Improvement</t>
  </si>
  <si>
    <t>Additional corrections to Thailand Master Data Enhancement a</t>
  </si>
  <si>
    <t>RFIDYYWT: one-time vendor with different address is combinel</t>
  </si>
  <si>
    <t>J_1HDTAX - Documents with special G/L indicator are not gett</t>
  </si>
  <si>
    <t>FTR04 : Issue with the option 'Presented to Bank'.</t>
  </si>
  <si>
    <t>TW: Enter business location while issuing goods in Delivery</t>
  </si>
  <si>
    <t>Form INV-19 Ukraine</t>
  </si>
  <si>
    <t>Freight amount is Negative when sent to External Tax System</t>
  </si>
  <si>
    <t>Die Suche nach Steuerstandorten (CA, USA) über RFC dauert la</t>
  </si>
  <si>
    <t>WTY: missing update of the external tax system</t>
  </si>
  <si>
    <t>XX-PROJ-CHO-FI</t>
  </si>
  <si>
    <t>Chorus FIN Session</t>
  </si>
  <si>
    <t>Garnishment register: Payment method for creditor</t>
  </si>
  <si>
    <t>XX-PROJ-PRC</t>
  </si>
  <si>
    <t>Procurement Card</t>
  </si>
  <si>
    <t>CRR3: Short dump w/ pick up onto currency fields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</si>
</sst>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20"/>
  <sheetViews>
    <sheetView tabSelected="1" topLeftCell="A3980" workbookViewId="0">
      <selection activeCell="A4053" sqref="A4053:XFD4053"/>
    </sheetView>
  </sheetViews>
  <sheetFormatPr defaultRowHeight="14.4" x14ac:dyDescent="0.3"/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 t="s">
        <v>6</v>
      </c>
      <c r="B2" t="s">
        <v>7</v>
      </c>
    </row>
    <row r="3" spans="1:6" x14ac:dyDescent="0.3">
      <c r="A3" t="s">
        <v>8</v>
      </c>
      <c r="B3" t="s">
        <v>9</v>
      </c>
      <c r="C3" t="str">
        <f>HYPERLINK("http://service.sap.com/sap/support/notes/1897514","1897514")</f>
        <v>1897514</v>
      </c>
      <c r="D3">
        <v>1</v>
      </c>
      <c r="E3" t="s">
        <v>10</v>
      </c>
      <c r="F3" t="s">
        <v>11</v>
      </c>
    </row>
    <row r="4" spans="1:6" x14ac:dyDescent="0.3">
      <c r="A4" t="s">
        <v>8</v>
      </c>
      <c r="B4" t="s">
        <v>9</v>
      </c>
      <c r="C4" t="str">
        <f>HYPERLINK("http://service.sap.com/sap/support/notes/1902869","1902869")</f>
        <v>1902869</v>
      </c>
      <c r="D4">
        <v>1</v>
      </c>
      <c r="E4" t="s">
        <v>12</v>
      </c>
      <c r="F4" t="s">
        <v>13</v>
      </c>
    </row>
    <row r="5" spans="1:6" x14ac:dyDescent="0.3">
      <c r="A5" t="s">
        <v>14</v>
      </c>
      <c r="B5" t="s">
        <v>15</v>
      </c>
      <c r="C5" t="str">
        <f>HYPERLINK("http://service.sap.com/sap/support/notes/1862454","1862454")</f>
        <v>1862454</v>
      </c>
      <c r="D5">
        <v>2</v>
      </c>
      <c r="E5" t="s">
        <v>16</v>
      </c>
      <c r="F5" t="s">
        <v>17</v>
      </c>
    </row>
    <row r="6" spans="1:6" x14ac:dyDescent="0.3">
      <c r="A6" t="s">
        <v>14</v>
      </c>
      <c r="B6" t="s">
        <v>15</v>
      </c>
      <c r="C6" t="str">
        <f>HYPERLINK("http://service.sap.com/sap/support/notes/1869159","1869159")</f>
        <v>1869159</v>
      </c>
      <c r="D6">
        <v>1</v>
      </c>
      <c r="E6" t="s">
        <v>18</v>
      </c>
      <c r="F6" t="s">
        <v>13</v>
      </c>
    </row>
    <row r="7" spans="1:6" x14ac:dyDescent="0.3">
      <c r="A7" t="s">
        <v>14</v>
      </c>
      <c r="B7" t="s">
        <v>15</v>
      </c>
      <c r="C7" t="str">
        <f>HYPERLINK("http://service.sap.com/sap/support/notes/1873541","1873541")</f>
        <v>1873541</v>
      </c>
      <c r="D7">
        <v>1</v>
      </c>
      <c r="E7" t="s">
        <v>19</v>
      </c>
      <c r="F7" t="s">
        <v>13</v>
      </c>
    </row>
    <row r="8" spans="1:6" x14ac:dyDescent="0.3">
      <c r="A8" t="s">
        <v>14</v>
      </c>
      <c r="B8" t="s">
        <v>15</v>
      </c>
      <c r="C8" t="str">
        <f>HYPERLINK("http://service.sap.com/sap/support/notes/1873723","1873723")</f>
        <v>1873723</v>
      </c>
      <c r="D8">
        <v>1</v>
      </c>
      <c r="E8" t="s">
        <v>20</v>
      </c>
      <c r="F8" t="s">
        <v>13</v>
      </c>
    </row>
    <row r="9" spans="1:6" x14ac:dyDescent="0.3">
      <c r="A9" t="s">
        <v>14</v>
      </c>
      <c r="B9" t="s">
        <v>15</v>
      </c>
      <c r="C9" t="str">
        <f>HYPERLINK("http://service.sap.com/sap/support/notes/1875644","1875644")</f>
        <v>1875644</v>
      </c>
      <c r="D9">
        <v>6</v>
      </c>
      <c r="E9" t="s">
        <v>21</v>
      </c>
      <c r="F9" t="s">
        <v>17</v>
      </c>
    </row>
    <row r="10" spans="1:6" x14ac:dyDescent="0.3">
      <c r="A10" t="s">
        <v>14</v>
      </c>
      <c r="B10" t="s">
        <v>15</v>
      </c>
      <c r="C10" t="str">
        <f>HYPERLINK("http://service.sap.com/sap/support/notes/1890143","1890143")</f>
        <v>1890143</v>
      </c>
      <c r="D10">
        <v>2</v>
      </c>
      <c r="E10" t="s">
        <v>22</v>
      </c>
      <c r="F10" t="s">
        <v>13</v>
      </c>
    </row>
    <row r="11" spans="1:6" x14ac:dyDescent="0.3">
      <c r="A11" t="s">
        <v>14</v>
      </c>
      <c r="B11" t="s">
        <v>15</v>
      </c>
      <c r="C11" t="str">
        <f>HYPERLINK("http://service.sap.com/sap/support/notes/1891435","1891435")</f>
        <v>1891435</v>
      </c>
      <c r="D11">
        <v>1</v>
      </c>
      <c r="E11" t="s">
        <v>23</v>
      </c>
      <c r="F11" t="s">
        <v>17</v>
      </c>
    </row>
    <row r="12" spans="1:6" x14ac:dyDescent="0.3">
      <c r="A12" t="s">
        <v>14</v>
      </c>
      <c r="B12" t="s">
        <v>15</v>
      </c>
      <c r="C12" t="str">
        <f>HYPERLINK("http://service.sap.com/sap/support/notes/1899789","1899789")</f>
        <v>1899789</v>
      </c>
      <c r="D12">
        <v>2</v>
      </c>
      <c r="E12" t="s">
        <v>24</v>
      </c>
      <c r="F12" t="s">
        <v>17</v>
      </c>
    </row>
    <row r="13" spans="1:6" x14ac:dyDescent="0.3">
      <c r="A13" t="s">
        <v>14</v>
      </c>
      <c r="B13" t="s">
        <v>15</v>
      </c>
      <c r="C13" t="str">
        <f>HYPERLINK("http://service.sap.com/sap/support/notes/1916100","1916100")</f>
        <v>1916100</v>
      </c>
      <c r="D13">
        <v>1</v>
      </c>
      <c r="E13" t="s">
        <v>25</v>
      </c>
      <c r="F13" t="s">
        <v>17</v>
      </c>
    </row>
    <row r="14" spans="1:6" x14ac:dyDescent="0.3">
      <c r="A14" t="s">
        <v>26</v>
      </c>
      <c r="B14" t="s">
        <v>27</v>
      </c>
      <c r="C14" t="str">
        <f>HYPERLINK("http://service.sap.com/sap/support/notes/1850794","1850794")</f>
        <v>1850794</v>
      </c>
      <c r="D14">
        <v>2</v>
      </c>
      <c r="E14" t="s">
        <v>28</v>
      </c>
      <c r="F14" t="s">
        <v>17</v>
      </c>
    </row>
    <row r="15" spans="1:6" x14ac:dyDescent="0.3">
      <c r="A15" t="s">
        <v>26</v>
      </c>
      <c r="B15" t="s">
        <v>27</v>
      </c>
      <c r="C15" t="str">
        <f>HYPERLINK("http://service.sap.com/sap/support/notes/1851146","1851146")</f>
        <v>1851146</v>
      </c>
      <c r="D15">
        <v>3</v>
      </c>
      <c r="E15" t="s">
        <v>29</v>
      </c>
      <c r="F15" t="s">
        <v>17</v>
      </c>
    </row>
    <row r="16" spans="1:6" x14ac:dyDescent="0.3">
      <c r="A16" t="s">
        <v>26</v>
      </c>
      <c r="B16" t="s">
        <v>27</v>
      </c>
      <c r="C16" t="str">
        <f>HYPERLINK("http://service.sap.com/sap/support/notes/1905049","1905049")</f>
        <v>1905049</v>
      </c>
      <c r="D16">
        <v>1</v>
      </c>
      <c r="E16" t="s">
        <v>30</v>
      </c>
      <c r="F16" t="s">
        <v>17</v>
      </c>
    </row>
    <row r="17" spans="1:6" x14ac:dyDescent="0.3">
      <c r="A17" t="s">
        <v>26</v>
      </c>
      <c r="B17" t="s">
        <v>27</v>
      </c>
      <c r="C17" t="str">
        <f>HYPERLINK("http://service.sap.com/sap/support/notes/1906199","1906199")</f>
        <v>1906199</v>
      </c>
      <c r="D17">
        <v>1</v>
      </c>
      <c r="E17" t="s">
        <v>31</v>
      </c>
      <c r="F17" t="s">
        <v>17</v>
      </c>
    </row>
    <row r="18" spans="1:6" x14ac:dyDescent="0.3">
      <c r="A18" t="s">
        <v>32</v>
      </c>
      <c r="B18" t="s">
        <v>33</v>
      </c>
    </row>
    <row r="19" spans="1:6" x14ac:dyDescent="0.3">
      <c r="A19" t="s">
        <v>34</v>
      </c>
      <c r="B19" t="s">
        <v>35</v>
      </c>
    </row>
    <row r="20" spans="1:6" x14ac:dyDescent="0.3">
      <c r="A20" t="s">
        <v>36</v>
      </c>
      <c r="B20" t="s">
        <v>37</v>
      </c>
      <c r="C20" t="str">
        <f>HYPERLINK("http://service.sap.com/sap/support/notes/1173644","1173644")</f>
        <v>1173644</v>
      </c>
      <c r="D20">
        <v>1</v>
      </c>
      <c r="E20" t="s">
        <v>38</v>
      </c>
      <c r="F20" t="s">
        <v>13</v>
      </c>
    </row>
    <row r="21" spans="1:6" x14ac:dyDescent="0.3">
      <c r="A21" t="s">
        <v>39</v>
      </c>
      <c r="B21" t="s">
        <v>40</v>
      </c>
    </row>
    <row r="22" spans="1:6" x14ac:dyDescent="0.3">
      <c r="A22" t="s">
        <v>41</v>
      </c>
      <c r="B22" t="s">
        <v>42</v>
      </c>
    </row>
    <row r="23" spans="1:6" x14ac:dyDescent="0.3">
      <c r="A23" t="s">
        <v>43</v>
      </c>
      <c r="B23" t="s">
        <v>44</v>
      </c>
      <c r="C23" t="str">
        <f>HYPERLINK("http://service.sap.com/sap/support/notes/1888468","1888468")</f>
        <v>1888468</v>
      </c>
      <c r="D23">
        <v>5</v>
      </c>
      <c r="E23" t="s">
        <v>45</v>
      </c>
      <c r="F23" t="s">
        <v>17</v>
      </c>
    </row>
    <row r="24" spans="1:6" x14ac:dyDescent="0.3">
      <c r="A24" t="s">
        <v>46</v>
      </c>
      <c r="B24" t="s">
        <v>47</v>
      </c>
    </row>
    <row r="25" spans="1:6" x14ac:dyDescent="0.3">
      <c r="A25" t="s">
        <v>48</v>
      </c>
      <c r="B25" t="s">
        <v>49</v>
      </c>
    </row>
    <row r="26" spans="1:6" x14ac:dyDescent="0.3">
      <c r="A26" t="s">
        <v>50</v>
      </c>
      <c r="B26" t="s">
        <v>51</v>
      </c>
    </row>
    <row r="27" spans="1:6" x14ac:dyDescent="0.3">
      <c r="A27" t="s">
        <v>52</v>
      </c>
      <c r="B27" t="s">
        <v>53</v>
      </c>
      <c r="C27" t="str">
        <f>HYPERLINK("http://service.sap.com/sap/support/notes/1864096","1864096")</f>
        <v>1864096</v>
      </c>
      <c r="D27">
        <v>6</v>
      </c>
      <c r="E27" t="s">
        <v>54</v>
      </c>
      <c r="F27" t="s">
        <v>17</v>
      </c>
    </row>
    <row r="28" spans="1:6" x14ac:dyDescent="0.3">
      <c r="A28" t="s">
        <v>55</v>
      </c>
      <c r="B28" t="s">
        <v>56</v>
      </c>
      <c r="C28" t="str">
        <f>HYPERLINK("http://service.sap.com/sap/support/notes/1864605","1864605")</f>
        <v>1864605</v>
      </c>
      <c r="D28">
        <v>1</v>
      </c>
      <c r="E28" t="s">
        <v>57</v>
      </c>
      <c r="F28" t="s">
        <v>17</v>
      </c>
    </row>
    <row r="29" spans="1:6" x14ac:dyDescent="0.3">
      <c r="A29" t="s">
        <v>55</v>
      </c>
      <c r="B29" t="s">
        <v>56</v>
      </c>
      <c r="C29" t="str">
        <f>HYPERLINK("http://service.sap.com/sap/support/notes/1874723","1874723")</f>
        <v>1874723</v>
      </c>
      <c r="D29">
        <v>1</v>
      </c>
      <c r="E29" t="s">
        <v>58</v>
      </c>
      <c r="F29" t="s">
        <v>17</v>
      </c>
    </row>
    <row r="30" spans="1:6" x14ac:dyDescent="0.3">
      <c r="A30" t="s">
        <v>55</v>
      </c>
      <c r="B30" t="s">
        <v>56</v>
      </c>
      <c r="C30" t="str">
        <f>HYPERLINK("http://service.sap.com/sap/support/notes/1889997","1889997")</f>
        <v>1889997</v>
      </c>
      <c r="D30">
        <v>1</v>
      </c>
      <c r="E30" t="s">
        <v>59</v>
      </c>
      <c r="F30" t="s">
        <v>17</v>
      </c>
    </row>
    <row r="31" spans="1:6" x14ac:dyDescent="0.3">
      <c r="A31" t="s">
        <v>60</v>
      </c>
      <c r="B31" t="s">
        <v>61</v>
      </c>
    </row>
    <row r="32" spans="1:6" x14ac:dyDescent="0.3">
      <c r="A32" t="s">
        <v>62</v>
      </c>
      <c r="B32" t="s">
        <v>63</v>
      </c>
      <c r="C32" t="str">
        <f>HYPERLINK("http://service.sap.com/sap/support/notes/1879098","1879098")</f>
        <v>1879098</v>
      </c>
      <c r="D32">
        <v>2</v>
      </c>
      <c r="E32" t="s">
        <v>64</v>
      </c>
      <c r="F32" t="s">
        <v>13</v>
      </c>
    </row>
    <row r="33" spans="1:6" x14ac:dyDescent="0.3">
      <c r="A33" t="s">
        <v>62</v>
      </c>
      <c r="B33" t="s">
        <v>63</v>
      </c>
      <c r="C33" t="str">
        <f>HYPERLINK("http://service.sap.com/sap/support/notes/1881747","1881747")</f>
        <v>1881747</v>
      </c>
      <c r="D33">
        <v>1</v>
      </c>
      <c r="E33" t="s">
        <v>65</v>
      </c>
      <c r="F33" t="s">
        <v>17</v>
      </c>
    </row>
    <row r="34" spans="1:6" x14ac:dyDescent="0.3">
      <c r="A34" t="s">
        <v>66</v>
      </c>
      <c r="B34" t="s">
        <v>67</v>
      </c>
      <c r="C34" t="str">
        <f>HYPERLINK("http://service.sap.com/sap/support/notes/1425166","1425166")</f>
        <v>1425166</v>
      </c>
      <c r="D34">
        <v>6</v>
      </c>
      <c r="E34" t="s">
        <v>68</v>
      </c>
      <c r="F34" t="s">
        <v>13</v>
      </c>
    </row>
    <row r="35" spans="1:6" x14ac:dyDescent="0.3">
      <c r="A35" t="s">
        <v>66</v>
      </c>
      <c r="B35" t="s">
        <v>67</v>
      </c>
      <c r="C35" t="str">
        <f>HYPERLINK("http://service.sap.com/sap/support/notes/1799276","1799276")</f>
        <v>1799276</v>
      </c>
      <c r="D35">
        <v>3</v>
      </c>
      <c r="E35" t="s">
        <v>69</v>
      </c>
      <c r="F35" t="s">
        <v>13</v>
      </c>
    </row>
    <row r="36" spans="1:6" x14ac:dyDescent="0.3">
      <c r="A36" t="s">
        <v>66</v>
      </c>
      <c r="B36" t="s">
        <v>67</v>
      </c>
      <c r="C36" t="str">
        <f>HYPERLINK("http://service.sap.com/sap/support/notes/1870096","1870096")</f>
        <v>1870096</v>
      </c>
      <c r="D36">
        <v>4</v>
      </c>
      <c r="E36" t="s">
        <v>70</v>
      </c>
      <c r="F36" t="s">
        <v>13</v>
      </c>
    </row>
    <row r="37" spans="1:6" x14ac:dyDescent="0.3">
      <c r="A37" t="s">
        <v>66</v>
      </c>
      <c r="B37" t="s">
        <v>67</v>
      </c>
      <c r="C37" t="str">
        <f>HYPERLINK("http://service.sap.com/sap/support/notes/1878554","1878554")</f>
        <v>1878554</v>
      </c>
      <c r="D37">
        <v>1</v>
      </c>
      <c r="E37" t="s">
        <v>71</v>
      </c>
      <c r="F37" t="s">
        <v>17</v>
      </c>
    </row>
    <row r="38" spans="1:6" x14ac:dyDescent="0.3">
      <c r="A38" t="s">
        <v>66</v>
      </c>
      <c r="B38" t="s">
        <v>67</v>
      </c>
      <c r="C38" t="str">
        <f>HYPERLINK("http://service.sap.com/sap/support/notes/1890754","1890754")</f>
        <v>1890754</v>
      </c>
      <c r="D38">
        <v>1</v>
      </c>
      <c r="E38" t="s">
        <v>72</v>
      </c>
      <c r="F38" t="s">
        <v>17</v>
      </c>
    </row>
    <row r="39" spans="1:6" x14ac:dyDescent="0.3">
      <c r="A39" t="s">
        <v>66</v>
      </c>
      <c r="B39" t="s">
        <v>67</v>
      </c>
      <c r="C39" t="str">
        <f>HYPERLINK("http://service.sap.com/sap/support/notes/1892506","1892506")</f>
        <v>1892506</v>
      </c>
      <c r="D39">
        <v>2</v>
      </c>
      <c r="E39" t="s">
        <v>73</v>
      </c>
      <c r="F39" t="s">
        <v>13</v>
      </c>
    </row>
    <row r="40" spans="1:6" x14ac:dyDescent="0.3">
      <c r="A40" t="s">
        <v>66</v>
      </c>
      <c r="B40" t="s">
        <v>67</v>
      </c>
      <c r="C40" t="str">
        <f>HYPERLINK("http://service.sap.com/sap/support/notes/1912261","1912261")</f>
        <v>1912261</v>
      </c>
      <c r="D40">
        <v>1</v>
      </c>
      <c r="E40" t="s">
        <v>74</v>
      </c>
      <c r="F40" t="s">
        <v>17</v>
      </c>
    </row>
    <row r="41" spans="1:6" x14ac:dyDescent="0.3">
      <c r="A41" t="s">
        <v>66</v>
      </c>
      <c r="B41" t="s">
        <v>67</v>
      </c>
      <c r="C41" t="str">
        <f>HYPERLINK("http://service.sap.com/sap/support/notes/1913592","1913592")</f>
        <v>1913592</v>
      </c>
      <c r="D41">
        <v>1</v>
      </c>
      <c r="E41" t="s">
        <v>75</v>
      </c>
      <c r="F41" t="s">
        <v>13</v>
      </c>
    </row>
    <row r="42" spans="1:6" x14ac:dyDescent="0.3">
      <c r="A42" t="s">
        <v>76</v>
      </c>
      <c r="B42" t="s">
        <v>77</v>
      </c>
      <c r="C42" t="str">
        <f>HYPERLINK("http://service.sap.com/sap/support/notes/1897000","1897000")</f>
        <v>1897000</v>
      </c>
      <c r="D42">
        <v>1</v>
      </c>
      <c r="E42" t="s">
        <v>78</v>
      </c>
      <c r="F42" t="s">
        <v>17</v>
      </c>
    </row>
    <row r="43" spans="1:6" x14ac:dyDescent="0.3">
      <c r="A43" t="s">
        <v>79</v>
      </c>
      <c r="B43" t="s">
        <v>80</v>
      </c>
    </row>
    <row r="44" spans="1:6" x14ac:dyDescent="0.3">
      <c r="A44" t="s">
        <v>81</v>
      </c>
      <c r="B44" t="s">
        <v>82</v>
      </c>
      <c r="C44" t="str">
        <f>HYPERLINK("http://service.sap.com/sap/support/notes/1884305","1884305")</f>
        <v>1884305</v>
      </c>
      <c r="D44">
        <v>1</v>
      </c>
      <c r="E44" t="s">
        <v>83</v>
      </c>
      <c r="F44" t="s">
        <v>17</v>
      </c>
    </row>
    <row r="45" spans="1:6" x14ac:dyDescent="0.3">
      <c r="A45" t="s">
        <v>84</v>
      </c>
      <c r="B45" t="s">
        <v>85</v>
      </c>
    </row>
    <row r="46" spans="1:6" x14ac:dyDescent="0.3">
      <c r="A46" t="s">
        <v>86</v>
      </c>
      <c r="B46" t="s">
        <v>87</v>
      </c>
    </row>
    <row r="47" spans="1:6" x14ac:dyDescent="0.3">
      <c r="A47" t="s">
        <v>88</v>
      </c>
      <c r="B47" t="s">
        <v>89</v>
      </c>
      <c r="C47" t="str">
        <f>HYPERLINK("http://service.sap.com/sap/support/notes/1894069","1894069")</f>
        <v>1894069</v>
      </c>
      <c r="D47">
        <v>1</v>
      </c>
      <c r="E47" t="s">
        <v>90</v>
      </c>
      <c r="F47" t="s">
        <v>13</v>
      </c>
    </row>
    <row r="48" spans="1:6" x14ac:dyDescent="0.3">
      <c r="A48" t="s">
        <v>91</v>
      </c>
      <c r="B48" t="s">
        <v>92</v>
      </c>
      <c r="C48" t="str">
        <f>HYPERLINK("http://service.sap.com/sap/support/notes/1835039","1835039")</f>
        <v>1835039</v>
      </c>
      <c r="D48">
        <v>1</v>
      </c>
      <c r="E48" t="s">
        <v>93</v>
      </c>
      <c r="F48" t="s">
        <v>94</v>
      </c>
    </row>
    <row r="49" spans="1:6" x14ac:dyDescent="0.3">
      <c r="A49" t="s">
        <v>91</v>
      </c>
      <c r="B49" t="s">
        <v>92</v>
      </c>
      <c r="C49" t="str">
        <f>HYPERLINK("http://service.sap.com/sap/support/notes/1866874","1866874")</f>
        <v>1866874</v>
      </c>
      <c r="D49">
        <v>4</v>
      </c>
      <c r="E49" t="s">
        <v>95</v>
      </c>
      <c r="F49" t="s">
        <v>17</v>
      </c>
    </row>
    <row r="50" spans="1:6" x14ac:dyDescent="0.3">
      <c r="A50" t="s">
        <v>91</v>
      </c>
      <c r="B50" t="s">
        <v>92</v>
      </c>
      <c r="C50" t="str">
        <f>HYPERLINK("http://service.sap.com/sap/support/notes/1892650","1892650")</f>
        <v>1892650</v>
      </c>
      <c r="D50">
        <v>3</v>
      </c>
      <c r="E50" t="s">
        <v>96</v>
      </c>
      <c r="F50" t="s">
        <v>13</v>
      </c>
    </row>
    <row r="51" spans="1:6" x14ac:dyDescent="0.3">
      <c r="A51" t="s">
        <v>91</v>
      </c>
      <c r="B51" t="s">
        <v>92</v>
      </c>
      <c r="C51" t="str">
        <f>HYPERLINK("http://service.sap.com/sap/support/notes/1898147","1898147")</f>
        <v>1898147</v>
      </c>
      <c r="D51">
        <v>1</v>
      </c>
      <c r="E51" t="s">
        <v>97</v>
      </c>
      <c r="F51" t="s">
        <v>13</v>
      </c>
    </row>
    <row r="52" spans="1:6" x14ac:dyDescent="0.3">
      <c r="A52" t="s">
        <v>98</v>
      </c>
      <c r="B52" t="s">
        <v>99</v>
      </c>
    </row>
    <row r="53" spans="1:6" x14ac:dyDescent="0.3">
      <c r="A53" t="s">
        <v>100</v>
      </c>
      <c r="B53" t="s">
        <v>101</v>
      </c>
      <c r="C53" t="str">
        <f>HYPERLINK("http://service.sap.com/sap/support/notes/1875392","1875392")</f>
        <v>1875392</v>
      </c>
      <c r="D53">
        <v>3</v>
      </c>
      <c r="E53" t="s">
        <v>102</v>
      </c>
      <c r="F53" t="s">
        <v>13</v>
      </c>
    </row>
    <row r="54" spans="1:6" x14ac:dyDescent="0.3">
      <c r="A54" t="s">
        <v>103</v>
      </c>
      <c r="B54" t="s">
        <v>104</v>
      </c>
    </row>
    <row r="55" spans="1:6" x14ac:dyDescent="0.3">
      <c r="A55" t="s">
        <v>105</v>
      </c>
      <c r="B55" t="s">
        <v>106</v>
      </c>
    </row>
    <row r="56" spans="1:6" x14ac:dyDescent="0.3">
      <c r="A56" t="s">
        <v>107</v>
      </c>
      <c r="B56" t="s">
        <v>108</v>
      </c>
      <c r="C56" t="str">
        <f>HYPERLINK("http://service.sap.com/sap/support/notes/1881099","1881099")</f>
        <v>1881099</v>
      </c>
      <c r="D56">
        <v>3</v>
      </c>
      <c r="E56" t="s">
        <v>109</v>
      </c>
      <c r="F56" t="s">
        <v>11</v>
      </c>
    </row>
    <row r="57" spans="1:6" x14ac:dyDescent="0.3">
      <c r="A57" t="s">
        <v>107</v>
      </c>
      <c r="B57" t="s">
        <v>108</v>
      </c>
      <c r="C57" t="str">
        <f>HYPERLINK("http://service.sap.com/sap/support/notes/1882383","1882383")</f>
        <v>1882383</v>
      </c>
      <c r="D57">
        <v>1</v>
      </c>
      <c r="E57" t="s">
        <v>110</v>
      </c>
      <c r="F57" t="s">
        <v>11</v>
      </c>
    </row>
    <row r="58" spans="1:6" x14ac:dyDescent="0.3">
      <c r="A58" t="s">
        <v>107</v>
      </c>
      <c r="B58" t="s">
        <v>108</v>
      </c>
      <c r="C58" t="str">
        <f>HYPERLINK("http://service.sap.com/sap/support/notes/1900746","1900746")</f>
        <v>1900746</v>
      </c>
      <c r="D58">
        <v>1</v>
      </c>
      <c r="E58" t="s">
        <v>111</v>
      </c>
      <c r="F58" t="s">
        <v>17</v>
      </c>
    </row>
    <row r="59" spans="1:6" x14ac:dyDescent="0.3">
      <c r="A59" t="s">
        <v>112</v>
      </c>
      <c r="B59" t="s">
        <v>113</v>
      </c>
      <c r="C59" t="str">
        <f>HYPERLINK("http://service.sap.com/sap/support/notes/1293811","1293811")</f>
        <v>1293811</v>
      </c>
      <c r="D59">
        <v>1</v>
      </c>
      <c r="E59" t="s">
        <v>114</v>
      </c>
      <c r="F59" t="s">
        <v>13</v>
      </c>
    </row>
    <row r="60" spans="1:6" x14ac:dyDescent="0.3">
      <c r="A60" t="s">
        <v>115</v>
      </c>
      <c r="B60" t="s">
        <v>51</v>
      </c>
      <c r="C60" t="str">
        <f>HYPERLINK("http://service.sap.com/sap/support/notes/1865450","1865450")</f>
        <v>1865450</v>
      </c>
      <c r="D60">
        <v>1</v>
      </c>
      <c r="E60" t="s">
        <v>116</v>
      </c>
      <c r="F60" t="s">
        <v>17</v>
      </c>
    </row>
    <row r="61" spans="1:6" x14ac:dyDescent="0.3">
      <c r="A61" t="s">
        <v>117</v>
      </c>
      <c r="B61" t="s">
        <v>53</v>
      </c>
      <c r="C61" t="str">
        <f>HYPERLINK("http://service.sap.com/sap/support/notes/1433126","1433126")</f>
        <v>1433126</v>
      </c>
      <c r="D61">
        <v>1</v>
      </c>
      <c r="E61" t="s">
        <v>118</v>
      </c>
      <c r="F61" t="s">
        <v>17</v>
      </c>
    </row>
    <row r="62" spans="1:6" x14ac:dyDescent="0.3">
      <c r="A62" t="s">
        <v>117</v>
      </c>
      <c r="B62" t="s">
        <v>53</v>
      </c>
      <c r="C62" t="str">
        <f>HYPERLINK("http://service.sap.com/sap/support/notes/1841351","1841351")</f>
        <v>1841351</v>
      </c>
      <c r="D62">
        <v>1</v>
      </c>
      <c r="E62" t="s">
        <v>119</v>
      </c>
      <c r="F62" t="s">
        <v>13</v>
      </c>
    </row>
    <row r="63" spans="1:6" x14ac:dyDescent="0.3">
      <c r="A63" t="s">
        <v>117</v>
      </c>
      <c r="B63" t="s">
        <v>53</v>
      </c>
      <c r="C63" t="str">
        <f>HYPERLINK("http://service.sap.com/sap/support/notes/1855600","1855600")</f>
        <v>1855600</v>
      </c>
      <c r="D63">
        <v>1</v>
      </c>
      <c r="E63" t="s">
        <v>120</v>
      </c>
      <c r="F63" t="s">
        <v>13</v>
      </c>
    </row>
    <row r="64" spans="1:6" x14ac:dyDescent="0.3">
      <c r="A64" t="s">
        <v>117</v>
      </c>
      <c r="B64" t="s">
        <v>53</v>
      </c>
      <c r="C64" t="str">
        <f>HYPERLINK("http://service.sap.com/sap/support/notes/1869413","1869413")</f>
        <v>1869413</v>
      </c>
      <c r="D64">
        <v>1</v>
      </c>
      <c r="E64" t="s">
        <v>121</v>
      </c>
      <c r="F64" t="s">
        <v>13</v>
      </c>
    </row>
    <row r="65" spans="1:6" x14ac:dyDescent="0.3">
      <c r="A65" t="s">
        <v>117</v>
      </c>
      <c r="B65" t="s">
        <v>53</v>
      </c>
      <c r="C65" t="str">
        <f>HYPERLINK("http://service.sap.com/sap/support/notes/1876122","1876122")</f>
        <v>1876122</v>
      </c>
      <c r="D65">
        <v>1</v>
      </c>
      <c r="E65" t="s">
        <v>122</v>
      </c>
      <c r="F65" t="s">
        <v>17</v>
      </c>
    </row>
    <row r="66" spans="1:6" x14ac:dyDescent="0.3">
      <c r="A66" t="s">
        <v>117</v>
      </c>
      <c r="B66" t="s">
        <v>53</v>
      </c>
      <c r="C66" t="str">
        <f>HYPERLINK("http://service.sap.com/sap/support/notes/1885684","1885684")</f>
        <v>1885684</v>
      </c>
      <c r="D66">
        <v>1</v>
      </c>
      <c r="E66" t="s">
        <v>123</v>
      </c>
      <c r="F66" t="s">
        <v>94</v>
      </c>
    </row>
    <row r="67" spans="1:6" x14ac:dyDescent="0.3">
      <c r="A67" t="s">
        <v>117</v>
      </c>
      <c r="B67" t="s">
        <v>53</v>
      </c>
      <c r="C67" t="str">
        <f>HYPERLINK("http://service.sap.com/sap/support/notes/1891141","1891141")</f>
        <v>1891141</v>
      </c>
      <c r="D67">
        <v>1</v>
      </c>
      <c r="E67" t="s">
        <v>124</v>
      </c>
      <c r="F67" t="s">
        <v>94</v>
      </c>
    </row>
    <row r="68" spans="1:6" x14ac:dyDescent="0.3">
      <c r="A68" t="s">
        <v>117</v>
      </c>
      <c r="B68" t="s">
        <v>53</v>
      </c>
      <c r="C68" t="str">
        <f>HYPERLINK("http://service.sap.com/sap/support/notes/1893078","1893078")</f>
        <v>1893078</v>
      </c>
      <c r="D68">
        <v>1</v>
      </c>
      <c r="E68" t="s">
        <v>125</v>
      </c>
      <c r="F68" t="s">
        <v>11</v>
      </c>
    </row>
    <row r="69" spans="1:6" x14ac:dyDescent="0.3">
      <c r="A69" t="s">
        <v>117</v>
      </c>
      <c r="B69" t="s">
        <v>53</v>
      </c>
      <c r="C69" t="str">
        <f>HYPERLINK("http://service.sap.com/sap/support/notes/1893707","1893707")</f>
        <v>1893707</v>
      </c>
      <c r="D69">
        <v>1</v>
      </c>
      <c r="E69" t="s">
        <v>126</v>
      </c>
      <c r="F69" t="s">
        <v>13</v>
      </c>
    </row>
    <row r="70" spans="1:6" x14ac:dyDescent="0.3">
      <c r="A70" t="s">
        <v>117</v>
      </c>
      <c r="B70" t="s">
        <v>53</v>
      </c>
      <c r="C70" t="str">
        <f>HYPERLINK("http://service.sap.com/sap/support/notes/1901197","1901197")</f>
        <v>1901197</v>
      </c>
      <c r="D70">
        <v>2</v>
      </c>
      <c r="E70" t="s">
        <v>127</v>
      </c>
      <c r="F70" t="s">
        <v>13</v>
      </c>
    </row>
    <row r="71" spans="1:6" x14ac:dyDescent="0.3">
      <c r="A71" t="s">
        <v>128</v>
      </c>
      <c r="B71" t="s">
        <v>129</v>
      </c>
    </row>
    <row r="72" spans="1:6" x14ac:dyDescent="0.3">
      <c r="A72" t="s">
        <v>130</v>
      </c>
      <c r="B72" t="s">
        <v>131</v>
      </c>
      <c r="C72" t="str">
        <f>HYPERLINK("http://service.sap.com/sap/support/notes/1577957","1577957")</f>
        <v>1577957</v>
      </c>
      <c r="D72">
        <v>3</v>
      </c>
      <c r="E72" t="s">
        <v>132</v>
      </c>
      <c r="F72" t="s">
        <v>11</v>
      </c>
    </row>
    <row r="73" spans="1:6" x14ac:dyDescent="0.3">
      <c r="A73" t="s">
        <v>130</v>
      </c>
      <c r="B73" t="s">
        <v>131</v>
      </c>
      <c r="C73" t="str">
        <f>HYPERLINK("http://service.sap.com/sap/support/notes/1872281","1872281")</f>
        <v>1872281</v>
      </c>
      <c r="D73">
        <v>3</v>
      </c>
      <c r="E73" t="s">
        <v>133</v>
      </c>
      <c r="F73" t="s">
        <v>17</v>
      </c>
    </row>
    <row r="74" spans="1:6" x14ac:dyDescent="0.3">
      <c r="A74" t="s">
        <v>130</v>
      </c>
      <c r="B74" t="s">
        <v>131</v>
      </c>
      <c r="C74" t="str">
        <f>HYPERLINK("http://service.sap.com/sap/support/notes/1875440","1875440")</f>
        <v>1875440</v>
      </c>
      <c r="D74">
        <v>2</v>
      </c>
      <c r="E74" t="s">
        <v>134</v>
      </c>
      <c r="F74" t="s">
        <v>17</v>
      </c>
    </row>
    <row r="75" spans="1:6" x14ac:dyDescent="0.3">
      <c r="A75" t="s">
        <v>135</v>
      </c>
      <c r="B75" t="s">
        <v>136</v>
      </c>
    </row>
    <row r="76" spans="1:6" x14ac:dyDescent="0.3">
      <c r="A76" t="s">
        <v>137</v>
      </c>
      <c r="B76" t="s">
        <v>138</v>
      </c>
      <c r="C76" t="str">
        <f>HYPERLINK("http://service.sap.com/sap/support/notes/1888336","1888336")</f>
        <v>1888336</v>
      </c>
      <c r="D76">
        <v>1</v>
      </c>
      <c r="E76" t="s">
        <v>139</v>
      </c>
      <c r="F76" t="s">
        <v>13</v>
      </c>
    </row>
    <row r="77" spans="1:6" x14ac:dyDescent="0.3">
      <c r="A77" t="s">
        <v>140</v>
      </c>
      <c r="B77" t="s">
        <v>131</v>
      </c>
      <c r="C77" t="str">
        <f>HYPERLINK("http://service.sap.com/sap/support/notes/1641039","1641039")</f>
        <v>1641039</v>
      </c>
      <c r="D77">
        <v>2</v>
      </c>
      <c r="E77" t="s">
        <v>141</v>
      </c>
      <c r="F77" t="s">
        <v>13</v>
      </c>
    </row>
    <row r="78" spans="1:6" x14ac:dyDescent="0.3">
      <c r="A78" t="s">
        <v>140</v>
      </c>
      <c r="B78" t="s">
        <v>131</v>
      </c>
      <c r="C78" t="str">
        <f>HYPERLINK("http://service.sap.com/sap/support/notes/1768143","1768143")</f>
        <v>1768143</v>
      </c>
      <c r="D78">
        <v>1</v>
      </c>
      <c r="E78" t="s">
        <v>142</v>
      </c>
      <c r="F78" t="s">
        <v>17</v>
      </c>
    </row>
    <row r="79" spans="1:6" x14ac:dyDescent="0.3">
      <c r="A79" t="s">
        <v>140</v>
      </c>
      <c r="B79" t="s">
        <v>131</v>
      </c>
      <c r="C79" t="str">
        <f>HYPERLINK("http://service.sap.com/sap/support/notes/1835118","1835118")</f>
        <v>1835118</v>
      </c>
      <c r="D79">
        <v>5</v>
      </c>
      <c r="E79" t="s">
        <v>143</v>
      </c>
      <c r="F79" t="s">
        <v>17</v>
      </c>
    </row>
    <row r="80" spans="1:6" x14ac:dyDescent="0.3">
      <c r="A80" t="s">
        <v>140</v>
      </c>
      <c r="B80" t="s">
        <v>131</v>
      </c>
      <c r="C80" t="str">
        <f>HYPERLINK("http://service.sap.com/sap/support/notes/1885786","1885786")</f>
        <v>1885786</v>
      </c>
      <c r="D80">
        <v>3</v>
      </c>
      <c r="E80" t="s">
        <v>144</v>
      </c>
      <c r="F80" t="s">
        <v>13</v>
      </c>
    </row>
    <row r="81" spans="1:6" x14ac:dyDescent="0.3">
      <c r="A81" t="s">
        <v>140</v>
      </c>
      <c r="B81" t="s">
        <v>131</v>
      </c>
      <c r="C81" t="str">
        <f>HYPERLINK("http://service.sap.com/sap/support/notes/1890646","1890646")</f>
        <v>1890646</v>
      </c>
      <c r="D81">
        <v>2</v>
      </c>
      <c r="E81" t="s">
        <v>145</v>
      </c>
      <c r="F81" t="s">
        <v>13</v>
      </c>
    </row>
    <row r="82" spans="1:6" x14ac:dyDescent="0.3">
      <c r="A82" t="s">
        <v>140</v>
      </c>
      <c r="B82" t="s">
        <v>131</v>
      </c>
      <c r="C82" t="str">
        <f>HYPERLINK("http://service.sap.com/sap/support/notes/1913473","1913473")</f>
        <v>1913473</v>
      </c>
      <c r="D82">
        <v>1</v>
      </c>
      <c r="E82" t="s">
        <v>146</v>
      </c>
      <c r="F82" t="s">
        <v>13</v>
      </c>
    </row>
    <row r="83" spans="1:6" x14ac:dyDescent="0.3">
      <c r="A83" t="s">
        <v>147</v>
      </c>
      <c r="B83" t="s">
        <v>148</v>
      </c>
    </row>
    <row r="84" spans="1:6" x14ac:dyDescent="0.3">
      <c r="A84" t="s">
        <v>149</v>
      </c>
      <c r="B84" t="s">
        <v>138</v>
      </c>
      <c r="C84" t="str">
        <f>HYPERLINK("http://service.sap.com/sap/support/notes/1862427","1862427")</f>
        <v>1862427</v>
      </c>
      <c r="D84">
        <v>2</v>
      </c>
      <c r="E84" t="s">
        <v>150</v>
      </c>
      <c r="F84" t="s">
        <v>17</v>
      </c>
    </row>
    <row r="85" spans="1:6" x14ac:dyDescent="0.3">
      <c r="A85" t="s">
        <v>149</v>
      </c>
      <c r="B85" t="s">
        <v>138</v>
      </c>
      <c r="C85" t="str">
        <f>HYPERLINK("http://service.sap.com/sap/support/notes/1897608","1897608")</f>
        <v>1897608</v>
      </c>
      <c r="D85">
        <v>2</v>
      </c>
      <c r="E85" t="s">
        <v>151</v>
      </c>
      <c r="F85" t="s">
        <v>13</v>
      </c>
    </row>
    <row r="86" spans="1:6" x14ac:dyDescent="0.3">
      <c r="A86" t="s">
        <v>152</v>
      </c>
      <c r="B86" t="s">
        <v>153</v>
      </c>
      <c r="C86" t="str">
        <f>HYPERLINK("http://service.sap.com/sap/support/notes/1857121","1857121")</f>
        <v>1857121</v>
      </c>
      <c r="D86">
        <v>1</v>
      </c>
      <c r="E86" t="s">
        <v>154</v>
      </c>
      <c r="F86" t="s">
        <v>13</v>
      </c>
    </row>
    <row r="87" spans="1:6" x14ac:dyDescent="0.3">
      <c r="A87" t="s">
        <v>152</v>
      </c>
      <c r="B87" t="s">
        <v>153</v>
      </c>
      <c r="C87" t="str">
        <f>HYPERLINK("http://service.sap.com/sap/support/notes/1891307","1891307")</f>
        <v>1891307</v>
      </c>
      <c r="D87">
        <v>1</v>
      </c>
      <c r="E87" t="s">
        <v>155</v>
      </c>
      <c r="F87" t="s">
        <v>17</v>
      </c>
    </row>
    <row r="88" spans="1:6" x14ac:dyDescent="0.3">
      <c r="A88" t="s">
        <v>156</v>
      </c>
      <c r="B88" t="s">
        <v>157</v>
      </c>
      <c r="C88" t="str">
        <f>HYPERLINK("http://service.sap.com/sap/support/notes/1882760","1882760")</f>
        <v>1882760</v>
      </c>
      <c r="D88">
        <v>2</v>
      </c>
      <c r="E88" t="s">
        <v>158</v>
      </c>
      <c r="F88" t="s">
        <v>17</v>
      </c>
    </row>
    <row r="89" spans="1:6" x14ac:dyDescent="0.3">
      <c r="A89" t="s">
        <v>159</v>
      </c>
      <c r="B89" t="s">
        <v>160</v>
      </c>
      <c r="C89" t="str">
        <f>HYPERLINK("http://service.sap.com/sap/support/notes/1873059","1873059")</f>
        <v>1873059</v>
      </c>
      <c r="D89">
        <v>1</v>
      </c>
      <c r="E89" t="s">
        <v>161</v>
      </c>
      <c r="F89" t="s">
        <v>13</v>
      </c>
    </row>
    <row r="90" spans="1:6" x14ac:dyDescent="0.3">
      <c r="A90" t="s">
        <v>159</v>
      </c>
      <c r="B90" t="s">
        <v>160</v>
      </c>
      <c r="C90" t="str">
        <f>HYPERLINK("http://service.sap.com/sap/support/notes/1884747","1884747")</f>
        <v>1884747</v>
      </c>
      <c r="D90">
        <v>1</v>
      </c>
      <c r="E90" t="s">
        <v>162</v>
      </c>
      <c r="F90" t="s">
        <v>13</v>
      </c>
    </row>
    <row r="91" spans="1:6" x14ac:dyDescent="0.3">
      <c r="A91" t="s">
        <v>159</v>
      </c>
      <c r="B91" t="s">
        <v>160</v>
      </c>
      <c r="C91" t="str">
        <f>HYPERLINK("http://service.sap.com/sap/support/notes/1892004","1892004")</f>
        <v>1892004</v>
      </c>
      <c r="D91">
        <v>2</v>
      </c>
      <c r="E91" t="s">
        <v>163</v>
      </c>
      <c r="F91" t="s">
        <v>13</v>
      </c>
    </row>
    <row r="92" spans="1:6" x14ac:dyDescent="0.3">
      <c r="A92" t="s">
        <v>159</v>
      </c>
      <c r="B92" t="s">
        <v>160</v>
      </c>
      <c r="C92" t="str">
        <f>HYPERLINK("http://service.sap.com/sap/support/notes/1912608","1912608")</f>
        <v>1912608</v>
      </c>
      <c r="D92">
        <v>2</v>
      </c>
      <c r="E92" t="s">
        <v>164</v>
      </c>
      <c r="F92" t="s">
        <v>17</v>
      </c>
    </row>
    <row r="93" spans="1:6" x14ac:dyDescent="0.3">
      <c r="A93" t="s">
        <v>165</v>
      </c>
      <c r="B93" t="s">
        <v>131</v>
      </c>
      <c r="C93" t="str">
        <f>HYPERLINK("http://service.sap.com/sap/support/notes/1541228","1541228")</f>
        <v>1541228</v>
      </c>
      <c r="D93">
        <v>3</v>
      </c>
      <c r="E93" t="s">
        <v>166</v>
      </c>
      <c r="F93" t="s">
        <v>17</v>
      </c>
    </row>
    <row r="94" spans="1:6" x14ac:dyDescent="0.3">
      <c r="A94" t="s">
        <v>165</v>
      </c>
      <c r="B94" t="s">
        <v>131</v>
      </c>
      <c r="C94" t="str">
        <f>HYPERLINK("http://service.sap.com/sap/support/notes/1765792","1765792")</f>
        <v>1765792</v>
      </c>
      <c r="D94">
        <v>8</v>
      </c>
      <c r="E94" t="s">
        <v>167</v>
      </c>
      <c r="F94" t="s">
        <v>17</v>
      </c>
    </row>
    <row r="95" spans="1:6" x14ac:dyDescent="0.3">
      <c r="A95" t="s">
        <v>165</v>
      </c>
      <c r="B95" t="s">
        <v>131</v>
      </c>
      <c r="C95" t="str">
        <f>HYPERLINK("http://service.sap.com/sap/support/notes/1868566","1868566")</f>
        <v>1868566</v>
      </c>
      <c r="D95">
        <v>2</v>
      </c>
      <c r="E95" t="s">
        <v>168</v>
      </c>
      <c r="F95" t="s">
        <v>94</v>
      </c>
    </row>
    <row r="96" spans="1:6" x14ac:dyDescent="0.3">
      <c r="A96" t="s">
        <v>165</v>
      </c>
      <c r="B96" t="s">
        <v>131</v>
      </c>
      <c r="C96" t="str">
        <f>HYPERLINK("http://service.sap.com/sap/support/notes/1874327","1874327")</f>
        <v>1874327</v>
      </c>
      <c r="D96">
        <v>2</v>
      </c>
      <c r="E96" t="s">
        <v>169</v>
      </c>
      <c r="F96" t="s">
        <v>17</v>
      </c>
    </row>
    <row r="97" spans="1:6" x14ac:dyDescent="0.3">
      <c r="A97" t="s">
        <v>165</v>
      </c>
      <c r="B97" t="s">
        <v>131</v>
      </c>
      <c r="C97" t="str">
        <f>HYPERLINK("http://service.sap.com/sap/support/notes/1881273","1881273")</f>
        <v>1881273</v>
      </c>
      <c r="D97">
        <v>2</v>
      </c>
      <c r="E97" t="s">
        <v>170</v>
      </c>
      <c r="F97" t="s">
        <v>94</v>
      </c>
    </row>
    <row r="98" spans="1:6" x14ac:dyDescent="0.3">
      <c r="A98" t="s">
        <v>165</v>
      </c>
      <c r="B98" t="s">
        <v>131</v>
      </c>
      <c r="C98" t="str">
        <f>HYPERLINK("http://service.sap.com/sap/support/notes/1881876","1881876")</f>
        <v>1881876</v>
      </c>
      <c r="D98">
        <v>1</v>
      </c>
      <c r="E98" t="s">
        <v>171</v>
      </c>
      <c r="F98" t="s">
        <v>17</v>
      </c>
    </row>
    <row r="99" spans="1:6" x14ac:dyDescent="0.3">
      <c r="A99" t="s">
        <v>165</v>
      </c>
      <c r="B99" t="s">
        <v>131</v>
      </c>
      <c r="C99" t="str">
        <f>HYPERLINK("http://service.sap.com/sap/support/notes/1883584","1883584")</f>
        <v>1883584</v>
      </c>
      <c r="D99">
        <v>1</v>
      </c>
      <c r="E99" t="s">
        <v>167</v>
      </c>
      <c r="F99" t="s">
        <v>17</v>
      </c>
    </row>
    <row r="100" spans="1:6" x14ac:dyDescent="0.3">
      <c r="A100" t="s">
        <v>172</v>
      </c>
      <c r="B100" t="s">
        <v>173</v>
      </c>
      <c r="C100" t="str">
        <f>HYPERLINK("http://service.sap.com/sap/support/notes/1874153","1874153")</f>
        <v>1874153</v>
      </c>
      <c r="D100">
        <v>1</v>
      </c>
      <c r="E100" t="s">
        <v>174</v>
      </c>
      <c r="F100" t="s">
        <v>13</v>
      </c>
    </row>
    <row r="101" spans="1:6" x14ac:dyDescent="0.3">
      <c r="A101" t="s">
        <v>175</v>
      </c>
      <c r="B101" t="s">
        <v>176</v>
      </c>
    </row>
    <row r="102" spans="1:6" x14ac:dyDescent="0.3">
      <c r="A102" t="s">
        <v>177</v>
      </c>
      <c r="B102" t="s">
        <v>138</v>
      </c>
      <c r="C102" t="str">
        <f>HYPERLINK("http://service.sap.com/sap/support/notes/1879690","1879690")</f>
        <v>1879690</v>
      </c>
      <c r="D102">
        <v>2</v>
      </c>
      <c r="E102" t="s">
        <v>178</v>
      </c>
      <c r="F102" t="s">
        <v>13</v>
      </c>
    </row>
    <row r="103" spans="1:6" x14ac:dyDescent="0.3">
      <c r="A103" t="s">
        <v>179</v>
      </c>
      <c r="B103" t="s">
        <v>160</v>
      </c>
      <c r="C103" t="str">
        <f>HYPERLINK("http://service.sap.com/sap/support/notes/1830924","1830924")</f>
        <v>1830924</v>
      </c>
      <c r="D103">
        <v>3</v>
      </c>
      <c r="E103" t="s">
        <v>180</v>
      </c>
      <c r="F103" t="s">
        <v>13</v>
      </c>
    </row>
    <row r="104" spans="1:6" x14ac:dyDescent="0.3">
      <c r="A104" t="s">
        <v>181</v>
      </c>
      <c r="B104" t="s">
        <v>182</v>
      </c>
      <c r="C104" t="str">
        <f>HYPERLINK("http://service.sap.com/sap/support/notes/865072","865072")</f>
        <v>865072</v>
      </c>
      <c r="D104">
        <v>7</v>
      </c>
      <c r="E104" t="s">
        <v>183</v>
      </c>
      <c r="F104" t="s">
        <v>13</v>
      </c>
    </row>
    <row r="105" spans="1:6" x14ac:dyDescent="0.3">
      <c r="A105" t="s">
        <v>181</v>
      </c>
      <c r="B105" t="s">
        <v>182</v>
      </c>
      <c r="C105" t="str">
        <f>HYPERLINK("http://service.sap.com/sap/support/notes/1876048","1876048")</f>
        <v>1876048</v>
      </c>
      <c r="D105">
        <v>3</v>
      </c>
      <c r="E105" t="s">
        <v>184</v>
      </c>
      <c r="F105" t="s">
        <v>13</v>
      </c>
    </row>
    <row r="106" spans="1:6" x14ac:dyDescent="0.3">
      <c r="A106" t="s">
        <v>181</v>
      </c>
      <c r="B106" t="s">
        <v>182</v>
      </c>
      <c r="C106" t="str">
        <f>HYPERLINK("http://service.sap.com/sap/support/notes/1879220","1879220")</f>
        <v>1879220</v>
      </c>
      <c r="D106">
        <v>1</v>
      </c>
      <c r="E106" t="s">
        <v>185</v>
      </c>
      <c r="F106" t="s">
        <v>13</v>
      </c>
    </row>
    <row r="107" spans="1:6" x14ac:dyDescent="0.3">
      <c r="A107" t="s">
        <v>181</v>
      </c>
      <c r="B107" t="s">
        <v>182</v>
      </c>
      <c r="C107" t="str">
        <f>HYPERLINK("http://service.sap.com/sap/support/notes/1881731","1881731")</f>
        <v>1881731</v>
      </c>
      <c r="D107">
        <v>1</v>
      </c>
      <c r="E107" t="s">
        <v>186</v>
      </c>
      <c r="F107" t="s">
        <v>13</v>
      </c>
    </row>
    <row r="108" spans="1:6" x14ac:dyDescent="0.3">
      <c r="A108" t="s">
        <v>187</v>
      </c>
      <c r="B108" t="s">
        <v>188</v>
      </c>
    </row>
    <row r="109" spans="1:6" x14ac:dyDescent="0.3">
      <c r="A109" t="s">
        <v>189</v>
      </c>
      <c r="B109" t="s">
        <v>138</v>
      </c>
      <c r="C109" t="str">
        <f>HYPERLINK("http://service.sap.com/sap/support/notes/1766920","1766920")</f>
        <v>1766920</v>
      </c>
      <c r="D109">
        <v>4</v>
      </c>
      <c r="E109" t="s">
        <v>190</v>
      </c>
      <c r="F109" t="s">
        <v>17</v>
      </c>
    </row>
    <row r="110" spans="1:6" x14ac:dyDescent="0.3">
      <c r="A110" t="s">
        <v>189</v>
      </c>
      <c r="B110" t="s">
        <v>138</v>
      </c>
      <c r="C110" t="str">
        <f>HYPERLINK("http://service.sap.com/sap/support/notes/1788350","1788350")</f>
        <v>1788350</v>
      </c>
      <c r="D110">
        <v>2</v>
      </c>
      <c r="E110" t="s">
        <v>191</v>
      </c>
      <c r="F110" t="s">
        <v>13</v>
      </c>
    </row>
    <row r="111" spans="1:6" x14ac:dyDescent="0.3">
      <c r="A111" t="s">
        <v>189</v>
      </c>
      <c r="B111" t="s">
        <v>138</v>
      </c>
      <c r="C111" t="str">
        <f>HYPERLINK("http://service.sap.com/sap/support/notes/1860956","1860956")</f>
        <v>1860956</v>
      </c>
      <c r="D111">
        <v>1</v>
      </c>
      <c r="E111" t="s">
        <v>192</v>
      </c>
      <c r="F111" t="s">
        <v>13</v>
      </c>
    </row>
    <row r="112" spans="1:6" x14ac:dyDescent="0.3">
      <c r="A112" t="s">
        <v>189</v>
      </c>
      <c r="B112" t="s">
        <v>138</v>
      </c>
      <c r="C112" t="str">
        <f>HYPERLINK("http://service.sap.com/sap/support/notes/1870481","1870481")</f>
        <v>1870481</v>
      </c>
      <c r="D112">
        <v>1</v>
      </c>
      <c r="E112" t="s">
        <v>193</v>
      </c>
      <c r="F112" t="s">
        <v>17</v>
      </c>
    </row>
    <row r="113" spans="1:6" x14ac:dyDescent="0.3">
      <c r="A113" t="s">
        <v>189</v>
      </c>
      <c r="B113" t="s">
        <v>138</v>
      </c>
      <c r="C113" t="str">
        <f>HYPERLINK("http://service.sap.com/sap/support/notes/1908225","1908225")</f>
        <v>1908225</v>
      </c>
      <c r="D113">
        <v>1</v>
      </c>
      <c r="E113" t="s">
        <v>194</v>
      </c>
      <c r="F113" t="s">
        <v>13</v>
      </c>
    </row>
    <row r="114" spans="1:6" x14ac:dyDescent="0.3">
      <c r="A114" t="s">
        <v>195</v>
      </c>
      <c r="B114" t="s">
        <v>153</v>
      </c>
      <c r="C114" t="str">
        <f>HYPERLINK("http://service.sap.com/sap/support/notes/1878895","1878895")</f>
        <v>1878895</v>
      </c>
      <c r="D114">
        <v>1</v>
      </c>
      <c r="E114" t="s">
        <v>196</v>
      </c>
      <c r="F114" t="s">
        <v>17</v>
      </c>
    </row>
    <row r="115" spans="1:6" x14ac:dyDescent="0.3">
      <c r="A115" t="s">
        <v>197</v>
      </c>
      <c r="B115" t="s">
        <v>198</v>
      </c>
      <c r="C115" t="str">
        <f>HYPERLINK("http://service.sap.com/sap/support/notes/1847059","1847059")</f>
        <v>1847059</v>
      </c>
      <c r="D115">
        <v>1</v>
      </c>
      <c r="E115" t="s">
        <v>199</v>
      </c>
      <c r="F115" t="s">
        <v>13</v>
      </c>
    </row>
    <row r="116" spans="1:6" x14ac:dyDescent="0.3">
      <c r="A116" t="s">
        <v>197</v>
      </c>
      <c r="B116" t="s">
        <v>198</v>
      </c>
      <c r="C116" t="str">
        <f>HYPERLINK("http://service.sap.com/sap/support/notes/1874200","1874200")</f>
        <v>1874200</v>
      </c>
      <c r="D116">
        <v>1</v>
      </c>
      <c r="E116" t="s">
        <v>200</v>
      </c>
      <c r="F116" t="s">
        <v>13</v>
      </c>
    </row>
    <row r="117" spans="1:6" x14ac:dyDescent="0.3">
      <c r="A117" t="s">
        <v>197</v>
      </c>
      <c r="B117" t="s">
        <v>198</v>
      </c>
      <c r="C117" t="str">
        <f>HYPERLINK("http://service.sap.com/sap/support/notes/1889094","1889094")</f>
        <v>1889094</v>
      </c>
      <c r="D117">
        <v>2</v>
      </c>
      <c r="E117" t="s">
        <v>201</v>
      </c>
      <c r="F117" t="s">
        <v>13</v>
      </c>
    </row>
    <row r="118" spans="1:6" x14ac:dyDescent="0.3">
      <c r="A118" t="s">
        <v>197</v>
      </c>
      <c r="B118" t="s">
        <v>198</v>
      </c>
      <c r="C118" t="str">
        <f>HYPERLINK("http://service.sap.com/sap/support/notes/1891646","1891646")</f>
        <v>1891646</v>
      </c>
      <c r="D118">
        <v>1</v>
      </c>
      <c r="E118" t="s">
        <v>202</v>
      </c>
      <c r="F118" t="s">
        <v>17</v>
      </c>
    </row>
    <row r="119" spans="1:6" x14ac:dyDescent="0.3">
      <c r="A119" t="s">
        <v>197</v>
      </c>
      <c r="B119" t="s">
        <v>198</v>
      </c>
      <c r="C119" t="str">
        <f>HYPERLINK("http://service.sap.com/sap/support/notes/1892217","1892217")</f>
        <v>1892217</v>
      </c>
      <c r="D119">
        <v>1</v>
      </c>
      <c r="E119" t="s">
        <v>203</v>
      </c>
      <c r="F119" t="s">
        <v>13</v>
      </c>
    </row>
    <row r="120" spans="1:6" x14ac:dyDescent="0.3">
      <c r="A120" t="s">
        <v>197</v>
      </c>
      <c r="B120" t="s">
        <v>198</v>
      </c>
      <c r="C120" t="str">
        <f>HYPERLINK("http://service.sap.com/sap/support/notes/1893204","1893204")</f>
        <v>1893204</v>
      </c>
      <c r="D120">
        <v>1</v>
      </c>
      <c r="E120" t="s">
        <v>204</v>
      </c>
      <c r="F120" t="s">
        <v>17</v>
      </c>
    </row>
    <row r="121" spans="1:6" x14ac:dyDescent="0.3">
      <c r="A121" t="s">
        <v>205</v>
      </c>
      <c r="B121" t="s">
        <v>157</v>
      </c>
      <c r="C121" t="str">
        <f>HYPERLINK("http://service.sap.com/sap/support/notes/1867595","1867595")</f>
        <v>1867595</v>
      </c>
      <c r="D121">
        <v>2</v>
      </c>
      <c r="E121" t="s">
        <v>206</v>
      </c>
      <c r="F121" t="s">
        <v>13</v>
      </c>
    </row>
    <row r="122" spans="1:6" x14ac:dyDescent="0.3">
      <c r="A122" t="s">
        <v>205</v>
      </c>
      <c r="B122" t="s">
        <v>157</v>
      </c>
      <c r="C122" t="str">
        <f>HYPERLINK("http://service.sap.com/sap/support/notes/1887127","1887127")</f>
        <v>1887127</v>
      </c>
      <c r="D122">
        <v>2</v>
      </c>
      <c r="E122" t="s">
        <v>207</v>
      </c>
      <c r="F122" t="s">
        <v>13</v>
      </c>
    </row>
    <row r="123" spans="1:6" x14ac:dyDescent="0.3">
      <c r="A123" t="s">
        <v>208</v>
      </c>
      <c r="B123" t="s">
        <v>131</v>
      </c>
      <c r="C123" t="str">
        <f>HYPERLINK("http://service.sap.com/sap/support/notes/1014227","1014227")</f>
        <v>1014227</v>
      </c>
      <c r="D123">
        <v>13</v>
      </c>
      <c r="E123" t="s">
        <v>209</v>
      </c>
      <c r="F123" t="s">
        <v>17</v>
      </c>
    </row>
    <row r="124" spans="1:6" x14ac:dyDescent="0.3">
      <c r="A124" t="s">
        <v>208</v>
      </c>
      <c r="B124" t="s">
        <v>131</v>
      </c>
      <c r="C124" t="str">
        <f>HYPERLINK("http://service.sap.com/sap/support/notes/1247184","1247184")</f>
        <v>1247184</v>
      </c>
      <c r="D124">
        <v>8</v>
      </c>
      <c r="E124" t="s">
        <v>210</v>
      </c>
      <c r="F124" t="s">
        <v>11</v>
      </c>
    </row>
    <row r="125" spans="1:6" x14ac:dyDescent="0.3">
      <c r="A125" t="s">
        <v>208</v>
      </c>
      <c r="B125" t="s">
        <v>131</v>
      </c>
      <c r="C125" t="str">
        <f>HYPERLINK("http://service.sap.com/sap/support/notes/1760796","1760796")</f>
        <v>1760796</v>
      </c>
      <c r="D125">
        <v>1</v>
      </c>
      <c r="E125" t="s">
        <v>211</v>
      </c>
      <c r="F125" t="s">
        <v>17</v>
      </c>
    </row>
    <row r="126" spans="1:6" x14ac:dyDescent="0.3">
      <c r="A126" t="s">
        <v>208</v>
      </c>
      <c r="B126" t="s">
        <v>131</v>
      </c>
      <c r="C126" t="str">
        <f>HYPERLINK("http://service.sap.com/sap/support/notes/1809392","1809392")</f>
        <v>1809392</v>
      </c>
      <c r="D126">
        <v>2</v>
      </c>
      <c r="E126" t="s">
        <v>212</v>
      </c>
      <c r="F126" t="s">
        <v>17</v>
      </c>
    </row>
    <row r="127" spans="1:6" x14ac:dyDescent="0.3">
      <c r="A127" t="s">
        <v>208</v>
      </c>
      <c r="B127" t="s">
        <v>131</v>
      </c>
      <c r="C127" t="str">
        <f>HYPERLINK("http://service.sap.com/sap/support/notes/1833935","1833935")</f>
        <v>1833935</v>
      </c>
      <c r="D127">
        <v>5</v>
      </c>
      <c r="E127" t="s">
        <v>213</v>
      </c>
      <c r="F127" t="s">
        <v>17</v>
      </c>
    </row>
    <row r="128" spans="1:6" x14ac:dyDescent="0.3">
      <c r="A128" t="s">
        <v>208</v>
      </c>
      <c r="B128" t="s">
        <v>131</v>
      </c>
      <c r="C128" t="str">
        <f>HYPERLINK("http://service.sap.com/sap/support/notes/1835490","1835490")</f>
        <v>1835490</v>
      </c>
      <c r="D128">
        <v>4</v>
      </c>
      <c r="E128" t="s">
        <v>214</v>
      </c>
      <c r="F128" t="s">
        <v>11</v>
      </c>
    </row>
    <row r="129" spans="1:6" x14ac:dyDescent="0.3">
      <c r="A129" t="s">
        <v>208</v>
      </c>
      <c r="B129" t="s">
        <v>131</v>
      </c>
      <c r="C129" t="str">
        <f>HYPERLINK("http://service.sap.com/sap/support/notes/1850441","1850441")</f>
        <v>1850441</v>
      </c>
      <c r="D129">
        <v>2</v>
      </c>
      <c r="E129" t="s">
        <v>215</v>
      </c>
      <c r="F129" t="s">
        <v>94</v>
      </c>
    </row>
    <row r="130" spans="1:6" x14ac:dyDescent="0.3">
      <c r="A130" t="s">
        <v>208</v>
      </c>
      <c r="B130" t="s">
        <v>131</v>
      </c>
      <c r="C130" t="str">
        <f>HYPERLINK("http://service.sap.com/sap/support/notes/1853037","1853037")</f>
        <v>1853037</v>
      </c>
      <c r="D130">
        <v>4</v>
      </c>
      <c r="E130" t="s">
        <v>216</v>
      </c>
      <c r="F130" t="s">
        <v>17</v>
      </c>
    </row>
    <row r="131" spans="1:6" x14ac:dyDescent="0.3">
      <c r="A131" t="s">
        <v>208</v>
      </c>
      <c r="B131" t="s">
        <v>131</v>
      </c>
      <c r="C131" t="str">
        <f>HYPERLINK("http://service.sap.com/sap/support/notes/1891854","1891854")</f>
        <v>1891854</v>
      </c>
      <c r="D131">
        <v>1</v>
      </c>
      <c r="E131" t="s">
        <v>217</v>
      </c>
      <c r="F131" t="s">
        <v>13</v>
      </c>
    </row>
    <row r="132" spans="1:6" x14ac:dyDescent="0.3">
      <c r="A132" t="s">
        <v>208</v>
      </c>
      <c r="B132" t="s">
        <v>131</v>
      </c>
      <c r="C132" t="str">
        <f>HYPERLINK("http://service.sap.com/sap/support/notes/1908287","1908287")</f>
        <v>1908287</v>
      </c>
      <c r="D132">
        <v>1</v>
      </c>
      <c r="E132" t="s">
        <v>218</v>
      </c>
      <c r="F132" t="s">
        <v>13</v>
      </c>
    </row>
    <row r="133" spans="1:6" x14ac:dyDescent="0.3">
      <c r="A133" t="s">
        <v>208</v>
      </c>
      <c r="B133" t="s">
        <v>131</v>
      </c>
      <c r="C133" t="str">
        <f>HYPERLINK("http://service.sap.com/sap/support/notes/1922184","1922184")</f>
        <v>1922184</v>
      </c>
      <c r="D133">
        <v>2</v>
      </c>
      <c r="E133" t="s">
        <v>219</v>
      </c>
      <c r="F133" t="s">
        <v>11</v>
      </c>
    </row>
    <row r="134" spans="1:6" x14ac:dyDescent="0.3">
      <c r="A134" t="s">
        <v>208</v>
      </c>
      <c r="B134" t="s">
        <v>131</v>
      </c>
      <c r="C134" t="str">
        <f>HYPERLINK("http://service.sap.com/sap/support/notes/1925476","1925476")</f>
        <v>1925476</v>
      </c>
      <c r="D134">
        <v>1</v>
      </c>
      <c r="E134" t="s">
        <v>220</v>
      </c>
      <c r="F134" t="s">
        <v>17</v>
      </c>
    </row>
    <row r="135" spans="1:6" x14ac:dyDescent="0.3">
      <c r="A135" t="s">
        <v>221</v>
      </c>
      <c r="B135" t="s">
        <v>173</v>
      </c>
      <c r="C135" t="str">
        <f>HYPERLINK("http://service.sap.com/sap/support/notes/1883019","1883019")</f>
        <v>1883019</v>
      </c>
      <c r="D135">
        <v>2</v>
      </c>
      <c r="E135" t="s">
        <v>222</v>
      </c>
      <c r="F135" t="s">
        <v>17</v>
      </c>
    </row>
    <row r="136" spans="1:6" x14ac:dyDescent="0.3">
      <c r="A136" t="s">
        <v>223</v>
      </c>
      <c r="B136" t="s">
        <v>224</v>
      </c>
      <c r="C136" t="str">
        <f>HYPERLINK("http://service.sap.com/sap/support/notes/1760066","1760066")</f>
        <v>1760066</v>
      </c>
      <c r="D136">
        <v>3</v>
      </c>
      <c r="E136" t="s">
        <v>225</v>
      </c>
      <c r="F136" t="s">
        <v>17</v>
      </c>
    </row>
    <row r="137" spans="1:6" x14ac:dyDescent="0.3">
      <c r="A137" t="s">
        <v>223</v>
      </c>
      <c r="B137" t="s">
        <v>224</v>
      </c>
      <c r="C137" t="str">
        <f>HYPERLINK("http://service.sap.com/sap/support/notes/1834753","1834753")</f>
        <v>1834753</v>
      </c>
      <c r="D137">
        <v>2</v>
      </c>
      <c r="E137" t="s">
        <v>226</v>
      </c>
      <c r="F137" t="s">
        <v>17</v>
      </c>
    </row>
    <row r="138" spans="1:6" x14ac:dyDescent="0.3">
      <c r="A138" t="s">
        <v>223</v>
      </c>
      <c r="B138" t="s">
        <v>224</v>
      </c>
      <c r="C138" t="str">
        <f>HYPERLINK("http://service.sap.com/sap/support/notes/1860367","1860367")</f>
        <v>1860367</v>
      </c>
      <c r="D138">
        <v>3</v>
      </c>
      <c r="E138" t="s">
        <v>227</v>
      </c>
      <c r="F138" t="s">
        <v>11</v>
      </c>
    </row>
    <row r="139" spans="1:6" x14ac:dyDescent="0.3">
      <c r="A139" t="s">
        <v>223</v>
      </c>
      <c r="B139" t="s">
        <v>224</v>
      </c>
      <c r="C139" t="str">
        <f>HYPERLINK("http://service.sap.com/sap/support/notes/1877075","1877075")</f>
        <v>1877075</v>
      </c>
      <c r="D139">
        <v>1</v>
      </c>
      <c r="E139" t="s">
        <v>228</v>
      </c>
      <c r="F139" t="s">
        <v>17</v>
      </c>
    </row>
    <row r="140" spans="1:6" x14ac:dyDescent="0.3">
      <c r="A140" t="s">
        <v>223</v>
      </c>
      <c r="B140" t="s">
        <v>224</v>
      </c>
      <c r="C140" t="str">
        <f>HYPERLINK("http://service.sap.com/sap/support/notes/1879109","1879109")</f>
        <v>1879109</v>
      </c>
      <c r="D140">
        <v>2</v>
      </c>
      <c r="E140" t="s">
        <v>229</v>
      </c>
      <c r="F140" t="s">
        <v>13</v>
      </c>
    </row>
    <row r="141" spans="1:6" x14ac:dyDescent="0.3">
      <c r="A141" t="s">
        <v>223</v>
      </c>
      <c r="B141" t="s">
        <v>224</v>
      </c>
      <c r="C141" t="str">
        <f>HYPERLINK("http://service.sap.com/sap/support/notes/1884034","1884034")</f>
        <v>1884034</v>
      </c>
      <c r="D141">
        <v>1</v>
      </c>
      <c r="E141" t="s">
        <v>230</v>
      </c>
      <c r="F141" t="s">
        <v>13</v>
      </c>
    </row>
    <row r="142" spans="1:6" x14ac:dyDescent="0.3">
      <c r="A142" t="s">
        <v>223</v>
      </c>
      <c r="B142" t="s">
        <v>224</v>
      </c>
      <c r="C142" t="str">
        <f>HYPERLINK("http://service.sap.com/sap/support/notes/1890846","1890846")</f>
        <v>1890846</v>
      </c>
      <c r="D142">
        <v>1</v>
      </c>
      <c r="E142" t="s">
        <v>231</v>
      </c>
      <c r="F142" t="s">
        <v>94</v>
      </c>
    </row>
    <row r="143" spans="1:6" x14ac:dyDescent="0.3">
      <c r="A143" t="s">
        <v>223</v>
      </c>
      <c r="B143" t="s">
        <v>224</v>
      </c>
      <c r="C143" t="str">
        <f>HYPERLINK("http://service.sap.com/sap/support/notes/1897640","1897640")</f>
        <v>1897640</v>
      </c>
      <c r="D143">
        <v>1</v>
      </c>
      <c r="E143" t="s">
        <v>232</v>
      </c>
      <c r="F143" t="s">
        <v>17</v>
      </c>
    </row>
    <row r="144" spans="1:6" x14ac:dyDescent="0.3">
      <c r="A144" t="s">
        <v>223</v>
      </c>
      <c r="B144" t="s">
        <v>224</v>
      </c>
      <c r="C144" t="str">
        <f>HYPERLINK("http://service.sap.com/sap/support/notes/1898150","1898150")</f>
        <v>1898150</v>
      </c>
      <c r="D144">
        <v>3</v>
      </c>
      <c r="E144" t="s">
        <v>233</v>
      </c>
      <c r="F144" t="s">
        <v>17</v>
      </c>
    </row>
    <row r="145" spans="1:6" x14ac:dyDescent="0.3">
      <c r="A145" t="s">
        <v>223</v>
      </c>
      <c r="B145" t="s">
        <v>224</v>
      </c>
      <c r="C145" t="str">
        <f>HYPERLINK("http://service.sap.com/sap/support/notes/1924118","1924118")</f>
        <v>1924118</v>
      </c>
      <c r="D145">
        <v>2</v>
      </c>
      <c r="E145" t="s">
        <v>234</v>
      </c>
      <c r="F145" t="s">
        <v>13</v>
      </c>
    </row>
    <row r="146" spans="1:6" x14ac:dyDescent="0.3">
      <c r="A146" t="s">
        <v>235</v>
      </c>
      <c r="B146" t="s">
        <v>236</v>
      </c>
      <c r="C146" t="str">
        <f>HYPERLINK("http://service.sap.com/sap/support/notes/999199","999199")</f>
        <v>999199</v>
      </c>
      <c r="D146">
        <v>6</v>
      </c>
      <c r="E146" t="s">
        <v>237</v>
      </c>
      <c r="F146" t="s">
        <v>17</v>
      </c>
    </row>
    <row r="147" spans="1:6" x14ac:dyDescent="0.3">
      <c r="A147" t="s">
        <v>235</v>
      </c>
      <c r="B147" t="s">
        <v>236</v>
      </c>
      <c r="C147" t="str">
        <f>HYPERLINK("http://service.sap.com/sap/support/notes/1827755","1827755")</f>
        <v>1827755</v>
      </c>
      <c r="D147">
        <v>1</v>
      </c>
      <c r="E147" t="s">
        <v>238</v>
      </c>
      <c r="F147" t="s">
        <v>17</v>
      </c>
    </row>
    <row r="148" spans="1:6" x14ac:dyDescent="0.3">
      <c r="A148" t="s">
        <v>235</v>
      </c>
      <c r="B148" t="s">
        <v>236</v>
      </c>
      <c r="C148" t="str">
        <f>HYPERLINK("http://service.sap.com/sap/support/notes/1864779","1864779")</f>
        <v>1864779</v>
      </c>
      <c r="D148">
        <v>3</v>
      </c>
      <c r="E148" t="s">
        <v>239</v>
      </c>
      <c r="F148" t="s">
        <v>13</v>
      </c>
    </row>
    <row r="149" spans="1:6" x14ac:dyDescent="0.3">
      <c r="A149" t="s">
        <v>235</v>
      </c>
      <c r="B149" t="s">
        <v>236</v>
      </c>
      <c r="C149" t="str">
        <f>HYPERLINK("http://service.sap.com/sap/support/notes/1865105","1865105")</f>
        <v>1865105</v>
      </c>
      <c r="D149">
        <v>3</v>
      </c>
      <c r="E149" t="s">
        <v>240</v>
      </c>
      <c r="F149" t="s">
        <v>17</v>
      </c>
    </row>
    <row r="150" spans="1:6" x14ac:dyDescent="0.3">
      <c r="A150" t="s">
        <v>235</v>
      </c>
      <c r="B150" t="s">
        <v>236</v>
      </c>
      <c r="C150" t="str">
        <f>HYPERLINK("http://service.sap.com/sap/support/notes/1895883","1895883")</f>
        <v>1895883</v>
      </c>
      <c r="D150">
        <v>2</v>
      </c>
      <c r="E150" t="s">
        <v>241</v>
      </c>
      <c r="F150" t="s">
        <v>17</v>
      </c>
    </row>
    <row r="151" spans="1:6" x14ac:dyDescent="0.3">
      <c r="A151" t="s">
        <v>242</v>
      </c>
      <c r="B151" t="s">
        <v>243</v>
      </c>
      <c r="C151" t="str">
        <f>HYPERLINK("http://service.sap.com/sap/support/notes/1831304","1831304")</f>
        <v>1831304</v>
      </c>
      <c r="D151">
        <v>3</v>
      </c>
      <c r="E151" t="s">
        <v>244</v>
      </c>
      <c r="F151" t="s">
        <v>13</v>
      </c>
    </row>
    <row r="152" spans="1:6" x14ac:dyDescent="0.3">
      <c r="A152" t="s">
        <v>242</v>
      </c>
      <c r="B152" t="s">
        <v>243</v>
      </c>
      <c r="C152" t="str">
        <f>HYPERLINK("http://service.sap.com/sap/support/notes/1877037","1877037")</f>
        <v>1877037</v>
      </c>
      <c r="D152">
        <v>1</v>
      </c>
      <c r="E152" t="s">
        <v>245</v>
      </c>
      <c r="F152" t="s">
        <v>94</v>
      </c>
    </row>
    <row r="153" spans="1:6" x14ac:dyDescent="0.3">
      <c r="A153" t="s">
        <v>242</v>
      </c>
      <c r="B153" t="s">
        <v>243</v>
      </c>
      <c r="C153" t="str">
        <f>HYPERLINK("http://service.sap.com/sap/support/notes/1902049","1902049")</f>
        <v>1902049</v>
      </c>
      <c r="D153">
        <v>1</v>
      </c>
      <c r="E153" t="s">
        <v>246</v>
      </c>
      <c r="F153" t="s">
        <v>13</v>
      </c>
    </row>
    <row r="154" spans="1:6" x14ac:dyDescent="0.3">
      <c r="A154" t="s">
        <v>247</v>
      </c>
      <c r="B154" t="s">
        <v>138</v>
      </c>
      <c r="C154" t="str">
        <f>HYPERLINK("http://service.sap.com/sap/support/notes/1815862","1815862")</f>
        <v>1815862</v>
      </c>
      <c r="D154">
        <v>2</v>
      </c>
      <c r="E154" t="s">
        <v>248</v>
      </c>
      <c r="F154" t="s">
        <v>17</v>
      </c>
    </row>
    <row r="155" spans="1:6" x14ac:dyDescent="0.3">
      <c r="A155" t="s">
        <v>249</v>
      </c>
      <c r="B155" t="s">
        <v>250</v>
      </c>
      <c r="C155" t="str">
        <f>HYPERLINK("http://service.sap.com/sap/support/notes/1726245","1726245")</f>
        <v>1726245</v>
      </c>
      <c r="D155">
        <v>2</v>
      </c>
      <c r="E155" t="s">
        <v>251</v>
      </c>
      <c r="F155" t="s">
        <v>17</v>
      </c>
    </row>
    <row r="156" spans="1:6" x14ac:dyDescent="0.3">
      <c r="A156" t="s">
        <v>249</v>
      </c>
      <c r="B156" t="s">
        <v>250</v>
      </c>
      <c r="C156" t="str">
        <f>HYPERLINK("http://service.sap.com/sap/support/notes/1824651","1824651")</f>
        <v>1824651</v>
      </c>
      <c r="D156">
        <v>2</v>
      </c>
      <c r="E156" t="s">
        <v>252</v>
      </c>
      <c r="F156" t="s">
        <v>17</v>
      </c>
    </row>
    <row r="157" spans="1:6" x14ac:dyDescent="0.3">
      <c r="A157" t="s">
        <v>249</v>
      </c>
      <c r="B157" t="s">
        <v>250</v>
      </c>
      <c r="C157" t="str">
        <f>HYPERLINK("http://service.sap.com/sap/support/notes/1877060","1877060")</f>
        <v>1877060</v>
      </c>
      <c r="D157">
        <v>1</v>
      </c>
      <c r="E157" t="s">
        <v>253</v>
      </c>
      <c r="F157" t="s">
        <v>13</v>
      </c>
    </row>
    <row r="158" spans="1:6" x14ac:dyDescent="0.3">
      <c r="A158" t="s">
        <v>254</v>
      </c>
      <c r="B158" t="s">
        <v>255</v>
      </c>
      <c r="C158" t="str">
        <f>HYPERLINK("http://service.sap.com/sap/support/notes/1820366","1820366")</f>
        <v>1820366</v>
      </c>
      <c r="D158">
        <v>1</v>
      </c>
      <c r="E158" t="s">
        <v>256</v>
      </c>
      <c r="F158" t="s">
        <v>17</v>
      </c>
    </row>
    <row r="159" spans="1:6" x14ac:dyDescent="0.3">
      <c r="A159" t="s">
        <v>254</v>
      </c>
      <c r="B159" t="s">
        <v>255</v>
      </c>
      <c r="C159" t="str">
        <f>HYPERLINK("http://service.sap.com/sap/support/notes/1866433","1866433")</f>
        <v>1866433</v>
      </c>
      <c r="D159">
        <v>3</v>
      </c>
      <c r="E159" t="s">
        <v>257</v>
      </c>
      <c r="F159" t="s">
        <v>17</v>
      </c>
    </row>
    <row r="160" spans="1:6" x14ac:dyDescent="0.3">
      <c r="A160" t="s">
        <v>254</v>
      </c>
      <c r="B160" t="s">
        <v>255</v>
      </c>
      <c r="C160" t="str">
        <f>HYPERLINK("http://service.sap.com/sap/support/notes/1872409","1872409")</f>
        <v>1872409</v>
      </c>
      <c r="D160">
        <v>1</v>
      </c>
      <c r="E160" t="s">
        <v>258</v>
      </c>
      <c r="F160" t="s">
        <v>17</v>
      </c>
    </row>
    <row r="161" spans="1:6" x14ac:dyDescent="0.3">
      <c r="A161" t="s">
        <v>254</v>
      </c>
      <c r="B161" t="s">
        <v>255</v>
      </c>
      <c r="C161" t="str">
        <f>HYPERLINK("http://service.sap.com/sap/support/notes/1897958","1897958")</f>
        <v>1897958</v>
      </c>
      <c r="D161">
        <v>1</v>
      </c>
      <c r="E161" t="s">
        <v>259</v>
      </c>
      <c r="F161" t="s">
        <v>17</v>
      </c>
    </row>
    <row r="162" spans="1:6" x14ac:dyDescent="0.3">
      <c r="A162" t="s">
        <v>254</v>
      </c>
      <c r="B162" t="s">
        <v>255</v>
      </c>
      <c r="C162" t="str">
        <f>HYPERLINK("http://service.sap.com/sap/support/notes/1908140","1908140")</f>
        <v>1908140</v>
      </c>
      <c r="D162">
        <v>3</v>
      </c>
      <c r="E162" t="s">
        <v>260</v>
      </c>
      <c r="F162" t="s">
        <v>17</v>
      </c>
    </row>
    <row r="163" spans="1:6" x14ac:dyDescent="0.3">
      <c r="A163" t="s">
        <v>254</v>
      </c>
      <c r="B163" t="s">
        <v>255</v>
      </c>
      <c r="C163" t="str">
        <f>HYPERLINK("http://service.sap.com/sap/support/notes/1909307","1909307")</f>
        <v>1909307</v>
      </c>
      <c r="D163">
        <v>1</v>
      </c>
      <c r="E163" t="s">
        <v>261</v>
      </c>
      <c r="F163" t="s">
        <v>17</v>
      </c>
    </row>
    <row r="164" spans="1:6" x14ac:dyDescent="0.3">
      <c r="A164" t="s">
        <v>262</v>
      </c>
      <c r="B164" t="s">
        <v>263</v>
      </c>
    </row>
    <row r="165" spans="1:6" x14ac:dyDescent="0.3">
      <c r="A165" t="s">
        <v>264</v>
      </c>
      <c r="B165" t="s">
        <v>265</v>
      </c>
      <c r="C165" t="str">
        <f>HYPERLINK("http://service.sap.com/sap/support/notes/1606106","1606106")</f>
        <v>1606106</v>
      </c>
      <c r="D165">
        <v>4</v>
      </c>
      <c r="E165" t="s">
        <v>266</v>
      </c>
      <c r="F165" t="s">
        <v>94</v>
      </c>
    </row>
    <row r="166" spans="1:6" x14ac:dyDescent="0.3">
      <c r="A166" t="s">
        <v>264</v>
      </c>
      <c r="B166" t="s">
        <v>265</v>
      </c>
      <c r="C166" t="str">
        <f>HYPERLINK("http://service.sap.com/sap/support/notes/1834430","1834430")</f>
        <v>1834430</v>
      </c>
      <c r="D166">
        <v>4</v>
      </c>
      <c r="E166" t="s">
        <v>267</v>
      </c>
      <c r="F166" t="s">
        <v>17</v>
      </c>
    </row>
    <row r="167" spans="1:6" x14ac:dyDescent="0.3">
      <c r="A167" t="s">
        <v>264</v>
      </c>
      <c r="B167" t="s">
        <v>265</v>
      </c>
      <c r="C167" t="str">
        <f>HYPERLINK("http://service.sap.com/sap/support/notes/1844575","1844575")</f>
        <v>1844575</v>
      </c>
      <c r="D167">
        <v>4</v>
      </c>
      <c r="E167" t="s">
        <v>268</v>
      </c>
      <c r="F167" t="s">
        <v>17</v>
      </c>
    </row>
    <row r="168" spans="1:6" x14ac:dyDescent="0.3">
      <c r="A168" t="s">
        <v>264</v>
      </c>
      <c r="B168" t="s">
        <v>265</v>
      </c>
      <c r="C168" t="str">
        <f>HYPERLINK("http://service.sap.com/sap/support/notes/1856151","1856151")</f>
        <v>1856151</v>
      </c>
      <c r="D168">
        <v>2</v>
      </c>
      <c r="E168" t="s">
        <v>269</v>
      </c>
      <c r="F168" t="s">
        <v>17</v>
      </c>
    </row>
    <row r="169" spans="1:6" x14ac:dyDescent="0.3">
      <c r="A169" t="s">
        <v>264</v>
      </c>
      <c r="B169" t="s">
        <v>265</v>
      </c>
      <c r="C169" t="str">
        <f>HYPERLINK("http://service.sap.com/sap/support/notes/1857723","1857723")</f>
        <v>1857723</v>
      </c>
      <c r="D169">
        <v>3</v>
      </c>
      <c r="E169" t="s">
        <v>270</v>
      </c>
      <c r="F169" t="s">
        <v>17</v>
      </c>
    </row>
    <row r="170" spans="1:6" x14ac:dyDescent="0.3">
      <c r="A170" t="s">
        <v>264</v>
      </c>
      <c r="B170" t="s">
        <v>265</v>
      </c>
      <c r="C170" t="str">
        <f>HYPERLINK("http://service.sap.com/sap/support/notes/1858424","1858424")</f>
        <v>1858424</v>
      </c>
      <c r="D170">
        <v>1</v>
      </c>
      <c r="E170" t="s">
        <v>271</v>
      </c>
      <c r="F170" t="s">
        <v>17</v>
      </c>
    </row>
    <row r="171" spans="1:6" x14ac:dyDescent="0.3">
      <c r="A171" t="s">
        <v>264</v>
      </c>
      <c r="B171" t="s">
        <v>265</v>
      </c>
      <c r="C171" t="str">
        <f>HYPERLINK("http://service.sap.com/sap/support/notes/1869814","1869814")</f>
        <v>1869814</v>
      </c>
      <c r="D171">
        <v>1</v>
      </c>
      <c r="E171" t="s">
        <v>272</v>
      </c>
      <c r="F171" t="s">
        <v>17</v>
      </c>
    </row>
    <row r="172" spans="1:6" x14ac:dyDescent="0.3">
      <c r="A172" t="s">
        <v>264</v>
      </c>
      <c r="B172" t="s">
        <v>265</v>
      </c>
      <c r="C172" t="str">
        <f>HYPERLINK("http://service.sap.com/sap/support/notes/1871394","1871394")</f>
        <v>1871394</v>
      </c>
      <c r="D172">
        <v>2</v>
      </c>
      <c r="E172" t="s">
        <v>273</v>
      </c>
      <c r="F172" t="s">
        <v>17</v>
      </c>
    </row>
    <row r="173" spans="1:6" x14ac:dyDescent="0.3">
      <c r="A173" t="s">
        <v>264</v>
      </c>
      <c r="B173" t="s">
        <v>265</v>
      </c>
      <c r="C173" t="str">
        <f>HYPERLINK("http://service.sap.com/sap/support/notes/1875110","1875110")</f>
        <v>1875110</v>
      </c>
      <c r="D173">
        <v>1</v>
      </c>
      <c r="E173" t="s">
        <v>274</v>
      </c>
      <c r="F173" t="s">
        <v>17</v>
      </c>
    </row>
    <row r="174" spans="1:6" x14ac:dyDescent="0.3">
      <c r="A174" t="s">
        <v>264</v>
      </c>
      <c r="B174" t="s">
        <v>265</v>
      </c>
      <c r="C174" t="str">
        <f>HYPERLINK("http://service.sap.com/sap/support/notes/1887209","1887209")</f>
        <v>1887209</v>
      </c>
      <c r="D174">
        <v>4</v>
      </c>
      <c r="E174" t="s">
        <v>275</v>
      </c>
      <c r="F174" t="s">
        <v>17</v>
      </c>
    </row>
    <row r="175" spans="1:6" x14ac:dyDescent="0.3">
      <c r="A175" t="s">
        <v>264</v>
      </c>
      <c r="B175" t="s">
        <v>265</v>
      </c>
      <c r="C175" t="str">
        <f>HYPERLINK("http://service.sap.com/sap/support/notes/1888413","1888413")</f>
        <v>1888413</v>
      </c>
      <c r="D175">
        <v>3</v>
      </c>
      <c r="E175" t="s">
        <v>276</v>
      </c>
      <c r="F175" t="s">
        <v>17</v>
      </c>
    </row>
    <row r="176" spans="1:6" x14ac:dyDescent="0.3">
      <c r="A176" t="s">
        <v>277</v>
      </c>
      <c r="B176" t="s">
        <v>278</v>
      </c>
      <c r="C176" t="str">
        <f>HYPERLINK("http://service.sap.com/sap/support/notes/1870725","1870725")</f>
        <v>1870725</v>
      </c>
      <c r="D176">
        <v>2</v>
      </c>
      <c r="E176" t="s">
        <v>279</v>
      </c>
      <c r="F176" t="s">
        <v>11</v>
      </c>
    </row>
    <row r="177" spans="1:6" x14ac:dyDescent="0.3">
      <c r="A177" t="s">
        <v>280</v>
      </c>
      <c r="B177" t="s">
        <v>281</v>
      </c>
      <c r="C177" t="str">
        <f>HYPERLINK("http://service.sap.com/sap/support/notes/1895408","1895408")</f>
        <v>1895408</v>
      </c>
      <c r="D177">
        <v>1</v>
      </c>
      <c r="E177" t="s">
        <v>282</v>
      </c>
      <c r="F177" t="s">
        <v>13</v>
      </c>
    </row>
    <row r="178" spans="1:6" x14ac:dyDescent="0.3">
      <c r="A178" t="s">
        <v>280</v>
      </c>
      <c r="B178" t="s">
        <v>281</v>
      </c>
      <c r="C178" t="str">
        <f>HYPERLINK("http://service.sap.com/sap/support/notes/1896958","1896958")</f>
        <v>1896958</v>
      </c>
      <c r="D178">
        <v>1</v>
      </c>
      <c r="E178" t="s">
        <v>283</v>
      </c>
      <c r="F178" t="s">
        <v>13</v>
      </c>
    </row>
    <row r="179" spans="1:6" x14ac:dyDescent="0.3">
      <c r="A179" t="s">
        <v>280</v>
      </c>
      <c r="B179" t="s">
        <v>281</v>
      </c>
      <c r="C179" t="str">
        <f>HYPERLINK("http://service.sap.com/sap/support/notes/1905308","1905308")</f>
        <v>1905308</v>
      </c>
      <c r="D179">
        <v>1</v>
      </c>
      <c r="E179" t="s">
        <v>284</v>
      </c>
      <c r="F179" t="s">
        <v>17</v>
      </c>
    </row>
    <row r="180" spans="1:6" x14ac:dyDescent="0.3">
      <c r="A180" t="s">
        <v>285</v>
      </c>
      <c r="B180" t="s">
        <v>286</v>
      </c>
      <c r="C180" t="str">
        <f>HYPERLINK("http://service.sap.com/sap/support/notes/1882375","1882375")</f>
        <v>1882375</v>
      </c>
      <c r="D180">
        <v>1</v>
      </c>
      <c r="E180" t="s">
        <v>287</v>
      </c>
      <c r="F180" t="s">
        <v>17</v>
      </c>
    </row>
    <row r="181" spans="1:6" x14ac:dyDescent="0.3">
      <c r="A181" t="s">
        <v>288</v>
      </c>
      <c r="B181" t="s">
        <v>289</v>
      </c>
      <c r="C181" t="str">
        <f>HYPERLINK("http://service.sap.com/sap/support/notes/968201","968201")</f>
        <v>968201</v>
      </c>
      <c r="D181">
        <v>7</v>
      </c>
      <c r="E181" t="s">
        <v>290</v>
      </c>
      <c r="F181" t="s">
        <v>17</v>
      </c>
    </row>
    <row r="182" spans="1:6" x14ac:dyDescent="0.3">
      <c r="A182" t="s">
        <v>288</v>
      </c>
      <c r="B182" t="s">
        <v>289</v>
      </c>
      <c r="C182" t="str">
        <f>HYPERLINK("http://service.sap.com/sap/support/notes/1461853","1461853")</f>
        <v>1461853</v>
      </c>
      <c r="D182">
        <v>3</v>
      </c>
      <c r="E182" t="s">
        <v>291</v>
      </c>
      <c r="F182" t="s">
        <v>13</v>
      </c>
    </row>
    <row r="183" spans="1:6" x14ac:dyDescent="0.3">
      <c r="A183" t="s">
        <v>288</v>
      </c>
      <c r="B183" t="s">
        <v>289</v>
      </c>
      <c r="C183" t="str">
        <f>HYPERLINK("http://service.sap.com/sap/support/notes/1641508","1641508")</f>
        <v>1641508</v>
      </c>
      <c r="D183">
        <v>8</v>
      </c>
      <c r="E183" t="s">
        <v>292</v>
      </c>
      <c r="F183" t="s">
        <v>13</v>
      </c>
    </row>
    <row r="184" spans="1:6" x14ac:dyDescent="0.3">
      <c r="A184" t="s">
        <v>288</v>
      </c>
      <c r="B184" t="s">
        <v>289</v>
      </c>
      <c r="C184" t="str">
        <f>HYPERLINK("http://service.sap.com/sap/support/notes/1738583","1738583")</f>
        <v>1738583</v>
      </c>
      <c r="D184">
        <v>5</v>
      </c>
      <c r="E184" t="s">
        <v>293</v>
      </c>
      <c r="F184" t="s">
        <v>13</v>
      </c>
    </row>
    <row r="185" spans="1:6" x14ac:dyDescent="0.3">
      <c r="A185" t="s">
        <v>288</v>
      </c>
      <c r="B185" t="s">
        <v>289</v>
      </c>
      <c r="C185" t="str">
        <f>HYPERLINK("http://service.sap.com/sap/support/notes/1834817","1834817")</f>
        <v>1834817</v>
      </c>
      <c r="D185">
        <v>1</v>
      </c>
      <c r="E185" t="s">
        <v>294</v>
      </c>
      <c r="F185" t="s">
        <v>13</v>
      </c>
    </row>
    <row r="186" spans="1:6" x14ac:dyDescent="0.3">
      <c r="A186" t="s">
        <v>288</v>
      </c>
      <c r="B186" t="s">
        <v>289</v>
      </c>
      <c r="C186" t="str">
        <f>HYPERLINK("http://service.sap.com/sap/support/notes/1877185","1877185")</f>
        <v>1877185</v>
      </c>
      <c r="D186">
        <v>1</v>
      </c>
      <c r="E186" t="s">
        <v>295</v>
      </c>
      <c r="F186" t="s">
        <v>13</v>
      </c>
    </row>
    <row r="187" spans="1:6" x14ac:dyDescent="0.3">
      <c r="A187" t="s">
        <v>288</v>
      </c>
      <c r="B187" t="s">
        <v>289</v>
      </c>
      <c r="C187" t="str">
        <f>HYPERLINK("http://service.sap.com/sap/support/notes/1897585","1897585")</f>
        <v>1897585</v>
      </c>
      <c r="D187">
        <v>1</v>
      </c>
      <c r="E187" t="s">
        <v>296</v>
      </c>
      <c r="F187" t="s">
        <v>17</v>
      </c>
    </row>
    <row r="188" spans="1:6" x14ac:dyDescent="0.3">
      <c r="A188" t="s">
        <v>288</v>
      </c>
      <c r="B188" t="s">
        <v>289</v>
      </c>
      <c r="C188" t="str">
        <f>HYPERLINK("http://service.sap.com/sap/support/notes/1903440","1903440")</f>
        <v>1903440</v>
      </c>
      <c r="D188">
        <v>2</v>
      </c>
      <c r="E188" t="s">
        <v>297</v>
      </c>
      <c r="F188" t="s">
        <v>11</v>
      </c>
    </row>
    <row r="189" spans="1:6" x14ac:dyDescent="0.3">
      <c r="A189" t="s">
        <v>298</v>
      </c>
      <c r="B189" t="s">
        <v>299</v>
      </c>
      <c r="C189" t="str">
        <f>HYPERLINK("http://service.sap.com/sap/support/notes/1742070","1742070")</f>
        <v>1742070</v>
      </c>
      <c r="D189">
        <v>5</v>
      </c>
      <c r="E189" t="s">
        <v>300</v>
      </c>
      <c r="F189" t="s">
        <v>17</v>
      </c>
    </row>
    <row r="190" spans="1:6" x14ac:dyDescent="0.3">
      <c r="A190" t="s">
        <v>301</v>
      </c>
      <c r="B190" t="s">
        <v>302</v>
      </c>
      <c r="C190" t="str">
        <f>HYPERLINK("http://service.sap.com/sap/support/notes/1841101","1841101")</f>
        <v>1841101</v>
      </c>
      <c r="D190">
        <v>9</v>
      </c>
      <c r="E190" t="s">
        <v>303</v>
      </c>
      <c r="F190" t="s">
        <v>17</v>
      </c>
    </row>
    <row r="191" spans="1:6" x14ac:dyDescent="0.3">
      <c r="A191" t="s">
        <v>301</v>
      </c>
      <c r="B191" t="s">
        <v>302</v>
      </c>
      <c r="C191" t="str">
        <f>HYPERLINK("http://service.sap.com/sap/support/notes/1852905","1852905")</f>
        <v>1852905</v>
      </c>
      <c r="D191">
        <v>2</v>
      </c>
      <c r="E191" t="s">
        <v>304</v>
      </c>
      <c r="F191" t="s">
        <v>13</v>
      </c>
    </row>
    <row r="192" spans="1:6" x14ac:dyDescent="0.3">
      <c r="A192" t="s">
        <v>301</v>
      </c>
      <c r="B192" t="s">
        <v>302</v>
      </c>
      <c r="C192" t="str">
        <f>HYPERLINK("http://service.sap.com/sap/support/notes/1864130","1864130")</f>
        <v>1864130</v>
      </c>
      <c r="D192">
        <v>1</v>
      </c>
      <c r="E192" t="s">
        <v>305</v>
      </c>
      <c r="F192" t="s">
        <v>17</v>
      </c>
    </row>
    <row r="193" spans="1:6" x14ac:dyDescent="0.3">
      <c r="A193" t="s">
        <v>301</v>
      </c>
      <c r="B193" t="s">
        <v>302</v>
      </c>
      <c r="C193" t="str">
        <f>HYPERLINK("http://service.sap.com/sap/support/notes/1868087","1868087")</f>
        <v>1868087</v>
      </c>
      <c r="D193">
        <v>2</v>
      </c>
      <c r="E193" t="s">
        <v>306</v>
      </c>
      <c r="F193" t="s">
        <v>17</v>
      </c>
    </row>
    <row r="194" spans="1:6" x14ac:dyDescent="0.3">
      <c r="A194" t="s">
        <v>301</v>
      </c>
      <c r="B194" t="s">
        <v>302</v>
      </c>
      <c r="C194" t="str">
        <f>HYPERLINK("http://service.sap.com/sap/support/notes/1872868","1872868")</f>
        <v>1872868</v>
      </c>
      <c r="D194">
        <v>4</v>
      </c>
      <c r="E194" t="s">
        <v>307</v>
      </c>
      <c r="F194" t="s">
        <v>17</v>
      </c>
    </row>
    <row r="195" spans="1:6" x14ac:dyDescent="0.3">
      <c r="A195" t="s">
        <v>301</v>
      </c>
      <c r="B195" t="s">
        <v>302</v>
      </c>
      <c r="C195" t="str">
        <f>HYPERLINK("http://service.sap.com/sap/support/notes/1875163","1875163")</f>
        <v>1875163</v>
      </c>
      <c r="D195">
        <v>1</v>
      </c>
      <c r="E195" t="s">
        <v>308</v>
      </c>
      <c r="F195" t="s">
        <v>17</v>
      </c>
    </row>
    <row r="196" spans="1:6" x14ac:dyDescent="0.3">
      <c r="A196" t="s">
        <v>301</v>
      </c>
      <c r="B196" t="s">
        <v>302</v>
      </c>
      <c r="C196" t="str">
        <f>HYPERLINK("http://service.sap.com/sap/support/notes/1875407","1875407")</f>
        <v>1875407</v>
      </c>
      <c r="D196">
        <v>2</v>
      </c>
      <c r="E196" t="s">
        <v>309</v>
      </c>
      <c r="F196" t="s">
        <v>17</v>
      </c>
    </row>
    <row r="197" spans="1:6" x14ac:dyDescent="0.3">
      <c r="A197" t="s">
        <v>301</v>
      </c>
      <c r="B197" t="s">
        <v>302</v>
      </c>
      <c r="C197" t="str">
        <f>HYPERLINK("http://service.sap.com/sap/support/notes/1876106","1876106")</f>
        <v>1876106</v>
      </c>
      <c r="D197">
        <v>2</v>
      </c>
      <c r="E197" t="s">
        <v>310</v>
      </c>
      <c r="F197" t="s">
        <v>17</v>
      </c>
    </row>
    <row r="198" spans="1:6" x14ac:dyDescent="0.3">
      <c r="A198" t="s">
        <v>301</v>
      </c>
      <c r="B198" t="s">
        <v>302</v>
      </c>
      <c r="C198" t="str">
        <f>HYPERLINK("http://service.sap.com/sap/support/notes/1877069","1877069")</f>
        <v>1877069</v>
      </c>
      <c r="D198">
        <v>1</v>
      </c>
      <c r="E198" t="s">
        <v>311</v>
      </c>
      <c r="F198" t="s">
        <v>13</v>
      </c>
    </row>
    <row r="199" spans="1:6" x14ac:dyDescent="0.3">
      <c r="A199" t="s">
        <v>301</v>
      </c>
      <c r="B199" t="s">
        <v>302</v>
      </c>
      <c r="C199" t="str">
        <f>HYPERLINK("http://service.sap.com/sap/support/notes/1877505","1877505")</f>
        <v>1877505</v>
      </c>
      <c r="D199">
        <v>1</v>
      </c>
      <c r="E199" t="s">
        <v>312</v>
      </c>
      <c r="F199" t="s">
        <v>17</v>
      </c>
    </row>
    <row r="200" spans="1:6" x14ac:dyDescent="0.3">
      <c r="A200" t="s">
        <v>301</v>
      </c>
      <c r="B200" t="s">
        <v>302</v>
      </c>
      <c r="C200" t="str">
        <f>HYPERLINK("http://service.sap.com/sap/support/notes/1877863","1877863")</f>
        <v>1877863</v>
      </c>
      <c r="D200">
        <v>1</v>
      </c>
      <c r="E200" t="s">
        <v>313</v>
      </c>
      <c r="F200" t="s">
        <v>13</v>
      </c>
    </row>
    <row r="201" spans="1:6" x14ac:dyDescent="0.3">
      <c r="A201" t="s">
        <v>301</v>
      </c>
      <c r="B201" t="s">
        <v>302</v>
      </c>
      <c r="C201" t="str">
        <f>HYPERLINK("http://service.sap.com/sap/support/notes/1878519","1878519")</f>
        <v>1878519</v>
      </c>
      <c r="D201">
        <v>2</v>
      </c>
      <c r="E201" t="s">
        <v>314</v>
      </c>
      <c r="F201" t="s">
        <v>17</v>
      </c>
    </row>
    <row r="202" spans="1:6" x14ac:dyDescent="0.3">
      <c r="A202" t="s">
        <v>301</v>
      </c>
      <c r="B202" t="s">
        <v>302</v>
      </c>
      <c r="C202" t="str">
        <f>HYPERLINK("http://service.sap.com/sap/support/notes/1880230","1880230")</f>
        <v>1880230</v>
      </c>
      <c r="D202">
        <v>1</v>
      </c>
      <c r="E202" t="s">
        <v>315</v>
      </c>
      <c r="F202" t="s">
        <v>17</v>
      </c>
    </row>
    <row r="203" spans="1:6" x14ac:dyDescent="0.3">
      <c r="A203" t="s">
        <v>301</v>
      </c>
      <c r="B203" t="s">
        <v>302</v>
      </c>
      <c r="C203" t="str">
        <f>HYPERLINK("http://service.sap.com/sap/support/notes/1888883","1888883")</f>
        <v>1888883</v>
      </c>
      <c r="D203">
        <v>1</v>
      </c>
      <c r="E203" t="s">
        <v>316</v>
      </c>
      <c r="F203" t="s">
        <v>17</v>
      </c>
    </row>
    <row r="204" spans="1:6" x14ac:dyDescent="0.3">
      <c r="A204" t="s">
        <v>301</v>
      </c>
      <c r="B204" t="s">
        <v>302</v>
      </c>
      <c r="C204" t="str">
        <f>HYPERLINK("http://service.sap.com/sap/support/notes/1892260","1892260")</f>
        <v>1892260</v>
      </c>
      <c r="D204">
        <v>1</v>
      </c>
      <c r="E204" t="s">
        <v>317</v>
      </c>
      <c r="F204" t="s">
        <v>13</v>
      </c>
    </row>
    <row r="205" spans="1:6" x14ac:dyDescent="0.3">
      <c r="A205" t="s">
        <v>301</v>
      </c>
      <c r="B205" t="s">
        <v>302</v>
      </c>
      <c r="C205" t="str">
        <f>HYPERLINK("http://service.sap.com/sap/support/notes/1898559","1898559")</f>
        <v>1898559</v>
      </c>
      <c r="D205">
        <v>1</v>
      </c>
      <c r="E205" t="s">
        <v>318</v>
      </c>
      <c r="F205" t="s">
        <v>17</v>
      </c>
    </row>
    <row r="206" spans="1:6" x14ac:dyDescent="0.3">
      <c r="A206" t="s">
        <v>301</v>
      </c>
      <c r="B206" t="s">
        <v>302</v>
      </c>
      <c r="C206" t="str">
        <f>HYPERLINK("http://service.sap.com/sap/support/notes/1900477","1900477")</f>
        <v>1900477</v>
      </c>
      <c r="D206">
        <v>1</v>
      </c>
      <c r="E206" t="s">
        <v>319</v>
      </c>
      <c r="F206" t="s">
        <v>17</v>
      </c>
    </row>
    <row r="207" spans="1:6" x14ac:dyDescent="0.3">
      <c r="A207" t="s">
        <v>320</v>
      </c>
      <c r="B207" t="s">
        <v>321</v>
      </c>
      <c r="C207" t="str">
        <f>HYPERLINK("http://service.sap.com/sap/support/notes/1868806","1868806")</f>
        <v>1868806</v>
      </c>
      <c r="D207">
        <v>1</v>
      </c>
      <c r="E207" t="s">
        <v>322</v>
      </c>
      <c r="F207" t="s">
        <v>17</v>
      </c>
    </row>
    <row r="208" spans="1:6" x14ac:dyDescent="0.3">
      <c r="A208" t="s">
        <v>320</v>
      </c>
      <c r="B208" t="s">
        <v>321</v>
      </c>
      <c r="C208" t="str">
        <f>HYPERLINK("http://service.sap.com/sap/support/notes/1903810","1903810")</f>
        <v>1903810</v>
      </c>
      <c r="D208">
        <v>1</v>
      </c>
      <c r="E208" t="s">
        <v>323</v>
      </c>
      <c r="F208" t="s">
        <v>11</v>
      </c>
    </row>
    <row r="209" spans="1:6" x14ac:dyDescent="0.3">
      <c r="A209" t="s">
        <v>324</v>
      </c>
      <c r="B209" t="s">
        <v>325</v>
      </c>
      <c r="C209" t="str">
        <f>HYPERLINK("http://service.sap.com/sap/support/notes/1863510","1863510")</f>
        <v>1863510</v>
      </c>
      <c r="D209">
        <v>1</v>
      </c>
      <c r="E209" t="s">
        <v>326</v>
      </c>
      <c r="F209" t="s">
        <v>17</v>
      </c>
    </row>
    <row r="210" spans="1:6" x14ac:dyDescent="0.3">
      <c r="A210" t="s">
        <v>324</v>
      </c>
      <c r="B210" t="s">
        <v>325</v>
      </c>
      <c r="C210" t="str">
        <f>HYPERLINK("http://service.sap.com/sap/support/notes/1870024","1870024")</f>
        <v>1870024</v>
      </c>
      <c r="D210">
        <v>3</v>
      </c>
      <c r="E210" t="s">
        <v>327</v>
      </c>
      <c r="F210" t="s">
        <v>13</v>
      </c>
    </row>
    <row r="211" spans="1:6" x14ac:dyDescent="0.3">
      <c r="A211" t="s">
        <v>328</v>
      </c>
      <c r="B211" t="s">
        <v>329</v>
      </c>
      <c r="C211" t="str">
        <f>HYPERLINK("http://service.sap.com/sap/support/notes/1872493","1872493")</f>
        <v>1872493</v>
      </c>
      <c r="D211">
        <v>2</v>
      </c>
      <c r="E211" t="s">
        <v>330</v>
      </c>
      <c r="F211" t="s">
        <v>13</v>
      </c>
    </row>
    <row r="212" spans="1:6" x14ac:dyDescent="0.3">
      <c r="A212" t="s">
        <v>328</v>
      </c>
      <c r="B212" t="s">
        <v>329</v>
      </c>
      <c r="C212" t="str">
        <f>HYPERLINK("http://service.sap.com/sap/support/notes/1896437","1896437")</f>
        <v>1896437</v>
      </c>
      <c r="D212">
        <v>1</v>
      </c>
      <c r="E212" t="s">
        <v>331</v>
      </c>
      <c r="F212" t="s">
        <v>17</v>
      </c>
    </row>
    <row r="213" spans="1:6" x14ac:dyDescent="0.3">
      <c r="A213" t="s">
        <v>332</v>
      </c>
      <c r="B213" t="s">
        <v>333</v>
      </c>
      <c r="C213" t="str">
        <f>HYPERLINK("http://service.sap.com/sap/support/notes/1875628","1875628")</f>
        <v>1875628</v>
      </c>
      <c r="D213">
        <v>2</v>
      </c>
      <c r="E213" t="s">
        <v>334</v>
      </c>
      <c r="F213" t="s">
        <v>13</v>
      </c>
    </row>
    <row r="214" spans="1:6" x14ac:dyDescent="0.3">
      <c r="A214" t="s">
        <v>332</v>
      </c>
      <c r="B214" t="s">
        <v>333</v>
      </c>
      <c r="C214" t="str">
        <f>HYPERLINK("http://service.sap.com/sap/support/notes/1877548","1877548")</f>
        <v>1877548</v>
      </c>
      <c r="D214">
        <v>1</v>
      </c>
      <c r="E214" t="s">
        <v>335</v>
      </c>
      <c r="F214" t="s">
        <v>13</v>
      </c>
    </row>
    <row r="215" spans="1:6" x14ac:dyDescent="0.3">
      <c r="A215" t="s">
        <v>332</v>
      </c>
      <c r="B215" t="s">
        <v>333</v>
      </c>
      <c r="C215" t="str">
        <f>HYPERLINK("http://service.sap.com/sap/support/notes/1881573","1881573")</f>
        <v>1881573</v>
      </c>
      <c r="D215">
        <v>3</v>
      </c>
      <c r="E215" t="s">
        <v>336</v>
      </c>
      <c r="F215" t="s">
        <v>11</v>
      </c>
    </row>
    <row r="216" spans="1:6" x14ac:dyDescent="0.3">
      <c r="A216" t="s">
        <v>332</v>
      </c>
      <c r="B216" t="s">
        <v>333</v>
      </c>
      <c r="C216" t="str">
        <f>HYPERLINK("http://service.sap.com/sap/support/notes/1881785","1881785")</f>
        <v>1881785</v>
      </c>
      <c r="D216">
        <v>2</v>
      </c>
      <c r="E216" t="s">
        <v>337</v>
      </c>
      <c r="F216" t="s">
        <v>17</v>
      </c>
    </row>
    <row r="217" spans="1:6" x14ac:dyDescent="0.3">
      <c r="A217" t="s">
        <v>338</v>
      </c>
      <c r="B217" t="s">
        <v>339</v>
      </c>
    </row>
    <row r="218" spans="1:6" x14ac:dyDescent="0.3">
      <c r="A218" t="s">
        <v>340</v>
      </c>
      <c r="B218" t="s">
        <v>341</v>
      </c>
    </row>
    <row r="219" spans="1:6" x14ac:dyDescent="0.3">
      <c r="A219" t="s">
        <v>342</v>
      </c>
      <c r="B219" t="s">
        <v>343</v>
      </c>
      <c r="C219" t="str">
        <f>HYPERLINK("http://service.sap.com/sap/support/notes/1859478","1859478")</f>
        <v>1859478</v>
      </c>
      <c r="D219">
        <v>4</v>
      </c>
      <c r="E219" t="s">
        <v>344</v>
      </c>
      <c r="F219" t="s">
        <v>11</v>
      </c>
    </row>
    <row r="220" spans="1:6" x14ac:dyDescent="0.3">
      <c r="A220" t="s">
        <v>345</v>
      </c>
      <c r="B220" t="s">
        <v>346</v>
      </c>
    </row>
    <row r="221" spans="1:6" x14ac:dyDescent="0.3">
      <c r="A221" t="s">
        <v>347</v>
      </c>
      <c r="B221" t="s">
        <v>348</v>
      </c>
      <c r="C221" t="str">
        <f>HYPERLINK("http://service.sap.com/sap/support/notes/1868982","1868982")</f>
        <v>1868982</v>
      </c>
      <c r="D221">
        <v>2</v>
      </c>
      <c r="E221" t="s">
        <v>349</v>
      </c>
      <c r="F221" t="s">
        <v>11</v>
      </c>
    </row>
    <row r="222" spans="1:6" x14ac:dyDescent="0.3">
      <c r="A222" t="s">
        <v>350</v>
      </c>
      <c r="B222" t="s">
        <v>351</v>
      </c>
    </row>
    <row r="223" spans="1:6" x14ac:dyDescent="0.3">
      <c r="A223" t="s">
        <v>352</v>
      </c>
      <c r="B223" t="s">
        <v>353</v>
      </c>
      <c r="C223" t="str">
        <f>HYPERLINK("http://service.sap.com/sap/support/notes/1893914","1893914")</f>
        <v>1893914</v>
      </c>
      <c r="D223">
        <v>3</v>
      </c>
      <c r="E223" t="s">
        <v>354</v>
      </c>
      <c r="F223" t="s">
        <v>17</v>
      </c>
    </row>
    <row r="224" spans="1:6" x14ac:dyDescent="0.3">
      <c r="A224" t="s">
        <v>355</v>
      </c>
      <c r="B224" t="s">
        <v>356</v>
      </c>
    </row>
    <row r="225" spans="1:6" x14ac:dyDescent="0.3">
      <c r="A225" t="s">
        <v>357</v>
      </c>
      <c r="B225" t="s">
        <v>358</v>
      </c>
      <c r="C225" t="str">
        <f>HYPERLINK("http://service.sap.com/sap/support/notes/1864205","1864205")</f>
        <v>1864205</v>
      </c>
      <c r="D225">
        <v>4</v>
      </c>
      <c r="E225" t="s">
        <v>359</v>
      </c>
      <c r="F225" t="s">
        <v>17</v>
      </c>
    </row>
    <row r="226" spans="1:6" x14ac:dyDescent="0.3">
      <c r="A226" t="s">
        <v>360</v>
      </c>
      <c r="B226" t="s">
        <v>361</v>
      </c>
    </row>
    <row r="227" spans="1:6" x14ac:dyDescent="0.3">
      <c r="A227" t="s">
        <v>362</v>
      </c>
      <c r="B227" t="s">
        <v>363</v>
      </c>
    </row>
    <row r="228" spans="1:6" x14ac:dyDescent="0.3">
      <c r="A228" t="s">
        <v>364</v>
      </c>
      <c r="B228" t="s">
        <v>365</v>
      </c>
    </row>
    <row r="229" spans="1:6" x14ac:dyDescent="0.3">
      <c r="A229" t="s">
        <v>366</v>
      </c>
      <c r="B229" t="s">
        <v>367</v>
      </c>
      <c r="C229" t="str">
        <f>HYPERLINK("http://service.sap.com/sap/support/notes/1847600","1847600")</f>
        <v>1847600</v>
      </c>
      <c r="D229">
        <v>3</v>
      </c>
      <c r="E229" t="s">
        <v>368</v>
      </c>
      <c r="F229" t="s">
        <v>17</v>
      </c>
    </row>
    <row r="230" spans="1:6" x14ac:dyDescent="0.3">
      <c r="A230" t="s">
        <v>369</v>
      </c>
      <c r="B230" t="s">
        <v>370</v>
      </c>
      <c r="C230" t="str">
        <f>HYPERLINK("http://service.sap.com/sap/support/notes/1894722","1894722")</f>
        <v>1894722</v>
      </c>
      <c r="D230">
        <v>2</v>
      </c>
      <c r="E230" t="s">
        <v>371</v>
      </c>
      <c r="F230" t="s">
        <v>17</v>
      </c>
    </row>
    <row r="231" spans="1:6" x14ac:dyDescent="0.3">
      <c r="A231" t="s">
        <v>369</v>
      </c>
      <c r="B231" t="s">
        <v>370</v>
      </c>
      <c r="C231" t="str">
        <f>HYPERLINK("http://service.sap.com/sap/support/notes/1903256","1903256")</f>
        <v>1903256</v>
      </c>
      <c r="D231">
        <v>1</v>
      </c>
      <c r="E231" t="s">
        <v>372</v>
      </c>
      <c r="F231" t="s">
        <v>13</v>
      </c>
    </row>
    <row r="232" spans="1:6" x14ac:dyDescent="0.3">
      <c r="A232" t="s">
        <v>373</v>
      </c>
      <c r="B232" t="s">
        <v>243</v>
      </c>
      <c r="C232" t="str">
        <f>HYPERLINK("http://service.sap.com/sap/support/notes/1871703","1871703")</f>
        <v>1871703</v>
      </c>
      <c r="D232">
        <v>2</v>
      </c>
      <c r="E232" t="s">
        <v>374</v>
      </c>
      <c r="F232" t="s">
        <v>13</v>
      </c>
    </row>
    <row r="233" spans="1:6" x14ac:dyDescent="0.3">
      <c r="A233" t="s">
        <v>373</v>
      </c>
      <c r="B233" t="s">
        <v>243</v>
      </c>
      <c r="C233" t="str">
        <f>HYPERLINK("http://service.sap.com/sap/support/notes/1884472","1884472")</f>
        <v>1884472</v>
      </c>
      <c r="D233">
        <v>1</v>
      </c>
      <c r="E233" t="s">
        <v>375</v>
      </c>
      <c r="F233" t="s">
        <v>17</v>
      </c>
    </row>
    <row r="234" spans="1:6" x14ac:dyDescent="0.3">
      <c r="A234" t="s">
        <v>376</v>
      </c>
      <c r="B234" t="s">
        <v>377</v>
      </c>
    </row>
    <row r="235" spans="1:6" x14ac:dyDescent="0.3">
      <c r="A235" t="s">
        <v>378</v>
      </c>
      <c r="B235" t="s">
        <v>379</v>
      </c>
      <c r="C235" t="str">
        <f>HYPERLINK("http://service.sap.com/sap/support/notes/1467948","1467948")</f>
        <v>1467948</v>
      </c>
      <c r="D235">
        <v>2</v>
      </c>
      <c r="E235" t="s">
        <v>380</v>
      </c>
      <c r="F235" t="s">
        <v>17</v>
      </c>
    </row>
    <row r="236" spans="1:6" x14ac:dyDescent="0.3">
      <c r="A236" t="s">
        <v>378</v>
      </c>
      <c r="B236" t="s">
        <v>379</v>
      </c>
      <c r="C236" t="str">
        <f>HYPERLINK("http://service.sap.com/sap/support/notes/1868046","1868046")</f>
        <v>1868046</v>
      </c>
      <c r="D236">
        <v>2</v>
      </c>
      <c r="E236" t="s">
        <v>381</v>
      </c>
      <c r="F236" t="s">
        <v>17</v>
      </c>
    </row>
    <row r="237" spans="1:6" x14ac:dyDescent="0.3">
      <c r="A237" t="s">
        <v>378</v>
      </c>
      <c r="B237" t="s">
        <v>379</v>
      </c>
      <c r="C237" t="str">
        <f>HYPERLINK("http://service.sap.com/sap/support/notes/1883452","1883452")</f>
        <v>1883452</v>
      </c>
      <c r="D237">
        <v>3</v>
      </c>
      <c r="E237" t="s">
        <v>382</v>
      </c>
      <c r="F237" t="s">
        <v>17</v>
      </c>
    </row>
    <row r="238" spans="1:6" x14ac:dyDescent="0.3">
      <c r="A238" t="s">
        <v>383</v>
      </c>
      <c r="B238" t="s">
        <v>384</v>
      </c>
      <c r="C238" t="str">
        <f>HYPERLINK("http://service.sap.com/sap/support/notes/1881530","1881530")</f>
        <v>1881530</v>
      </c>
      <c r="D238">
        <v>2</v>
      </c>
      <c r="E238" t="s">
        <v>385</v>
      </c>
      <c r="F238" t="s">
        <v>17</v>
      </c>
    </row>
    <row r="239" spans="1:6" x14ac:dyDescent="0.3">
      <c r="A239" t="s">
        <v>386</v>
      </c>
      <c r="B239" t="s">
        <v>387</v>
      </c>
      <c r="C239" t="str">
        <f>HYPERLINK("http://service.sap.com/sap/support/notes/1885410","1885410")</f>
        <v>1885410</v>
      </c>
      <c r="D239">
        <v>1</v>
      </c>
      <c r="E239" t="s">
        <v>388</v>
      </c>
      <c r="F239" t="s">
        <v>13</v>
      </c>
    </row>
    <row r="240" spans="1:6" x14ac:dyDescent="0.3">
      <c r="A240" t="s">
        <v>386</v>
      </c>
      <c r="B240" t="s">
        <v>387</v>
      </c>
      <c r="C240" t="str">
        <f>HYPERLINK("http://service.sap.com/sap/support/notes/1886902","1886902")</f>
        <v>1886902</v>
      </c>
      <c r="D240">
        <v>1</v>
      </c>
      <c r="E240" t="s">
        <v>389</v>
      </c>
      <c r="F240" t="s">
        <v>13</v>
      </c>
    </row>
    <row r="241" spans="1:6" x14ac:dyDescent="0.3">
      <c r="A241" t="s">
        <v>386</v>
      </c>
      <c r="B241" t="s">
        <v>387</v>
      </c>
      <c r="C241" t="str">
        <f>HYPERLINK("http://service.sap.com/sap/support/notes/1900223","1900223")</f>
        <v>1900223</v>
      </c>
      <c r="D241">
        <v>1</v>
      </c>
      <c r="E241" t="s">
        <v>390</v>
      </c>
      <c r="F241" t="s">
        <v>13</v>
      </c>
    </row>
    <row r="242" spans="1:6" x14ac:dyDescent="0.3">
      <c r="A242" t="s">
        <v>386</v>
      </c>
      <c r="B242" t="s">
        <v>387</v>
      </c>
      <c r="C242" t="str">
        <f>HYPERLINK("http://service.sap.com/sap/support/notes/1902394","1902394")</f>
        <v>1902394</v>
      </c>
      <c r="D242">
        <v>2</v>
      </c>
      <c r="E242" t="s">
        <v>391</v>
      </c>
      <c r="F242" t="s">
        <v>13</v>
      </c>
    </row>
    <row r="243" spans="1:6" x14ac:dyDescent="0.3">
      <c r="A243" t="s">
        <v>386</v>
      </c>
      <c r="B243" t="s">
        <v>387</v>
      </c>
      <c r="C243" t="str">
        <f>HYPERLINK("http://service.sap.com/sap/support/notes/1902659","1902659")</f>
        <v>1902659</v>
      </c>
      <c r="D243">
        <v>2</v>
      </c>
      <c r="E243" t="s">
        <v>392</v>
      </c>
      <c r="F243" t="s">
        <v>13</v>
      </c>
    </row>
    <row r="244" spans="1:6" x14ac:dyDescent="0.3">
      <c r="A244" t="s">
        <v>386</v>
      </c>
      <c r="B244" t="s">
        <v>387</v>
      </c>
      <c r="C244" t="str">
        <f>HYPERLINK("http://service.sap.com/sap/support/notes/1910031","1910031")</f>
        <v>1910031</v>
      </c>
      <c r="D244">
        <v>2</v>
      </c>
      <c r="E244" t="s">
        <v>393</v>
      </c>
      <c r="F244" t="s">
        <v>13</v>
      </c>
    </row>
    <row r="245" spans="1:6" x14ac:dyDescent="0.3">
      <c r="A245" t="s">
        <v>394</v>
      </c>
      <c r="B245" t="s">
        <v>395</v>
      </c>
    </row>
    <row r="246" spans="1:6" x14ac:dyDescent="0.3">
      <c r="A246" t="s">
        <v>396</v>
      </c>
      <c r="B246" t="s">
        <v>397</v>
      </c>
    </row>
    <row r="247" spans="1:6" x14ac:dyDescent="0.3">
      <c r="A247" t="s">
        <v>398</v>
      </c>
      <c r="B247" t="s">
        <v>399</v>
      </c>
      <c r="C247" t="str">
        <f>HYPERLINK("http://service.sap.com/sap/support/notes/1838423","1838423")</f>
        <v>1838423</v>
      </c>
      <c r="D247">
        <v>2</v>
      </c>
      <c r="E247" t="s">
        <v>400</v>
      </c>
      <c r="F247" t="s">
        <v>13</v>
      </c>
    </row>
    <row r="248" spans="1:6" x14ac:dyDescent="0.3">
      <c r="A248" t="s">
        <v>401</v>
      </c>
      <c r="B248" t="s">
        <v>402</v>
      </c>
      <c r="C248" t="str">
        <f>HYPERLINK("http://service.sap.com/sap/support/notes/1870522","1870522")</f>
        <v>1870522</v>
      </c>
      <c r="D248">
        <v>2</v>
      </c>
      <c r="E248" t="s">
        <v>403</v>
      </c>
      <c r="F248" t="s">
        <v>17</v>
      </c>
    </row>
    <row r="249" spans="1:6" x14ac:dyDescent="0.3">
      <c r="A249" t="s">
        <v>404</v>
      </c>
      <c r="B249" t="s">
        <v>405</v>
      </c>
      <c r="C249" t="str">
        <f>HYPERLINK("http://service.sap.com/sap/support/notes/1882234","1882234")</f>
        <v>1882234</v>
      </c>
      <c r="D249">
        <v>2</v>
      </c>
      <c r="E249" t="s">
        <v>406</v>
      </c>
      <c r="F249" t="s">
        <v>17</v>
      </c>
    </row>
    <row r="250" spans="1:6" x14ac:dyDescent="0.3">
      <c r="A250" t="s">
        <v>407</v>
      </c>
      <c r="B250" t="s">
        <v>243</v>
      </c>
      <c r="C250" t="str">
        <f>HYPERLINK("http://service.sap.com/sap/support/notes/1853723","1853723")</f>
        <v>1853723</v>
      </c>
      <c r="D250">
        <v>1</v>
      </c>
      <c r="E250" t="s">
        <v>408</v>
      </c>
      <c r="F250" t="s">
        <v>13</v>
      </c>
    </row>
    <row r="251" spans="1:6" x14ac:dyDescent="0.3">
      <c r="A251" t="s">
        <v>409</v>
      </c>
      <c r="B251" t="s">
        <v>138</v>
      </c>
      <c r="C251" t="str">
        <f>HYPERLINK("http://service.sap.com/sap/support/notes/1872322","1872322")</f>
        <v>1872322</v>
      </c>
      <c r="D251">
        <v>1</v>
      </c>
      <c r="E251" t="s">
        <v>410</v>
      </c>
      <c r="F251" t="s">
        <v>17</v>
      </c>
    </row>
    <row r="252" spans="1:6" x14ac:dyDescent="0.3">
      <c r="A252" t="s">
        <v>409</v>
      </c>
      <c r="B252" t="s">
        <v>138</v>
      </c>
      <c r="C252" t="str">
        <f>HYPERLINK("http://service.sap.com/sap/support/notes/1898902","1898902")</f>
        <v>1898902</v>
      </c>
      <c r="D252">
        <v>3</v>
      </c>
      <c r="E252" t="s">
        <v>411</v>
      </c>
      <c r="F252" t="s">
        <v>11</v>
      </c>
    </row>
    <row r="253" spans="1:6" x14ac:dyDescent="0.3">
      <c r="A253" t="s">
        <v>409</v>
      </c>
      <c r="B253" t="s">
        <v>138</v>
      </c>
      <c r="C253" t="str">
        <f>HYPERLINK("http://service.sap.com/sap/support/notes/1912777","1912777")</f>
        <v>1912777</v>
      </c>
      <c r="D253">
        <v>2</v>
      </c>
      <c r="E253" t="s">
        <v>412</v>
      </c>
      <c r="F253" t="s">
        <v>13</v>
      </c>
    </row>
    <row r="254" spans="1:6" x14ac:dyDescent="0.3">
      <c r="A254" t="s">
        <v>413</v>
      </c>
      <c r="B254" t="s">
        <v>414</v>
      </c>
      <c r="C254" t="str">
        <f>HYPERLINK("http://service.sap.com/sap/support/notes/1834047","1834047")</f>
        <v>1834047</v>
      </c>
      <c r="D254">
        <v>3</v>
      </c>
      <c r="E254" t="s">
        <v>415</v>
      </c>
      <c r="F254" t="s">
        <v>13</v>
      </c>
    </row>
    <row r="255" spans="1:6" x14ac:dyDescent="0.3">
      <c r="A255" t="s">
        <v>413</v>
      </c>
      <c r="B255" t="s">
        <v>414</v>
      </c>
      <c r="C255" t="str">
        <f>HYPERLINK("http://service.sap.com/sap/support/notes/1862538","1862538")</f>
        <v>1862538</v>
      </c>
      <c r="D255">
        <v>4</v>
      </c>
      <c r="E255" t="s">
        <v>416</v>
      </c>
      <c r="F255" t="s">
        <v>13</v>
      </c>
    </row>
    <row r="256" spans="1:6" x14ac:dyDescent="0.3">
      <c r="A256" t="s">
        <v>417</v>
      </c>
      <c r="B256" t="s">
        <v>418</v>
      </c>
    </row>
    <row r="257" spans="1:6" x14ac:dyDescent="0.3">
      <c r="A257" t="s">
        <v>419</v>
      </c>
      <c r="B257" t="s">
        <v>420</v>
      </c>
    </row>
    <row r="258" spans="1:6" x14ac:dyDescent="0.3">
      <c r="A258" t="s">
        <v>421</v>
      </c>
      <c r="B258" t="s">
        <v>422</v>
      </c>
    </row>
    <row r="259" spans="1:6" x14ac:dyDescent="0.3">
      <c r="A259" t="s">
        <v>423</v>
      </c>
      <c r="B259" t="s">
        <v>424</v>
      </c>
      <c r="C259" t="str">
        <f>HYPERLINK("http://service.sap.com/sap/support/notes/1875803","1875803")</f>
        <v>1875803</v>
      </c>
      <c r="D259">
        <v>1</v>
      </c>
      <c r="E259" t="s">
        <v>425</v>
      </c>
      <c r="F259" t="s">
        <v>13</v>
      </c>
    </row>
    <row r="260" spans="1:6" x14ac:dyDescent="0.3">
      <c r="A260" t="s">
        <v>426</v>
      </c>
      <c r="B260" t="s">
        <v>61</v>
      </c>
    </row>
    <row r="261" spans="1:6" x14ac:dyDescent="0.3">
      <c r="A261" t="s">
        <v>427</v>
      </c>
      <c r="B261" t="s">
        <v>63</v>
      </c>
      <c r="C261" t="str">
        <f>HYPERLINK("http://service.sap.com/sap/support/notes/1846483","1846483")</f>
        <v>1846483</v>
      </c>
      <c r="D261">
        <v>2</v>
      </c>
      <c r="E261" t="s">
        <v>428</v>
      </c>
      <c r="F261" t="s">
        <v>17</v>
      </c>
    </row>
    <row r="262" spans="1:6" x14ac:dyDescent="0.3">
      <c r="A262" t="s">
        <v>427</v>
      </c>
      <c r="B262" t="s">
        <v>63</v>
      </c>
      <c r="C262" t="str">
        <f>HYPERLINK("http://service.sap.com/sap/support/notes/1860049","1860049")</f>
        <v>1860049</v>
      </c>
      <c r="D262">
        <v>1</v>
      </c>
      <c r="E262" t="s">
        <v>429</v>
      </c>
      <c r="F262" t="s">
        <v>94</v>
      </c>
    </row>
    <row r="263" spans="1:6" x14ac:dyDescent="0.3">
      <c r="A263" t="s">
        <v>427</v>
      </c>
      <c r="B263" t="s">
        <v>63</v>
      </c>
      <c r="C263" t="str">
        <f>HYPERLINK("http://service.sap.com/sap/support/notes/1891236","1891236")</f>
        <v>1891236</v>
      </c>
      <c r="D263">
        <v>1</v>
      </c>
      <c r="E263" t="s">
        <v>430</v>
      </c>
      <c r="F263" t="s">
        <v>13</v>
      </c>
    </row>
    <row r="264" spans="1:6" x14ac:dyDescent="0.3">
      <c r="A264" t="s">
        <v>427</v>
      </c>
      <c r="B264" t="s">
        <v>63</v>
      </c>
      <c r="C264" t="str">
        <f>HYPERLINK("http://service.sap.com/sap/support/notes/1895628","1895628")</f>
        <v>1895628</v>
      </c>
      <c r="D264">
        <v>1</v>
      </c>
      <c r="E264" t="s">
        <v>431</v>
      </c>
      <c r="F264" t="s">
        <v>13</v>
      </c>
    </row>
    <row r="265" spans="1:6" x14ac:dyDescent="0.3">
      <c r="A265" t="s">
        <v>427</v>
      </c>
      <c r="B265" t="s">
        <v>63</v>
      </c>
      <c r="C265" t="str">
        <f>HYPERLINK("http://service.sap.com/sap/support/notes/1897179","1897179")</f>
        <v>1897179</v>
      </c>
      <c r="D265">
        <v>2</v>
      </c>
      <c r="E265" t="s">
        <v>432</v>
      </c>
      <c r="F265" t="s">
        <v>13</v>
      </c>
    </row>
    <row r="266" spans="1:6" x14ac:dyDescent="0.3">
      <c r="A266" t="s">
        <v>427</v>
      </c>
      <c r="B266" t="s">
        <v>63</v>
      </c>
      <c r="C266" t="str">
        <f>HYPERLINK("http://service.sap.com/sap/support/notes/1897240","1897240")</f>
        <v>1897240</v>
      </c>
      <c r="D266">
        <v>1</v>
      </c>
      <c r="E266" t="s">
        <v>433</v>
      </c>
      <c r="F266" t="s">
        <v>13</v>
      </c>
    </row>
    <row r="267" spans="1:6" x14ac:dyDescent="0.3">
      <c r="A267" t="s">
        <v>427</v>
      </c>
      <c r="B267" t="s">
        <v>63</v>
      </c>
      <c r="C267" t="str">
        <f>HYPERLINK("http://service.sap.com/sap/support/notes/1898475","1898475")</f>
        <v>1898475</v>
      </c>
      <c r="D267">
        <v>9</v>
      </c>
      <c r="E267" t="s">
        <v>434</v>
      </c>
      <c r="F267" t="s">
        <v>13</v>
      </c>
    </row>
    <row r="268" spans="1:6" x14ac:dyDescent="0.3">
      <c r="A268" t="s">
        <v>427</v>
      </c>
      <c r="B268" t="s">
        <v>63</v>
      </c>
      <c r="C268" t="str">
        <f>HYPERLINK("http://service.sap.com/sap/support/notes/1898481","1898481")</f>
        <v>1898481</v>
      </c>
      <c r="D268">
        <v>1</v>
      </c>
      <c r="E268" t="s">
        <v>435</v>
      </c>
      <c r="F268" t="s">
        <v>13</v>
      </c>
    </row>
    <row r="269" spans="1:6" x14ac:dyDescent="0.3">
      <c r="A269" t="s">
        <v>427</v>
      </c>
      <c r="B269" t="s">
        <v>63</v>
      </c>
      <c r="C269" t="str">
        <f>HYPERLINK("http://service.sap.com/sap/support/notes/1899586","1899586")</f>
        <v>1899586</v>
      </c>
      <c r="D269">
        <v>8</v>
      </c>
      <c r="E269" t="s">
        <v>436</v>
      </c>
      <c r="F269" t="s">
        <v>13</v>
      </c>
    </row>
    <row r="270" spans="1:6" x14ac:dyDescent="0.3">
      <c r="A270" t="s">
        <v>427</v>
      </c>
      <c r="B270" t="s">
        <v>63</v>
      </c>
      <c r="C270" t="str">
        <f>HYPERLINK("http://service.sap.com/sap/support/notes/1899590","1899590")</f>
        <v>1899590</v>
      </c>
      <c r="D270">
        <v>2</v>
      </c>
      <c r="E270" t="s">
        <v>437</v>
      </c>
      <c r="F270" t="s">
        <v>13</v>
      </c>
    </row>
    <row r="271" spans="1:6" x14ac:dyDescent="0.3">
      <c r="A271" t="s">
        <v>427</v>
      </c>
      <c r="B271" t="s">
        <v>63</v>
      </c>
      <c r="C271" t="str">
        <f>HYPERLINK("http://service.sap.com/sap/support/notes/1902423","1902423")</f>
        <v>1902423</v>
      </c>
      <c r="D271">
        <v>2</v>
      </c>
      <c r="E271" t="s">
        <v>438</v>
      </c>
      <c r="F271" t="s">
        <v>13</v>
      </c>
    </row>
    <row r="272" spans="1:6" x14ac:dyDescent="0.3">
      <c r="A272" t="s">
        <v>427</v>
      </c>
      <c r="B272" t="s">
        <v>63</v>
      </c>
      <c r="C272" t="str">
        <f>HYPERLINK("http://service.sap.com/sap/support/notes/1903487","1903487")</f>
        <v>1903487</v>
      </c>
      <c r="D272">
        <v>1</v>
      </c>
      <c r="E272" t="s">
        <v>439</v>
      </c>
      <c r="F272" t="s">
        <v>13</v>
      </c>
    </row>
    <row r="273" spans="1:6" x14ac:dyDescent="0.3">
      <c r="A273" t="s">
        <v>427</v>
      </c>
      <c r="B273" t="s">
        <v>63</v>
      </c>
      <c r="C273" t="str">
        <f>HYPERLINK("http://service.sap.com/sap/support/notes/1903956","1903956")</f>
        <v>1903956</v>
      </c>
      <c r="D273">
        <v>2</v>
      </c>
      <c r="E273" t="s">
        <v>440</v>
      </c>
      <c r="F273" t="s">
        <v>13</v>
      </c>
    </row>
    <row r="274" spans="1:6" x14ac:dyDescent="0.3">
      <c r="A274" t="s">
        <v>441</v>
      </c>
      <c r="B274" t="s">
        <v>346</v>
      </c>
      <c r="C274" t="str">
        <f>HYPERLINK("http://service.sap.com/sap/support/notes/1890653","1890653")</f>
        <v>1890653</v>
      </c>
      <c r="D274">
        <v>1</v>
      </c>
      <c r="E274" t="s">
        <v>442</v>
      </c>
      <c r="F274" t="s">
        <v>17</v>
      </c>
    </row>
    <row r="275" spans="1:6" x14ac:dyDescent="0.3">
      <c r="A275" t="s">
        <v>441</v>
      </c>
      <c r="B275" t="s">
        <v>346</v>
      </c>
      <c r="C275" t="str">
        <f>HYPERLINK("http://service.sap.com/sap/support/notes/1896292","1896292")</f>
        <v>1896292</v>
      </c>
      <c r="D275">
        <v>2</v>
      </c>
      <c r="E275" t="s">
        <v>443</v>
      </c>
      <c r="F275" t="s">
        <v>13</v>
      </c>
    </row>
    <row r="276" spans="1:6" x14ac:dyDescent="0.3">
      <c r="A276" t="s">
        <v>441</v>
      </c>
      <c r="B276" t="s">
        <v>346</v>
      </c>
      <c r="C276" t="str">
        <f>HYPERLINK("http://service.sap.com/sap/support/notes/1897011","1897011")</f>
        <v>1897011</v>
      </c>
      <c r="D276">
        <v>2</v>
      </c>
      <c r="E276" t="s">
        <v>444</v>
      </c>
      <c r="F276" t="s">
        <v>13</v>
      </c>
    </row>
    <row r="277" spans="1:6" x14ac:dyDescent="0.3">
      <c r="A277" t="s">
        <v>441</v>
      </c>
      <c r="B277" t="s">
        <v>346</v>
      </c>
      <c r="C277" t="str">
        <f>HYPERLINK("http://service.sap.com/sap/support/notes/1897178","1897178")</f>
        <v>1897178</v>
      </c>
      <c r="D277">
        <v>5</v>
      </c>
      <c r="E277" t="s">
        <v>445</v>
      </c>
      <c r="F277" t="s">
        <v>17</v>
      </c>
    </row>
    <row r="278" spans="1:6" x14ac:dyDescent="0.3">
      <c r="A278" t="s">
        <v>441</v>
      </c>
      <c r="B278" t="s">
        <v>346</v>
      </c>
      <c r="C278" t="str">
        <f>HYPERLINK("http://service.sap.com/sap/support/notes/1898104","1898104")</f>
        <v>1898104</v>
      </c>
      <c r="D278">
        <v>1</v>
      </c>
      <c r="E278" t="s">
        <v>446</v>
      </c>
      <c r="F278" t="s">
        <v>13</v>
      </c>
    </row>
    <row r="279" spans="1:6" x14ac:dyDescent="0.3">
      <c r="A279" t="s">
        <v>441</v>
      </c>
      <c r="B279" t="s">
        <v>346</v>
      </c>
      <c r="C279" t="str">
        <f>HYPERLINK("http://service.sap.com/sap/support/notes/1898175","1898175")</f>
        <v>1898175</v>
      </c>
      <c r="D279">
        <v>2</v>
      </c>
      <c r="E279" t="s">
        <v>447</v>
      </c>
      <c r="F279" t="s">
        <v>13</v>
      </c>
    </row>
    <row r="280" spans="1:6" x14ac:dyDescent="0.3">
      <c r="A280" t="s">
        <v>441</v>
      </c>
      <c r="B280" t="s">
        <v>346</v>
      </c>
      <c r="C280" t="str">
        <f>HYPERLINK("http://service.sap.com/sap/support/notes/1899952","1899952")</f>
        <v>1899952</v>
      </c>
      <c r="D280">
        <v>1</v>
      </c>
      <c r="E280" t="s">
        <v>448</v>
      </c>
      <c r="F280" t="s">
        <v>17</v>
      </c>
    </row>
    <row r="281" spans="1:6" x14ac:dyDescent="0.3">
      <c r="A281" t="s">
        <v>441</v>
      </c>
      <c r="B281" t="s">
        <v>346</v>
      </c>
      <c r="C281" t="str">
        <f>HYPERLINK("http://service.sap.com/sap/support/notes/1901226","1901226")</f>
        <v>1901226</v>
      </c>
      <c r="D281">
        <v>1</v>
      </c>
      <c r="E281" t="s">
        <v>449</v>
      </c>
      <c r="F281" t="s">
        <v>13</v>
      </c>
    </row>
    <row r="282" spans="1:6" x14ac:dyDescent="0.3">
      <c r="A282" t="s">
        <v>441</v>
      </c>
      <c r="B282" t="s">
        <v>346</v>
      </c>
      <c r="C282" t="str">
        <f>HYPERLINK("http://service.sap.com/sap/support/notes/1903506","1903506")</f>
        <v>1903506</v>
      </c>
      <c r="D282">
        <v>7</v>
      </c>
      <c r="E282" t="s">
        <v>450</v>
      </c>
      <c r="F282" t="s">
        <v>13</v>
      </c>
    </row>
    <row r="283" spans="1:6" x14ac:dyDescent="0.3">
      <c r="A283" t="s">
        <v>451</v>
      </c>
      <c r="B283" t="s">
        <v>138</v>
      </c>
      <c r="C283" t="str">
        <f>HYPERLINK("http://service.sap.com/sap/support/notes/1688850","1688850")</f>
        <v>1688850</v>
      </c>
      <c r="D283">
        <v>4</v>
      </c>
      <c r="E283" t="s">
        <v>452</v>
      </c>
      <c r="F283" t="s">
        <v>17</v>
      </c>
    </row>
    <row r="284" spans="1:6" x14ac:dyDescent="0.3">
      <c r="A284" t="s">
        <v>451</v>
      </c>
      <c r="B284" t="s">
        <v>138</v>
      </c>
      <c r="C284" t="str">
        <f>HYPERLINK("http://service.sap.com/sap/support/notes/1766284","1766284")</f>
        <v>1766284</v>
      </c>
      <c r="D284">
        <v>5</v>
      </c>
      <c r="E284" t="s">
        <v>453</v>
      </c>
      <c r="F284" t="s">
        <v>17</v>
      </c>
    </row>
    <row r="285" spans="1:6" x14ac:dyDescent="0.3">
      <c r="A285" t="s">
        <v>451</v>
      </c>
      <c r="B285" t="s">
        <v>138</v>
      </c>
      <c r="C285" t="str">
        <f>HYPERLINK("http://service.sap.com/sap/support/notes/1796962","1796962")</f>
        <v>1796962</v>
      </c>
      <c r="D285">
        <v>6</v>
      </c>
      <c r="E285" t="s">
        <v>454</v>
      </c>
      <c r="F285" t="s">
        <v>13</v>
      </c>
    </row>
    <row r="286" spans="1:6" x14ac:dyDescent="0.3">
      <c r="A286" t="s">
        <v>451</v>
      </c>
      <c r="B286" t="s">
        <v>138</v>
      </c>
      <c r="C286" t="str">
        <f>HYPERLINK("http://service.sap.com/sap/support/notes/1809611","1809611")</f>
        <v>1809611</v>
      </c>
      <c r="D286">
        <v>5</v>
      </c>
      <c r="E286" t="s">
        <v>455</v>
      </c>
      <c r="F286" t="s">
        <v>17</v>
      </c>
    </row>
    <row r="287" spans="1:6" x14ac:dyDescent="0.3">
      <c r="A287" t="s">
        <v>451</v>
      </c>
      <c r="B287" t="s">
        <v>138</v>
      </c>
      <c r="C287" t="str">
        <f>HYPERLINK("http://service.sap.com/sap/support/notes/1840218","1840218")</f>
        <v>1840218</v>
      </c>
      <c r="D287">
        <v>2</v>
      </c>
      <c r="E287" t="s">
        <v>456</v>
      </c>
      <c r="F287" t="s">
        <v>13</v>
      </c>
    </row>
    <row r="288" spans="1:6" x14ac:dyDescent="0.3">
      <c r="A288" t="s">
        <v>451</v>
      </c>
      <c r="B288" t="s">
        <v>138</v>
      </c>
      <c r="C288" t="str">
        <f>HYPERLINK("http://service.sap.com/sap/support/notes/1874799","1874799")</f>
        <v>1874799</v>
      </c>
      <c r="D288">
        <v>1</v>
      </c>
      <c r="E288" t="s">
        <v>457</v>
      </c>
      <c r="F288" t="s">
        <v>13</v>
      </c>
    </row>
    <row r="289" spans="1:6" x14ac:dyDescent="0.3">
      <c r="A289" t="s">
        <v>451</v>
      </c>
      <c r="B289" t="s">
        <v>138</v>
      </c>
      <c r="C289" t="str">
        <f>HYPERLINK("http://service.sap.com/sap/support/notes/1877429","1877429")</f>
        <v>1877429</v>
      </c>
      <c r="D289">
        <v>2</v>
      </c>
      <c r="E289" t="s">
        <v>458</v>
      </c>
      <c r="F289" t="s">
        <v>13</v>
      </c>
    </row>
    <row r="290" spans="1:6" x14ac:dyDescent="0.3">
      <c r="A290" t="s">
        <v>451</v>
      </c>
      <c r="B290" t="s">
        <v>138</v>
      </c>
      <c r="C290" t="str">
        <f>HYPERLINK("http://service.sap.com/sap/support/notes/1878056","1878056")</f>
        <v>1878056</v>
      </c>
      <c r="D290">
        <v>1</v>
      </c>
      <c r="E290" t="s">
        <v>459</v>
      </c>
      <c r="F290" t="s">
        <v>17</v>
      </c>
    </row>
    <row r="291" spans="1:6" x14ac:dyDescent="0.3">
      <c r="A291" t="s">
        <v>451</v>
      </c>
      <c r="B291" t="s">
        <v>138</v>
      </c>
      <c r="C291" t="str">
        <f>HYPERLINK("http://service.sap.com/sap/support/notes/1880285","1880285")</f>
        <v>1880285</v>
      </c>
      <c r="D291">
        <v>1</v>
      </c>
      <c r="E291" t="s">
        <v>460</v>
      </c>
      <c r="F291" t="s">
        <v>17</v>
      </c>
    </row>
    <row r="292" spans="1:6" x14ac:dyDescent="0.3">
      <c r="A292" t="s">
        <v>451</v>
      </c>
      <c r="B292" t="s">
        <v>138</v>
      </c>
      <c r="C292" t="str">
        <f>HYPERLINK("http://service.sap.com/sap/support/notes/1893289","1893289")</f>
        <v>1893289</v>
      </c>
      <c r="D292">
        <v>2</v>
      </c>
      <c r="E292" t="s">
        <v>461</v>
      </c>
      <c r="F292" t="s">
        <v>17</v>
      </c>
    </row>
    <row r="293" spans="1:6" x14ac:dyDescent="0.3">
      <c r="A293" t="s">
        <v>462</v>
      </c>
      <c r="B293" t="s">
        <v>463</v>
      </c>
      <c r="C293" t="str">
        <f>HYPERLINK("http://service.sap.com/sap/support/notes/1663976","1663976")</f>
        <v>1663976</v>
      </c>
      <c r="D293">
        <v>8</v>
      </c>
      <c r="E293" t="s">
        <v>464</v>
      </c>
      <c r="F293" t="s">
        <v>17</v>
      </c>
    </row>
    <row r="294" spans="1:6" x14ac:dyDescent="0.3">
      <c r="A294" t="s">
        <v>462</v>
      </c>
      <c r="B294" t="s">
        <v>463</v>
      </c>
      <c r="C294" t="str">
        <f>HYPERLINK("http://service.sap.com/sap/support/notes/1860805","1860805")</f>
        <v>1860805</v>
      </c>
      <c r="D294">
        <v>3</v>
      </c>
      <c r="E294" t="s">
        <v>465</v>
      </c>
      <c r="F294" t="s">
        <v>17</v>
      </c>
    </row>
    <row r="295" spans="1:6" x14ac:dyDescent="0.3">
      <c r="A295" t="s">
        <v>466</v>
      </c>
      <c r="B295" t="s">
        <v>467</v>
      </c>
      <c r="C295" t="str">
        <f>HYPERLINK("http://service.sap.com/sap/support/notes/1801822","1801822")</f>
        <v>1801822</v>
      </c>
      <c r="D295">
        <v>6</v>
      </c>
      <c r="E295" t="s">
        <v>468</v>
      </c>
      <c r="F295" t="s">
        <v>13</v>
      </c>
    </row>
    <row r="296" spans="1:6" x14ac:dyDescent="0.3">
      <c r="A296" t="s">
        <v>466</v>
      </c>
      <c r="B296" t="s">
        <v>467</v>
      </c>
      <c r="C296" t="str">
        <f>HYPERLINK("http://service.sap.com/sap/support/notes/1828211","1828211")</f>
        <v>1828211</v>
      </c>
      <c r="D296">
        <v>2</v>
      </c>
      <c r="E296" t="s">
        <v>469</v>
      </c>
      <c r="F296" t="s">
        <v>13</v>
      </c>
    </row>
    <row r="297" spans="1:6" x14ac:dyDescent="0.3">
      <c r="A297" t="s">
        <v>466</v>
      </c>
      <c r="B297" t="s">
        <v>467</v>
      </c>
      <c r="C297" t="str">
        <f>HYPERLINK("http://service.sap.com/sap/support/notes/1828338","1828338")</f>
        <v>1828338</v>
      </c>
      <c r="D297">
        <v>2</v>
      </c>
      <c r="E297" t="s">
        <v>470</v>
      </c>
      <c r="F297" t="s">
        <v>17</v>
      </c>
    </row>
    <row r="298" spans="1:6" x14ac:dyDescent="0.3">
      <c r="A298" t="s">
        <v>466</v>
      </c>
      <c r="B298" t="s">
        <v>467</v>
      </c>
      <c r="C298" t="str">
        <f>HYPERLINK("http://service.sap.com/sap/support/notes/1836134","1836134")</f>
        <v>1836134</v>
      </c>
      <c r="D298">
        <v>2</v>
      </c>
      <c r="E298" t="s">
        <v>471</v>
      </c>
      <c r="F298" t="s">
        <v>17</v>
      </c>
    </row>
    <row r="299" spans="1:6" x14ac:dyDescent="0.3">
      <c r="A299" t="s">
        <v>466</v>
      </c>
      <c r="B299" t="s">
        <v>467</v>
      </c>
      <c r="C299" t="str">
        <f>HYPERLINK("http://service.sap.com/sap/support/notes/1837875","1837875")</f>
        <v>1837875</v>
      </c>
      <c r="D299">
        <v>2</v>
      </c>
      <c r="E299" t="s">
        <v>472</v>
      </c>
      <c r="F299" t="s">
        <v>13</v>
      </c>
    </row>
    <row r="300" spans="1:6" x14ac:dyDescent="0.3">
      <c r="A300" t="s">
        <v>466</v>
      </c>
      <c r="B300" t="s">
        <v>467</v>
      </c>
      <c r="C300" t="str">
        <f>HYPERLINK("http://service.sap.com/sap/support/notes/1848440","1848440")</f>
        <v>1848440</v>
      </c>
      <c r="D300">
        <v>1</v>
      </c>
      <c r="E300" t="s">
        <v>473</v>
      </c>
      <c r="F300" t="s">
        <v>13</v>
      </c>
    </row>
    <row r="301" spans="1:6" x14ac:dyDescent="0.3">
      <c r="A301" t="s">
        <v>466</v>
      </c>
      <c r="B301" t="s">
        <v>467</v>
      </c>
      <c r="C301" t="str">
        <f>HYPERLINK("http://service.sap.com/sap/support/notes/1859143","1859143")</f>
        <v>1859143</v>
      </c>
      <c r="D301">
        <v>1</v>
      </c>
      <c r="E301" t="s">
        <v>474</v>
      </c>
      <c r="F301" t="s">
        <v>11</v>
      </c>
    </row>
    <row r="302" spans="1:6" x14ac:dyDescent="0.3">
      <c r="A302" t="s">
        <v>466</v>
      </c>
      <c r="B302" t="s">
        <v>467</v>
      </c>
      <c r="C302" t="str">
        <f>HYPERLINK("http://service.sap.com/sap/support/notes/1867419","1867419")</f>
        <v>1867419</v>
      </c>
      <c r="D302">
        <v>1</v>
      </c>
      <c r="E302" t="s">
        <v>475</v>
      </c>
      <c r="F302" t="s">
        <v>13</v>
      </c>
    </row>
    <row r="303" spans="1:6" x14ac:dyDescent="0.3">
      <c r="A303" t="s">
        <v>466</v>
      </c>
      <c r="B303" t="s">
        <v>467</v>
      </c>
      <c r="C303" t="str">
        <f>HYPERLINK("http://service.sap.com/sap/support/notes/1881752","1881752")</f>
        <v>1881752</v>
      </c>
      <c r="D303">
        <v>1</v>
      </c>
      <c r="E303" t="s">
        <v>476</v>
      </c>
      <c r="F303" t="s">
        <v>11</v>
      </c>
    </row>
    <row r="304" spans="1:6" x14ac:dyDescent="0.3">
      <c r="A304" t="s">
        <v>466</v>
      </c>
      <c r="B304" t="s">
        <v>467</v>
      </c>
      <c r="C304" t="str">
        <f>HYPERLINK("http://service.sap.com/sap/support/notes/1882353","1882353")</f>
        <v>1882353</v>
      </c>
      <c r="D304">
        <v>3</v>
      </c>
      <c r="E304" t="s">
        <v>477</v>
      </c>
      <c r="F304" t="s">
        <v>13</v>
      </c>
    </row>
    <row r="305" spans="1:6" x14ac:dyDescent="0.3">
      <c r="A305" t="s">
        <v>466</v>
      </c>
      <c r="B305" t="s">
        <v>467</v>
      </c>
      <c r="C305" t="str">
        <f>HYPERLINK("http://service.sap.com/sap/support/notes/1882919","1882919")</f>
        <v>1882919</v>
      </c>
      <c r="D305">
        <v>2</v>
      </c>
      <c r="E305" t="s">
        <v>478</v>
      </c>
      <c r="F305" t="s">
        <v>17</v>
      </c>
    </row>
    <row r="306" spans="1:6" x14ac:dyDescent="0.3">
      <c r="A306" t="s">
        <v>466</v>
      </c>
      <c r="B306" t="s">
        <v>467</v>
      </c>
      <c r="C306" t="str">
        <f>HYPERLINK("http://service.sap.com/sap/support/notes/1886409","1886409")</f>
        <v>1886409</v>
      </c>
      <c r="D306">
        <v>1</v>
      </c>
      <c r="E306" t="s">
        <v>479</v>
      </c>
      <c r="F306" t="s">
        <v>13</v>
      </c>
    </row>
    <row r="307" spans="1:6" x14ac:dyDescent="0.3">
      <c r="A307" t="s">
        <v>466</v>
      </c>
      <c r="B307" t="s">
        <v>467</v>
      </c>
      <c r="C307" t="str">
        <f>HYPERLINK("http://service.sap.com/sap/support/notes/1912917","1912917")</f>
        <v>1912917</v>
      </c>
      <c r="D307">
        <v>1</v>
      </c>
      <c r="E307" t="s">
        <v>480</v>
      </c>
      <c r="F307" t="s">
        <v>13</v>
      </c>
    </row>
    <row r="308" spans="1:6" x14ac:dyDescent="0.3">
      <c r="A308" t="s">
        <v>481</v>
      </c>
      <c r="B308" t="s">
        <v>482</v>
      </c>
      <c r="C308" t="str">
        <f>HYPERLINK("http://service.sap.com/sap/support/notes/1779972","1779972")</f>
        <v>1779972</v>
      </c>
      <c r="D308">
        <v>3</v>
      </c>
      <c r="E308" t="s">
        <v>483</v>
      </c>
      <c r="F308" t="s">
        <v>17</v>
      </c>
    </row>
    <row r="309" spans="1:6" x14ac:dyDescent="0.3">
      <c r="A309" t="s">
        <v>481</v>
      </c>
      <c r="B309" t="s">
        <v>482</v>
      </c>
      <c r="C309" t="str">
        <f>HYPERLINK("http://service.sap.com/sap/support/notes/1821325","1821325")</f>
        <v>1821325</v>
      </c>
      <c r="D309">
        <v>3</v>
      </c>
      <c r="E309" t="s">
        <v>484</v>
      </c>
      <c r="F309" t="s">
        <v>17</v>
      </c>
    </row>
    <row r="310" spans="1:6" x14ac:dyDescent="0.3">
      <c r="A310" t="s">
        <v>481</v>
      </c>
      <c r="B310" t="s">
        <v>482</v>
      </c>
      <c r="C310" t="str">
        <f>HYPERLINK("http://service.sap.com/sap/support/notes/1857866","1857866")</f>
        <v>1857866</v>
      </c>
      <c r="D310">
        <v>2</v>
      </c>
      <c r="E310" t="s">
        <v>485</v>
      </c>
      <c r="F310" t="s">
        <v>17</v>
      </c>
    </row>
    <row r="311" spans="1:6" x14ac:dyDescent="0.3">
      <c r="A311" t="s">
        <v>481</v>
      </c>
      <c r="B311" t="s">
        <v>482</v>
      </c>
      <c r="C311" t="str">
        <f>HYPERLINK("http://service.sap.com/sap/support/notes/1882085","1882085")</f>
        <v>1882085</v>
      </c>
      <c r="D311">
        <v>3</v>
      </c>
      <c r="E311" t="s">
        <v>486</v>
      </c>
      <c r="F311" t="s">
        <v>17</v>
      </c>
    </row>
    <row r="312" spans="1:6" x14ac:dyDescent="0.3">
      <c r="A312" t="s">
        <v>481</v>
      </c>
      <c r="B312" t="s">
        <v>482</v>
      </c>
      <c r="C312" t="str">
        <f>HYPERLINK("http://service.sap.com/sap/support/notes/1886425","1886425")</f>
        <v>1886425</v>
      </c>
      <c r="D312">
        <v>1</v>
      </c>
      <c r="E312" t="s">
        <v>487</v>
      </c>
      <c r="F312" t="s">
        <v>17</v>
      </c>
    </row>
    <row r="313" spans="1:6" x14ac:dyDescent="0.3">
      <c r="A313" t="s">
        <v>481</v>
      </c>
      <c r="B313" t="s">
        <v>482</v>
      </c>
      <c r="C313" t="str">
        <f>HYPERLINK("http://service.sap.com/sap/support/notes/1893692","1893692")</f>
        <v>1893692</v>
      </c>
      <c r="D313">
        <v>1</v>
      </c>
      <c r="E313" t="s">
        <v>488</v>
      </c>
      <c r="F313" t="s">
        <v>17</v>
      </c>
    </row>
    <row r="314" spans="1:6" x14ac:dyDescent="0.3">
      <c r="A314" t="s">
        <v>489</v>
      </c>
      <c r="B314" t="s">
        <v>490</v>
      </c>
      <c r="C314" t="str">
        <f>HYPERLINK("http://service.sap.com/sap/support/notes/1821704","1821704")</f>
        <v>1821704</v>
      </c>
      <c r="D314">
        <v>4</v>
      </c>
      <c r="E314" t="s">
        <v>491</v>
      </c>
      <c r="F314" t="s">
        <v>13</v>
      </c>
    </row>
    <row r="315" spans="1:6" x14ac:dyDescent="0.3">
      <c r="A315" t="s">
        <v>489</v>
      </c>
      <c r="B315" t="s">
        <v>490</v>
      </c>
      <c r="C315" t="str">
        <f>HYPERLINK("http://service.sap.com/sap/support/notes/1843481","1843481")</f>
        <v>1843481</v>
      </c>
      <c r="D315">
        <v>2</v>
      </c>
      <c r="E315" t="s">
        <v>492</v>
      </c>
      <c r="F315" t="s">
        <v>13</v>
      </c>
    </row>
    <row r="316" spans="1:6" x14ac:dyDescent="0.3">
      <c r="A316" t="s">
        <v>489</v>
      </c>
      <c r="B316" t="s">
        <v>490</v>
      </c>
      <c r="C316" t="str">
        <f>HYPERLINK("http://service.sap.com/sap/support/notes/1871895","1871895")</f>
        <v>1871895</v>
      </c>
      <c r="D316">
        <v>2</v>
      </c>
      <c r="E316" t="s">
        <v>493</v>
      </c>
      <c r="F316" t="s">
        <v>11</v>
      </c>
    </row>
    <row r="317" spans="1:6" x14ac:dyDescent="0.3">
      <c r="A317" t="s">
        <v>489</v>
      </c>
      <c r="B317" t="s">
        <v>490</v>
      </c>
      <c r="C317" t="str">
        <f>HYPERLINK("http://service.sap.com/sap/support/notes/1892186","1892186")</f>
        <v>1892186</v>
      </c>
      <c r="D317">
        <v>2</v>
      </c>
      <c r="E317" t="s">
        <v>494</v>
      </c>
      <c r="F317" t="s">
        <v>17</v>
      </c>
    </row>
    <row r="318" spans="1:6" x14ac:dyDescent="0.3">
      <c r="A318" t="s">
        <v>495</v>
      </c>
      <c r="B318" t="s">
        <v>496</v>
      </c>
      <c r="C318" t="str">
        <f>HYPERLINK("http://service.sap.com/sap/support/notes/1824227","1824227")</f>
        <v>1824227</v>
      </c>
      <c r="D318">
        <v>3</v>
      </c>
      <c r="E318" t="s">
        <v>497</v>
      </c>
      <c r="F318" t="s">
        <v>13</v>
      </c>
    </row>
    <row r="319" spans="1:6" x14ac:dyDescent="0.3">
      <c r="A319" t="s">
        <v>498</v>
      </c>
      <c r="B319" t="s">
        <v>243</v>
      </c>
      <c r="C319" t="str">
        <f>HYPERLINK("http://service.sap.com/sap/support/notes/1852261","1852261")</f>
        <v>1852261</v>
      </c>
      <c r="D319">
        <v>1</v>
      </c>
      <c r="E319" t="s">
        <v>499</v>
      </c>
      <c r="F319" t="s">
        <v>17</v>
      </c>
    </row>
    <row r="320" spans="1:6" x14ac:dyDescent="0.3">
      <c r="A320" t="s">
        <v>498</v>
      </c>
      <c r="B320" t="s">
        <v>243</v>
      </c>
      <c r="C320" t="str">
        <f>HYPERLINK("http://service.sap.com/sap/support/notes/1852262","1852262")</f>
        <v>1852262</v>
      </c>
      <c r="D320">
        <v>1</v>
      </c>
      <c r="E320" t="s">
        <v>500</v>
      </c>
      <c r="F320" t="s">
        <v>13</v>
      </c>
    </row>
    <row r="321" spans="1:6" x14ac:dyDescent="0.3">
      <c r="A321" t="s">
        <v>498</v>
      </c>
      <c r="B321" t="s">
        <v>243</v>
      </c>
      <c r="C321" t="str">
        <f>HYPERLINK("http://service.sap.com/sap/support/notes/1854412","1854412")</f>
        <v>1854412</v>
      </c>
      <c r="D321">
        <v>1</v>
      </c>
      <c r="E321" t="s">
        <v>501</v>
      </c>
      <c r="F321" t="s">
        <v>13</v>
      </c>
    </row>
    <row r="322" spans="1:6" x14ac:dyDescent="0.3">
      <c r="A322" t="s">
        <v>498</v>
      </c>
      <c r="B322" t="s">
        <v>243</v>
      </c>
      <c r="C322" t="str">
        <f>HYPERLINK("http://service.sap.com/sap/support/notes/1856261","1856261")</f>
        <v>1856261</v>
      </c>
      <c r="D322">
        <v>1</v>
      </c>
      <c r="E322" t="s">
        <v>502</v>
      </c>
      <c r="F322" t="s">
        <v>17</v>
      </c>
    </row>
    <row r="323" spans="1:6" x14ac:dyDescent="0.3">
      <c r="A323" t="s">
        <v>498</v>
      </c>
      <c r="B323" t="s">
        <v>243</v>
      </c>
      <c r="C323" t="str">
        <f>HYPERLINK("http://service.sap.com/sap/support/notes/1865189","1865189")</f>
        <v>1865189</v>
      </c>
      <c r="D323">
        <v>1</v>
      </c>
      <c r="E323" t="s">
        <v>503</v>
      </c>
      <c r="F323" t="s">
        <v>17</v>
      </c>
    </row>
    <row r="324" spans="1:6" x14ac:dyDescent="0.3">
      <c r="A324" t="s">
        <v>498</v>
      </c>
      <c r="B324" t="s">
        <v>243</v>
      </c>
      <c r="C324" t="str">
        <f>HYPERLINK("http://service.sap.com/sap/support/notes/1865812","1865812")</f>
        <v>1865812</v>
      </c>
      <c r="D324">
        <v>1</v>
      </c>
      <c r="E324" t="s">
        <v>504</v>
      </c>
      <c r="F324" t="s">
        <v>17</v>
      </c>
    </row>
    <row r="325" spans="1:6" x14ac:dyDescent="0.3">
      <c r="A325" t="s">
        <v>498</v>
      </c>
      <c r="B325" t="s">
        <v>243</v>
      </c>
      <c r="C325" t="str">
        <f>HYPERLINK("http://service.sap.com/sap/support/notes/1867583","1867583")</f>
        <v>1867583</v>
      </c>
      <c r="D325">
        <v>1</v>
      </c>
      <c r="E325" t="s">
        <v>505</v>
      </c>
      <c r="F325" t="s">
        <v>17</v>
      </c>
    </row>
    <row r="326" spans="1:6" x14ac:dyDescent="0.3">
      <c r="A326" t="s">
        <v>498</v>
      </c>
      <c r="B326" t="s">
        <v>243</v>
      </c>
      <c r="C326" t="str">
        <f>HYPERLINK("http://service.sap.com/sap/support/notes/1868014","1868014")</f>
        <v>1868014</v>
      </c>
      <c r="D326">
        <v>1</v>
      </c>
      <c r="E326" t="s">
        <v>506</v>
      </c>
      <c r="F326" t="s">
        <v>17</v>
      </c>
    </row>
    <row r="327" spans="1:6" x14ac:dyDescent="0.3">
      <c r="A327" t="s">
        <v>498</v>
      </c>
      <c r="B327" t="s">
        <v>243</v>
      </c>
      <c r="C327" t="str">
        <f>HYPERLINK("http://service.sap.com/sap/support/notes/1868621","1868621")</f>
        <v>1868621</v>
      </c>
      <c r="D327">
        <v>1</v>
      </c>
      <c r="E327" t="s">
        <v>507</v>
      </c>
      <c r="F327" t="s">
        <v>17</v>
      </c>
    </row>
    <row r="328" spans="1:6" x14ac:dyDescent="0.3">
      <c r="A328" t="s">
        <v>498</v>
      </c>
      <c r="B328" t="s">
        <v>243</v>
      </c>
      <c r="C328" t="str">
        <f>HYPERLINK("http://service.sap.com/sap/support/notes/1871031","1871031")</f>
        <v>1871031</v>
      </c>
      <c r="D328">
        <v>3</v>
      </c>
      <c r="E328" t="s">
        <v>508</v>
      </c>
      <c r="F328" t="s">
        <v>17</v>
      </c>
    </row>
    <row r="329" spans="1:6" x14ac:dyDescent="0.3">
      <c r="A329" t="s">
        <v>498</v>
      </c>
      <c r="B329" t="s">
        <v>243</v>
      </c>
      <c r="C329" t="str">
        <f>HYPERLINK("http://service.sap.com/sap/support/notes/1873496","1873496")</f>
        <v>1873496</v>
      </c>
      <c r="D329">
        <v>2</v>
      </c>
      <c r="E329" t="s">
        <v>509</v>
      </c>
      <c r="F329" t="s">
        <v>17</v>
      </c>
    </row>
    <row r="330" spans="1:6" x14ac:dyDescent="0.3">
      <c r="A330" t="s">
        <v>498</v>
      </c>
      <c r="B330" t="s">
        <v>243</v>
      </c>
      <c r="C330" t="str">
        <f>HYPERLINK("http://service.sap.com/sap/support/notes/1879814","1879814")</f>
        <v>1879814</v>
      </c>
      <c r="D330">
        <v>1</v>
      </c>
      <c r="E330" t="s">
        <v>510</v>
      </c>
      <c r="F330" t="s">
        <v>17</v>
      </c>
    </row>
    <row r="331" spans="1:6" x14ac:dyDescent="0.3">
      <c r="A331" t="s">
        <v>498</v>
      </c>
      <c r="B331" t="s">
        <v>243</v>
      </c>
      <c r="C331" t="str">
        <f>HYPERLINK("http://service.sap.com/sap/support/notes/1880972","1880972")</f>
        <v>1880972</v>
      </c>
      <c r="D331">
        <v>1</v>
      </c>
      <c r="E331" t="s">
        <v>511</v>
      </c>
      <c r="F331" t="s">
        <v>17</v>
      </c>
    </row>
    <row r="332" spans="1:6" x14ac:dyDescent="0.3">
      <c r="A332" t="s">
        <v>498</v>
      </c>
      <c r="B332" t="s">
        <v>243</v>
      </c>
      <c r="C332" t="str">
        <f>HYPERLINK("http://service.sap.com/sap/support/notes/1883043","1883043")</f>
        <v>1883043</v>
      </c>
      <c r="D332">
        <v>2</v>
      </c>
      <c r="E332" t="s">
        <v>512</v>
      </c>
      <c r="F332" t="s">
        <v>13</v>
      </c>
    </row>
    <row r="333" spans="1:6" x14ac:dyDescent="0.3">
      <c r="A333" t="s">
        <v>498</v>
      </c>
      <c r="B333" t="s">
        <v>243</v>
      </c>
      <c r="C333" t="str">
        <f>HYPERLINK("http://service.sap.com/sap/support/notes/1887496","1887496")</f>
        <v>1887496</v>
      </c>
      <c r="D333">
        <v>1</v>
      </c>
      <c r="E333" t="s">
        <v>513</v>
      </c>
      <c r="F333" t="s">
        <v>13</v>
      </c>
    </row>
    <row r="334" spans="1:6" x14ac:dyDescent="0.3">
      <c r="A334" t="s">
        <v>498</v>
      </c>
      <c r="B334" t="s">
        <v>243</v>
      </c>
      <c r="C334" t="str">
        <f>HYPERLINK("http://service.sap.com/sap/support/notes/1888391","1888391")</f>
        <v>1888391</v>
      </c>
      <c r="D334">
        <v>1</v>
      </c>
      <c r="E334" t="s">
        <v>514</v>
      </c>
      <c r="F334" t="s">
        <v>17</v>
      </c>
    </row>
    <row r="335" spans="1:6" x14ac:dyDescent="0.3">
      <c r="A335" t="s">
        <v>498</v>
      </c>
      <c r="B335" t="s">
        <v>243</v>
      </c>
      <c r="C335" t="str">
        <f>HYPERLINK("http://service.sap.com/sap/support/notes/1889604","1889604")</f>
        <v>1889604</v>
      </c>
      <c r="D335">
        <v>2</v>
      </c>
      <c r="E335" t="s">
        <v>515</v>
      </c>
      <c r="F335" t="s">
        <v>17</v>
      </c>
    </row>
    <row r="336" spans="1:6" x14ac:dyDescent="0.3">
      <c r="A336" t="s">
        <v>498</v>
      </c>
      <c r="B336" t="s">
        <v>243</v>
      </c>
      <c r="C336" t="str">
        <f>HYPERLINK("http://service.sap.com/sap/support/notes/1891142","1891142")</f>
        <v>1891142</v>
      </c>
      <c r="D336">
        <v>1</v>
      </c>
      <c r="E336" t="s">
        <v>516</v>
      </c>
      <c r="F336" t="s">
        <v>17</v>
      </c>
    </row>
    <row r="337" spans="1:6" x14ac:dyDescent="0.3">
      <c r="A337" t="s">
        <v>498</v>
      </c>
      <c r="B337" t="s">
        <v>243</v>
      </c>
      <c r="C337" t="str">
        <f>HYPERLINK("http://service.sap.com/sap/support/notes/1896812","1896812")</f>
        <v>1896812</v>
      </c>
      <c r="D337">
        <v>1</v>
      </c>
      <c r="E337" t="s">
        <v>517</v>
      </c>
      <c r="F337" t="s">
        <v>17</v>
      </c>
    </row>
    <row r="338" spans="1:6" x14ac:dyDescent="0.3">
      <c r="A338" t="s">
        <v>498</v>
      </c>
      <c r="B338" t="s">
        <v>243</v>
      </c>
      <c r="C338" t="str">
        <f>HYPERLINK("http://service.sap.com/sap/support/notes/1900905","1900905")</f>
        <v>1900905</v>
      </c>
      <c r="D338">
        <v>2</v>
      </c>
      <c r="E338" t="s">
        <v>518</v>
      </c>
      <c r="F338" t="s">
        <v>13</v>
      </c>
    </row>
    <row r="339" spans="1:6" x14ac:dyDescent="0.3">
      <c r="A339" t="s">
        <v>498</v>
      </c>
      <c r="B339" t="s">
        <v>243</v>
      </c>
      <c r="C339" t="str">
        <f>HYPERLINK("http://service.sap.com/sap/support/notes/1901812","1901812")</f>
        <v>1901812</v>
      </c>
      <c r="D339">
        <v>2</v>
      </c>
      <c r="E339" t="s">
        <v>519</v>
      </c>
      <c r="F339" t="s">
        <v>17</v>
      </c>
    </row>
    <row r="340" spans="1:6" x14ac:dyDescent="0.3">
      <c r="A340" t="s">
        <v>520</v>
      </c>
      <c r="B340" t="s">
        <v>521</v>
      </c>
    </row>
    <row r="341" spans="1:6" x14ac:dyDescent="0.3">
      <c r="A341" t="s">
        <v>522</v>
      </c>
      <c r="B341" t="s">
        <v>523</v>
      </c>
      <c r="C341" t="str">
        <f>HYPERLINK("http://service.sap.com/sap/support/notes/1884038","1884038")</f>
        <v>1884038</v>
      </c>
      <c r="D341">
        <v>4</v>
      </c>
      <c r="E341" t="s">
        <v>524</v>
      </c>
      <c r="F341" t="s">
        <v>13</v>
      </c>
    </row>
    <row r="342" spans="1:6" x14ac:dyDescent="0.3">
      <c r="A342" t="s">
        <v>522</v>
      </c>
      <c r="B342" t="s">
        <v>523</v>
      </c>
      <c r="C342" t="str">
        <f>HYPERLINK("http://service.sap.com/sap/support/notes/1887819","1887819")</f>
        <v>1887819</v>
      </c>
      <c r="D342">
        <v>5</v>
      </c>
      <c r="E342" t="s">
        <v>525</v>
      </c>
      <c r="F342" t="s">
        <v>13</v>
      </c>
    </row>
    <row r="343" spans="1:6" x14ac:dyDescent="0.3">
      <c r="A343" t="s">
        <v>526</v>
      </c>
      <c r="B343" t="s">
        <v>527</v>
      </c>
      <c r="C343" t="str">
        <f>HYPERLINK("http://service.sap.com/sap/support/notes/1900766","1900766")</f>
        <v>1900766</v>
      </c>
      <c r="D343">
        <v>1</v>
      </c>
      <c r="E343" t="s">
        <v>528</v>
      </c>
      <c r="F343" t="s">
        <v>11</v>
      </c>
    </row>
    <row r="344" spans="1:6" x14ac:dyDescent="0.3">
      <c r="A344" t="s">
        <v>529</v>
      </c>
      <c r="B344" t="s">
        <v>346</v>
      </c>
    </row>
    <row r="345" spans="1:6" x14ac:dyDescent="0.3">
      <c r="A345" t="s">
        <v>530</v>
      </c>
      <c r="B345" t="s">
        <v>531</v>
      </c>
      <c r="C345" t="str">
        <f>HYPERLINK("http://service.sap.com/sap/support/notes/1848981","1848981")</f>
        <v>1848981</v>
      </c>
      <c r="D345">
        <v>5</v>
      </c>
      <c r="E345" t="s">
        <v>532</v>
      </c>
      <c r="F345" t="s">
        <v>13</v>
      </c>
    </row>
    <row r="346" spans="1:6" x14ac:dyDescent="0.3">
      <c r="A346" t="s">
        <v>530</v>
      </c>
      <c r="B346" t="s">
        <v>531</v>
      </c>
      <c r="C346" t="str">
        <f>HYPERLINK("http://service.sap.com/sap/support/notes/1857791","1857791")</f>
        <v>1857791</v>
      </c>
      <c r="D346">
        <v>3</v>
      </c>
      <c r="E346" t="s">
        <v>533</v>
      </c>
      <c r="F346" t="s">
        <v>17</v>
      </c>
    </row>
    <row r="347" spans="1:6" x14ac:dyDescent="0.3">
      <c r="A347" t="s">
        <v>530</v>
      </c>
      <c r="B347" t="s">
        <v>531</v>
      </c>
      <c r="C347" t="str">
        <f>HYPERLINK("http://service.sap.com/sap/support/notes/1863208","1863208")</f>
        <v>1863208</v>
      </c>
      <c r="D347">
        <v>1</v>
      </c>
      <c r="E347" t="s">
        <v>534</v>
      </c>
      <c r="F347" t="s">
        <v>13</v>
      </c>
    </row>
    <row r="348" spans="1:6" x14ac:dyDescent="0.3">
      <c r="A348" t="s">
        <v>530</v>
      </c>
      <c r="B348" t="s">
        <v>531</v>
      </c>
      <c r="C348" t="str">
        <f>HYPERLINK("http://service.sap.com/sap/support/notes/1869217","1869217")</f>
        <v>1869217</v>
      </c>
      <c r="D348">
        <v>2</v>
      </c>
      <c r="E348" t="s">
        <v>535</v>
      </c>
      <c r="F348" t="s">
        <v>17</v>
      </c>
    </row>
    <row r="349" spans="1:6" x14ac:dyDescent="0.3">
      <c r="A349" t="s">
        <v>530</v>
      </c>
      <c r="B349" t="s">
        <v>531</v>
      </c>
      <c r="C349" t="str">
        <f>HYPERLINK("http://service.sap.com/sap/support/notes/1869892","1869892")</f>
        <v>1869892</v>
      </c>
      <c r="D349">
        <v>1</v>
      </c>
      <c r="E349" t="s">
        <v>536</v>
      </c>
      <c r="F349" t="s">
        <v>17</v>
      </c>
    </row>
    <row r="350" spans="1:6" x14ac:dyDescent="0.3">
      <c r="A350" t="s">
        <v>530</v>
      </c>
      <c r="B350" t="s">
        <v>531</v>
      </c>
      <c r="C350" t="str">
        <f>HYPERLINK("http://service.sap.com/sap/support/notes/1872437","1872437")</f>
        <v>1872437</v>
      </c>
      <c r="D350">
        <v>3</v>
      </c>
      <c r="E350" t="s">
        <v>537</v>
      </c>
      <c r="F350" t="s">
        <v>13</v>
      </c>
    </row>
    <row r="351" spans="1:6" x14ac:dyDescent="0.3">
      <c r="A351" t="s">
        <v>530</v>
      </c>
      <c r="B351" t="s">
        <v>531</v>
      </c>
      <c r="C351" t="str">
        <f>HYPERLINK("http://service.sap.com/sap/support/notes/1873056","1873056")</f>
        <v>1873056</v>
      </c>
      <c r="D351">
        <v>1</v>
      </c>
      <c r="E351" t="s">
        <v>538</v>
      </c>
      <c r="F351" t="s">
        <v>17</v>
      </c>
    </row>
    <row r="352" spans="1:6" x14ac:dyDescent="0.3">
      <c r="A352" t="s">
        <v>530</v>
      </c>
      <c r="B352" t="s">
        <v>531</v>
      </c>
      <c r="C352" t="str">
        <f>HYPERLINK("http://service.sap.com/sap/support/notes/1873597","1873597")</f>
        <v>1873597</v>
      </c>
      <c r="D352">
        <v>4</v>
      </c>
      <c r="E352" t="s">
        <v>539</v>
      </c>
      <c r="F352" t="s">
        <v>17</v>
      </c>
    </row>
    <row r="353" spans="1:6" x14ac:dyDescent="0.3">
      <c r="A353" t="s">
        <v>530</v>
      </c>
      <c r="B353" t="s">
        <v>531</v>
      </c>
      <c r="C353" t="str">
        <f>HYPERLINK("http://service.sap.com/sap/support/notes/1881151","1881151")</f>
        <v>1881151</v>
      </c>
      <c r="D353">
        <v>3</v>
      </c>
      <c r="E353" t="s">
        <v>540</v>
      </c>
      <c r="F353" t="s">
        <v>11</v>
      </c>
    </row>
    <row r="354" spans="1:6" x14ac:dyDescent="0.3">
      <c r="A354" t="s">
        <v>530</v>
      </c>
      <c r="B354" t="s">
        <v>531</v>
      </c>
      <c r="C354" t="str">
        <f>HYPERLINK("http://service.sap.com/sap/support/notes/1882751","1882751")</f>
        <v>1882751</v>
      </c>
      <c r="D354">
        <v>1</v>
      </c>
      <c r="E354" t="s">
        <v>541</v>
      </c>
      <c r="F354" t="s">
        <v>17</v>
      </c>
    </row>
    <row r="355" spans="1:6" x14ac:dyDescent="0.3">
      <c r="A355" t="s">
        <v>530</v>
      </c>
      <c r="B355" t="s">
        <v>531</v>
      </c>
      <c r="C355" t="str">
        <f>HYPERLINK("http://service.sap.com/sap/support/notes/1884128","1884128")</f>
        <v>1884128</v>
      </c>
      <c r="D355">
        <v>3</v>
      </c>
      <c r="E355" t="s">
        <v>542</v>
      </c>
      <c r="F355" t="s">
        <v>17</v>
      </c>
    </row>
    <row r="356" spans="1:6" x14ac:dyDescent="0.3">
      <c r="A356" t="s">
        <v>530</v>
      </c>
      <c r="B356" t="s">
        <v>531</v>
      </c>
      <c r="C356" t="str">
        <f>HYPERLINK("http://service.sap.com/sap/support/notes/1884482","1884482")</f>
        <v>1884482</v>
      </c>
      <c r="D356">
        <v>1</v>
      </c>
      <c r="E356" t="s">
        <v>543</v>
      </c>
      <c r="F356" t="s">
        <v>13</v>
      </c>
    </row>
    <row r="357" spans="1:6" x14ac:dyDescent="0.3">
      <c r="A357" t="s">
        <v>530</v>
      </c>
      <c r="B357" t="s">
        <v>531</v>
      </c>
      <c r="C357" t="str">
        <f>HYPERLINK("http://service.sap.com/sap/support/notes/1885182","1885182")</f>
        <v>1885182</v>
      </c>
      <c r="D357">
        <v>4</v>
      </c>
      <c r="E357" t="s">
        <v>544</v>
      </c>
      <c r="F357" t="s">
        <v>17</v>
      </c>
    </row>
    <row r="358" spans="1:6" x14ac:dyDescent="0.3">
      <c r="A358" t="s">
        <v>530</v>
      </c>
      <c r="B358" t="s">
        <v>531</v>
      </c>
      <c r="C358" t="str">
        <f>HYPERLINK("http://service.sap.com/sap/support/notes/1889980","1889980")</f>
        <v>1889980</v>
      </c>
      <c r="D358">
        <v>1</v>
      </c>
      <c r="E358" t="s">
        <v>545</v>
      </c>
      <c r="F358" t="s">
        <v>17</v>
      </c>
    </row>
    <row r="359" spans="1:6" x14ac:dyDescent="0.3">
      <c r="A359" t="s">
        <v>530</v>
      </c>
      <c r="B359" t="s">
        <v>531</v>
      </c>
      <c r="C359" t="str">
        <f>HYPERLINK("http://service.sap.com/sap/support/notes/1898256","1898256")</f>
        <v>1898256</v>
      </c>
      <c r="D359">
        <v>1</v>
      </c>
      <c r="E359" t="s">
        <v>546</v>
      </c>
      <c r="F359" t="s">
        <v>17</v>
      </c>
    </row>
    <row r="360" spans="1:6" x14ac:dyDescent="0.3">
      <c r="A360" t="s">
        <v>530</v>
      </c>
      <c r="B360" t="s">
        <v>531</v>
      </c>
      <c r="C360" t="str">
        <f>HYPERLINK("http://service.sap.com/sap/support/notes/1909532","1909532")</f>
        <v>1909532</v>
      </c>
      <c r="D360">
        <v>1</v>
      </c>
      <c r="E360" t="s">
        <v>547</v>
      </c>
      <c r="F360" t="s">
        <v>17</v>
      </c>
    </row>
    <row r="361" spans="1:6" x14ac:dyDescent="0.3">
      <c r="A361" t="s">
        <v>530</v>
      </c>
      <c r="B361" t="s">
        <v>531</v>
      </c>
      <c r="C361" t="str">
        <f>HYPERLINK("http://service.sap.com/sap/support/notes/1913975","1913975")</f>
        <v>1913975</v>
      </c>
      <c r="D361">
        <v>2</v>
      </c>
      <c r="E361" t="s">
        <v>548</v>
      </c>
      <c r="F361" t="s">
        <v>17</v>
      </c>
    </row>
    <row r="362" spans="1:6" x14ac:dyDescent="0.3">
      <c r="A362" t="s">
        <v>549</v>
      </c>
      <c r="B362" t="s">
        <v>550</v>
      </c>
      <c r="C362" t="str">
        <f>HYPERLINK("http://service.sap.com/sap/support/notes/1798749","1798749")</f>
        <v>1798749</v>
      </c>
      <c r="D362">
        <v>1</v>
      </c>
      <c r="E362" t="s">
        <v>551</v>
      </c>
      <c r="F362" t="s">
        <v>17</v>
      </c>
    </row>
    <row r="363" spans="1:6" x14ac:dyDescent="0.3">
      <c r="A363" t="s">
        <v>549</v>
      </c>
      <c r="B363" t="s">
        <v>550</v>
      </c>
      <c r="C363" t="str">
        <f>HYPERLINK("http://service.sap.com/sap/support/notes/1807331","1807331")</f>
        <v>1807331</v>
      </c>
      <c r="D363">
        <v>3</v>
      </c>
      <c r="E363" t="s">
        <v>552</v>
      </c>
      <c r="F363" t="s">
        <v>17</v>
      </c>
    </row>
    <row r="364" spans="1:6" x14ac:dyDescent="0.3">
      <c r="A364" t="s">
        <v>549</v>
      </c>
      <c r="B364" t="s">
        <v>550</v>
      </c>
      <c r="C364" t="str">
        <f>HYPERLINK("http://service.sap.com/sap/support/notes/1833152","1833152")</f>
        <v>1833152</v>
      </c>
      <c r="D364">
        <v>2</v>
      </c>
      <c r="E364" t="s">
        <v>553</v>
      </c>
      <c r="F364" t="s">
        <v>17</v>
      </c>
    </row>
    <row r="365" spans="1:6" x14ac:dyDescent="0.3">
      <c r="A365" t="s">
        <v>549</v>
      </c>
      <c r="B365" t="s">
        <v>550</v>
      </c>
      <c r="C365" t="str">
        <f>HYPERLINK("http://service.sap.com/sap/support/notes/1833331","1833331")</f>
        <v>1833331</v>
      </c>
      <c r="D365">
        <v>4</v>
      </c>
      <c r="E365" t="s">
        <v>554</v>
      </c>
      <c r="F365" t="s">
        <v>17</v>
      </c>
    </row>
    <row r="366" spans="1:6" x14ac:dyDescent="0.3">
      <c r="A366" t="s">
        <v>549</v>
      </c>
      <c r="B366" t="s">
        <v>550</v>
      </c>
      <c r="C366" t="str">
        <f>HYPERLINK("http://service.sap.com/sap/support/notes/1838497","1838497")</f>
        <v>1838497</v>
      </c>
      <c r="D366">
        <v>4</v>
      </c>
      <c r="E366" t="s">
        <v>555</v>
      </c>
      <c r="F366" t="s">
        <v>11</v>
      </c>
    </row>
    <row r="367" spans="1:6" x14ac:dyDescent="0.3">
      <c r="A367" t="s">
        <v>549</v>
      </c>
      <c r="B367" t="s">
        <v>550</v>
      </c>
      <c r="C367" t="str">
        <f>HYPERLINK("http://service.sap.com/sap/support/notes/1839049","1839049")</f>
        <v>1839049</v>
      </c>
      <c r="D367">
        <v>2</v>
      </c>
      <c r="E367" t="s">
        <v>556</v>
      </c>
      <c r="F367" t="s">
        <v>17</v>
      </c>
    </row>
    <row r="368" spans="1:6" x14ac:dyDescent="0.3">
      <c r="A368" t="s">
        <v>549</v>
      </c>
      <c r="B368" t="s">
        <v>550</v>
      </c>
      <c r="C368" t="str">
        <f>HYPERLINK("http://service.sap.com/sap/support/notes/1844469","1844469")</f>
        <v>1844469</v>
      </c>
      <c r="D368">
        <v>2</v>
      </c>
      <c r="E368" t="s">
        <v>557</v>
      </c>
      <c r="F368" t="s">
        <v>17</v>
      </c>
    </row>
    <row r="369" spans="1:6" x14ac:dyDescent="0.3">
      <c r="A369" t="s">
        <v>549</v>
      </c>
      <c r="B369" t="s">
        <v>550</v>
      </c>
      <c r="C369" t="str">
        <f>HYPERLINK("http://service.sap.com/sap/support/notes/1849944","1849944")</f>
        <v>1849944</v>
      </c>
      <c r="D369">
        <v>6</v>
      </c>
      <c r="E369" t="s">
        <v>558</v>
      </c>
      <c r="F369" t="s">
        <v>13</v>
      </c>
    </row>
    <row r="370" spans="1:6" x14ac:dyDescent="0.3">
      <c r="A370" t="s">
        <v>549</v>
      </c>
      <c r="B370" t="s">
        <v>550</v>
      </c>
      <c r="C370" t="str">
        <f>HYPERLINK("http://service.sap.com/sap/support/notes/1852246","1852246")</f>
        <v>1852246</v>
      </c>
      <c r="D370">
        <v>3</v>
      </c>
      <c r="E370" t="s">
        <v>559</v>
      </c>
      <c r="F370" t="s">
        <v>11</v>
      </c>
    </row>
    <row r="371" spans="1:6" x14ac:dyDescent="0.3">
      <c r="A371" t="s">
        <v>549</v>
      </c>
      <c r="B371" t="s">
        <v>550</v>
      </c>
      <c r="C371" t="str">
        <f>HYPERLINK("http://service.sap.com/sap/support/notes/1857756","1857756")</f>
        <v>1857756</v>
      </c>
      <c r="D371">
        <v>1</v>
      </c>
      <c r="E371" t="s">
        <v>560</v>
      </c>
      <c r="F371" t="s">
        <v>17</v>
      </c>
    </row>
    <row r="372" spans="1:6" x14ac:dyDescent="0.3">
      <c r="A372" t="s">
        <v>549</v>
      </c>
      <c r="B372" t="s">
        <v>550</v>
      </c>
      <c r="C372" t="str">
        <f>HYPERLINK("http://service.sap.com/sap/support/notes/1859468","1859468")</f>
        <v>1859468</v>
      </c>
      <c r="D372">
        <v>5</v>
      </c>
      <c r="E372" t="s">
        <v>561</v>
      </c>
      <c r="F372" t="s">
        <v>11</v>
      </c>
    </row>
    <row r="373" spans="1:6" x14ac:dyDescent="0.3">
      <c r="A373" t="s">
        <v>549</v>
      </c>
      <c r="B373" t="s">
        <v>550</v>
      </c>
      <c r="C373" t="str">
        <f>HYPERLINK("http://service.sap.com/sap/support/notes/1861408","1861408")</f>
        <v>1861408</v>
      </c>
      <c r="D373">
        <v>1</v>
      </c>
      <c r="E373" t="s">
        <v>562</v>
      </c>
      <c r="F373" t="s">
        <v>11</v>
      </c>
    </row>
    <row r="374" spans="1:6" x14ac:dyDescent="0.3">
      <c r="A374" t="s">
        <v>549</v>
      </c>
      <c r="B374" t="s">
        <v>550</v>
      </c>
      <c r="C374" t="str">
        <f>HYPERLINK("http://service.sap.com/sap/support/notes/1865097","1865097")</f>
        <v>1865097</v>
      </c>
      <c r="D374">
        <v>3</v>
      </c>
      <c r="E374" t="s">
        <v>563</v>
      </c>
      <c r="F374" t="s">
        <v>11</v>
      </c>
    </row>
    <row r="375" spans="1:6" x14ac:dyDescent="0.3">
      <c r="A375" t="s">
        <v>549</v>
      </c>
      <c r="B375" t="s">
        <v>550</v>
      </c>
      <c r="C375" t="str">
        <f>HYPERLINK("http://service.sap.com/sap/support/notes/1865193","1865193")</f>
        <v>1865193</v>
      </c>
      <c r="D375">
        <v>1</v>
      </c>
      <c r="E375" t="s">
        <v>564</v>
      </c>
      <c r="F375" t="s">
        <v>11</v>
      </c>
    </row>
    <row r="376" spans="1:6" x14ac:dyDescent="0.3">
      <c r="A376" t="s">
        <v>549</v>
      </c>
      <c r="B376" t="s">
        <v>550</v>
      </c>
      <c r="C376" t="str">
        <f>HYPERLINK("http://service.sap.com/sap/support/notes/1866324","1866324")</f>
        <v>1866324</v>
      </c>
      <c r="D376">
        <v>2</v>
      </c>
      <c r="E376" t="s">
        <v>565</v>
      </c>
      <c r="F376" t="s">
        <v>17</v>
      </c>
    </row>
    <row r="377" spans="1:6" x14ac:dyDescent="0.3">
      <c r="A377" t="s">
        <v>549</v>
      </c>
      <c r="B377" t="s">
        <v>550</v>
      </c>
      <c r="C377" t="str">
        <f>HYPERLINK("http://service.sap.com/sap/support/notes/1869008","1869008")</f>
        <v>1869008</v>
      </c>
      <c r="D377">
        <v>2</v>
      </c>
      <c r="E377" t="s">
        <v>566</v>
      </c>
      <c r="F377" t="s">
        <v>11</v>
      </c>
    </row>
    <row r="378" spans="1:6" x14ac:dyDescent="0.3">
      <c r="A378" t="s">
        <v>549</v>
      </c>
      <c r="B378" t="s">
        <v>550</v>
      </c>
      <c r="C378" t="str">
        <f>HYPERLINK("http://service.sap.com/sap/support/notes/1869252","1869252")</f>
        <v>1869252</v>
      </c>
      <c r="D378">
        <v>1</v>
      </c>
      <c r="E378" t="s">
        <v>567</v>
      </c>
      <c r="F378" t="s">
        <v>13</v>
      </c>
    </row>
    <row r="379" spans="1:6" x14ac:dyDescent="0.3">
      <c r="A379" t="s">
        <v>549</v>
      </c>
      <c r="B379" t="s">
        <v>550</v>
      </c>
      <c r="C379" t="str">
        <f>HYPERLINK("http://service.sap.com/sap/support/notes/1870353","1870353")</f>
        <v>1870353</v>
      </c>
      <c r="D379">
        <v>2</v>
      </c>
      <c r="E379" t="s">
        <v>568</v>
      </c>
      <c r="F379" t="s">
        <v>17</v>
      </c>
    </row>
    <row r="380" spans="1:6" x14ac:dyDescent="0.3">
      <c r="A380" t="s">
        <v>549</v>
      </c>
      <c r="B380" t="s">
        <v>550</v>
      </c>
      <c r="C380" t="str">
        <f>HYPERLINK("http://service.sap.com/sap/support/notes/1870416","1870416")</f>
        <v>1870416</v>
      </c>
      <c r="D380">
        <v>2</v>
      </c>
      <c r="E380" t="s">
        <v>569</v>
      </c>
      <c r="F380" t="s">
        <v>11</v>
      </c>
    </row>
    <row r="381" spans="1:6" x14ac:dyDescent="0.3">
      <c r="A381" t="s">
        <v>549</v>
      </c>
      <c r="B381" t="s">
        <v>550</v>
      </c>
      <c r="C381" t="str">
        <f>HYPERLINK("http://service.sap.com/sap/support/notes/1870785","1870785")</f>
        <v>1870785</v>
      </c>
      <c r="D381">
        <v>1</v>
      </c>
      <c r="E381" t="s">
        <v>570</v>
      </c>
      <c r="F381" t="s">
        <v>11</v>
      </c>
    </row>
    <row r="382" spans="1:6" x14ac:dyDescent="0.3">
      <c r="A382" t="s">
        <v>549</v>
      </c>
      <c r="B382" t="s">
        <v>550</v>
      </c>
      <c r="C382" t="str">
        <f>HYPERLINK("http://service.sap.com/sap/support/notes/1873797","1873797")</f>
        <v>1873797</v>
      </c>
      <c r="D382">
        <v>1</v>
      </c>
      <c r="E382" t="s">
        <v>571</v>
      </c>
      <c r="F382" t="s">
        <v>13</v>
      </c>
    </row>
    <row r="383" spans="1:6" x14ac:dyDescent="0.3">
      <c r="A383" t="s">
        <v>549</v>
      </c>
      <c r="B383" t="s">
        <v>550</v>
      </c>
      <c r="C383" t="str">
        <f>HYPERLINK("http://service.sap.com/sap/support/notes/1874710","1874710")</f>
        <v>1874710</v>
      </c>
      <c r="D383">
        <v>1</v>
      </c>
      <c r="E383" t="s">
        <v>572</v>
      </c>
      <c r="F383" t="s">
        <v>17</v>
      </c>
    </row>
    <row r="384" spans="1:6" x14ac:dyDescent="0.3">
      <c r="A384" t="s">
        <v>549</v>
      </c>
      <c r="B384" t="s">
        <v>550</v>
      </c>
      <c r="C384" t="str">
        <f>HYPERLINK("http://service.sap.com/sap/support/notes/1874892","1874892")</f>
        <v>1874892</v>
      </c>
      <c r="D384">
        <v>8</v>
      </c>
      <c r="E384" t="s">
        <v>573</v>
      </c>
      <c r="F384" t="s">
        <v>11</v>
      </c>
    </row>
    <row r="385" spans="1:6" x14ac:dyDescent="0.3">
      <c r="A385" t="s">
        <v>549</v>
      </c>
      <c r="B385" t="s">
        <v>550</v>
      </c>
      <c r="C385" t="str">
        <f>HYPERLINK("http://service.sap.com/sap/support/notes/1877013","1877013")</f>
        <v>1877013</v>
      </c>
      <c r="D385">
        <v>1</v>
      </c>
      <c r="E385" t="s">
        <v>574</v>
      </c>
      <c r="F385" t="s">
        <v>11</v>
      </c>
    </row>
    <row r="386" spans="1:6" x14ac:dyDescent="0.3">
      <c r="A386" t="s">
        <v>549</v>
      </c>
      <c r="B386" t="s">
        <v>550</v>
      </c>
      <c r="C386" t="str">
        <f>HYPERLINK("http://service.sap.com/sap/support/notes/1879831","1879831")</f>
        <v>1879831</v>
      </c>
      <c r="D386">
        <v>1</v>
      </c>
      <c r="E386" t="s">
        <v>575</v>
      </c>
      <c r="F386" t="s">
        <v>17</v>
      </c>
    </row>
    <row r="387" spans="1:6" x14ac:dyDescent="0.3">
      <c r="A387" t="s">
        <v>549</v>
      </c>
      <c r="B387" t="s">
        <v>550</v>
      </c>
      <c r="C387" t="str">
        <f>HYPERLINK("http://service.sap.com/sap/support/notes/1880460","1880460")</f>
        <v>1880460</v>
      </c>
      <c r="D387">
        <v>1</v>
      </c>
      <c r="E387" t="s">
        <v>576</v>
      </c>
      <c r="F387" t="s">
        <v>11</v>
      </c>
    </row>
    <row r="388" spans="1:6" x14ac:dyDescent="0.3">
      <c r="A388" t="s">
        <v>549</v>
      </c>
      <c r="B388" t="s">
        <v>550</v>
      </c>
      <c r="C388" t="str">
        <f>HYPERLINK("http://service.sap.com/sap/support/notes/1881170","1881170")</f>
        <v>1881170</v>
      </c>
      <c r="D388">
        <v>1</v>
      </c>
      <c r="E388" t="s">
        <v>577</v>
      </c>
      <c r="F388" t="s">
        <v>11</v>
      </c>
    </row>
    <row r="389" spans="1:6" x14ac:dyDescent="0.3">
      <c r="A389" t="s">
        <v>549</v>
      </c>
      <c r="B389" t="s">
        <v>550</v>
      </c>
      <c r="C389" t="str">
        <f>HYPERLINK("http://service.sap.com/sap/support/notes/1882223","1882223")</f>
        <v>1882223</v>
      </c>
      <c r="D389">
        <v>1</v>
      </c>
      <c r="E389" t="s">
        <v>578</v>
      </c>
      <c r="F389" t="s">
        <v>13</v>
      </c>
    </row>
    <row r="390" spans="1:6" x14ac:dyDescent="0.3">
      <c r="A390" t="s">
        <v>549</v>
      </c>
      <c r="B390" t="s">
        <v>550</v>
      </c>
      <c r="C390" t="str">
        <f>HYPERLINK("http://service.sap.com/sap/support/notes/1884654","1884654")</f>
        <v>1884654</v>
      </c>
      <c r="D390">
        <v>3</v>
      </c>
      <c r="E390" t="s">
        <v>579</v>
      </c>
      <c r="F390" t="s">
        <v>13</v>
      </c>
    </row>
    <row r="391" spans="1:6" x14ac:dyDescent="0.3">
      <c r="A391" t="s">
        <v>549</v>
      </c>
      <c r="B391" t="s">
        <v>550</v>
      </c>
      <c r="C391" t="str">
        <f>HYPERLINK("http://service.sap.com/sap/support/notes/1885782","1885782")</f>
        <v>1885782</v>
      </c>
      <c r="D391">
        <v>2</v>
      </c>
      <c r="E391" t="s">
        <v>580</v>
      </c>
      <c r="F391" t="s">
        <v>13</v>
      </c>
    </row>
    <row r="392" spans="1:6" x14ac:dyDescent="0.3">
      <c r="A392" t="s">
        <v>549</v>
      </c>
      <c r="B392" t="s">
        <v>550</v>
      </c>
      <c r="C392" t="str">
        <f>HYPERLINK("http://service.sap.com/sap/support/notes/1886663","1886663")</f>
        <v>1886663</v>
      </c>
      <c r="D392">
        <v>1</v>
      </c>
      <c r="E392" t="s">
        <v>581</v>
      </c>
      <c r="F392" t="s">
        <v>13</v>
      </c>
    </row>
    <row r="393" spans="1:6" x14ac:dyDescent="0.3">
      <c r="A393" t="s">
        <v>549</v>
      </c>
      <c r="B393" t="s">
        <v>550</v>
      </c>
      <c r="C393" t="str">
        <f>HYPERLINK("http://service.sap.com/sap/support/notes/1887101","1887101")</f>
        <v>1887101</v>
      </c>
      <c r="D393">
        <v>1</v>
      </c>
      <c r="E393" t="s">
        <v>582</v>
      </c>
      <c r="F393" t="s">
        <v>11</v>
      </c>
    </row>
    <row r="394" spans="1:6" x14ac:dyDescent="0.3">
      <c r="A394" t="s">
        <v>549</v>
      </c>
      <c r="B394" t="s">
        <v>550</v>
      </c>
      <c r="C394" t="str">
        <f>HYPERLINK("http://service.sap.com/sap/support/notes/1889021","1889021")</f>
        <v>1889021</v>
      </c>
      <c r="D394">
        <v>2</v>
      </c>
      <c r="E394" t="s">
        <v>583</v>
      </c>
      <c r="F394" t="s">
        <v>94</v>
      </c>
    </row>
    <row r="395" spans="1:6" x14ac:dyDescent="0.3">
      <c r="A395" t="s">
        <v>549</v>
      </c>
      <c r="B395" t="s">
        <v>550</v>
      </c>
      <c r="C395" t="str">
        <f>HYPERLINK("http://service.sap.com/sap/support/notes/1889348","1889348")</f>
        <v>1889348</v>
      </c>
      <c r="D395">
        <v>1</v>
      </c>
      <c r="E395" t="s">
        <v>584</v>
      </c>
      <c r="F395" t="s">
        <v>17</v>
      </c>
    </row>
    <row r="396" spans="1:6" x14ac:dyDescent="0.3">
      <c r="A396" t="s">
        <v>549</v>
      </c>
      <c r="B396" t="s">
        <v>550</v>
      </c>
      <c r="C396" t="str">
        <f>HYPERLINK("http://service.sap.com/sap/support/notes/1890688","1890688")</f>
        <v>1890688</v>
      </c>
      <c r="D396">
        <v>1</v>
      </c>
      <c r="E396" t="s">
        <v>585</v>
      </c>
      <c r="F396" t="s">
        <v>11</v>
      </c>
    </row>
    <row r="397" spans="1:6" x14ac:dyDescent="0.3">
      <c r="A397" t="s">
        <v>549</v>
      </c>
      <c r="B397" t="s">
        <v>550</v>
      </c>
      <c r="C397" t="str">
        <f>HYPERLINK("http://service.sap.com/sap/support/notes/1893712","1893712")</f>
        <v>1893712</v>
      </c>
      <c r="D397">
        <v>3</v>
      </c>
      <c r="E397" t="s">
        <v>586</v>
      </c>
      <c r="F397" t="s">
        <v>13</v>
      </c>
    </row>
    <row r="398" spans="1:6" x14ac:dyDescent="0.3">
      <c r="A398" t="s">
        <v>549</v>
      </c>
      <c r="B398" t="s">
        <v>550</v>
      </c>
      <c r="C398" t="str">
        <f>HYPERLINK("http://service.sap.com/sap/support/notes/1894517","1894517")</f>
        <v>1894517</v>
      </c>
      <c r="D398">
        <v>2</v>
      </c>
      <c r="E398" t="s">
        <v>587</v>
      </c>
      <c r="F398" t="s">
        <v>17</v>
      </c>
    </row>
    <row r="399" spans="1:6" x14ac:dyDescent="0.3">
      <c r="A399" t="s">
        <v>549</v>
      </c>
      <c r="B399" t="s">
        <v>550</v>
      </c>
      <c r="C399" t="str">
        <f>HYPERLINK("http://service.sap.com/sap/support/notes/1894549","1894549")</f>
        <v>1894549</v>
      </c>
      <c r="D399">
        <v>1</v>
      </c>
      <c r="E399" t="s">
        <v>588</v>
      </c>
      <c r="F399" t="s">
        <v>11</v>
      </c>
    </row>
    <row r="400" spans="1:6" x14ac:dyDescent="0.3">
      <c r="A400" t="s">
        <v>549</v>
      </c>
      <c r="B400" t="s">
        <v>550</v>
      </c>
      <c r="C400" t="str">
        <f>HYPERLINK("http://service.sap.com/sap/support/notes/1895705","1895705")</f>
        <v>1895705</v>
      </c>
      <c r="D400">
        <v>4</v>
      </c>
      <c r="E400" t="s">
        <v>589</v>
      </c>
      <c r="F400" t="s">
        <v>17</v>
      </c>
    </row>
    <row r="401" spans="1:6" x14ac:dyDescent="0.3">
      <c r="A401" t="s">
        <v>549</v>
      </c>
      <c r="B401" t="s">
        <v>550</v>
      </c>
      <c r="C401" t="str">
        <f>HYPERLINK("http://service.sap.com/sap/support/notes/1900332","1900332")</f>
        <v>1900332</v>
      </c>
      <c r="D401">
        <v>1</v>
      </c>
      <c r="E401" t="s">
        <v>590</v>
      </c>
      <c r="F401" t="s">
        <v>13</v>
      </c>
    </row>
    <row r="402" spans="1:6" x14ac:dyDescent="0.3">
      <c r="A402" t="s">
        <v>549</v>
      </c>
      <c r="B402" t="s">
        <v>550</v>
      </c>
      <c r="C402" t="str">
        <f>HYPERLINK("http://service.sap.com/sap/support/notes/1900844","1900844")</f>
        <v>1900844</v>
      </c>
      <c r="D402">
        <v>2</v>
      </c>
      <c r="E402" t="s">
        <v>591</v>
      </c>
      <c r="F402" t="s">
        <v>17</v>
      </c>
    </row>
    <row r="403" spans="1:6" x14ac:dyDescent="0.3">
      <c r="A403" t="s">
        <v>549</v>
      </c>
      <c r="B403" t="s">
        <v>550</v>
      </c>
      <c r="C403" t="str">
        <f>HYPERLINK("http://service.sap.com/sap/support/notes/1910824","1910824")</f>
        <v>1910824</v>
      </c>
      <c r="D403">
        <v>2</v>
      </c>
      <c r="E403" t="s">
        <v>592</v>
      </c>
      <c r="F403" t="s">
        <v>17</v>
      </c>
    </row>
    <row r="404" spans="1:6" x14ac:dyDescent="0.3">
      <c r="A404" t="s">
        <v>549</v>
      </c>
      <c r="B404" t="s">
        <v>550</v>
      </c>
      <c r="C404" t="str">
        <f>HYPERLINK("http://service.sap.com/sap/support/notes/1911389","1911389")</f>
        <v>1911389</v>
      </c>
      <c r="D404">
        <v>1</v>
      </c>
      <c r="E404" t="s">
        <v>593</v>
      </c>
      <c r="F404" t="s">
        <v>17</v>
      </c>
    </row>
    <row r="405" spans="1:6" x14ac:dyDescent="0.3">
      <c r="A405" t="s">
        <v>549</v>
      </c>
      <c r="B405" t="s">
        <v>550</v>
      </c>
      <c r="C405" t="str">
        <f>HYPERLINK("http://service.sap.com/sap/support/notes/1911479","1911479")</f>
        <v>1911479</v>
      </c>
      <c r="D405">
        <v>3</v>
      </c>
      <c r="E405" t="s">
        <v>594</v>
      </c>
      <c r="F405" t="s">
        <v>13</v>
      </c>
    </row>
    <row r="406" spans="1:6" x14ac:dyDescent="0.3">
      <c r="A406" t="s">
        <v>549</v>
      </c>
      <c r="B406" t="s">
        <v>550</v>
      </c>
      <c r="C406" t="str">
        <f>HYPERLINK("http://service.sap.com/sap/support/notes/1911595","1911595")</f>
        <v>1911595</v>
      </c>
      <c r="D406">
        <v>4</v>
      </c>
      <c r="E406" t="s">
        <v>595</v>
      </c>
      <c r="F406" t="s">
        <v>17</v>
      </c>
    </row>
    <row r="407" spans="1:6" x14ac:dyDescent="0.3">
      <c r="A407" t="s">
        <v>549</v>
      </c>
      <c r="B407" t="s">
        <v>550</v>
      </c>
      <c r="C407" t="str">
        <f>HYPERLINK("http://service.sap.com/sap/support/notes/1914124","1914124")</f>
        <v>1914124</v>
      </c>
      <c r="D407">
        <v>1</v>
      </c>
      <c r="E407" t="s">
        <v>596</v>
      </c>
      <c r="F407" t="s">
        <v>11</v>
      </c>
    </row>
    <row r="408" spans="1:6" x14ac:dyDescent="0.3">
      <c r="A408" t="s">
        <v>549</v>
      </c>
      <c r="B408" t="s">
        <v>550</v>
      </c>
      <c r="C408" t="str">
        <f>HYPERLINK("http://service.sap.com/sap/support/notes/1915172","1915172")</f>
        <v>1915172</v>
      </c>
      <c r="D408">
        <v>1</v>
      </c>
      <c r="E408" t="s">
        <v>597</v>
      </c>
      <c r="F408" t="s">
        <v>11</v>
      </c>
    </row>
    <row r="409" spans="1:6" x14ac:dyDescent="0.3">
      <c r="A409" t="s">
        <v>549</v>
      </c>
      <c r="B409" t="s">
        <v>550</v>
      </c>
      <c r="C409" t="str">
        <f>HYPERLINK("http://service.sap.com/sap/support/notes/1916903","1916903")</f>
        <v>1916903</v>
      </c>
      <c r="D409">
        <v>3</v>
      </c>
      <c r="E409" t="s">
        <v>598</v>
      </c>
      <c r="F409" t="s">
        <v>13</v>
      </c>
    </row>
    <row r="410" spans="1:6" x14ac:dyDescent="0.3">
      <c r="A410" t="s">
        <v>599</v>
      </c>
      <c r="B410" t="s">
        <v>600</v>
      </c>
      <c r="C410" t="str">
        <f>HYPERLINK("http://service.sap.com/sap/support/notes/1772593","1772593")</f>
        <v>1772593</v>
      </c>
      <c r="D410">
        <v>3</v>
      </c>
      <c r="E410" t="s">
        <v>601</v>
      </c>
      <c r="F410" t="s">
        <v>17</v>
      </c>
    </row>
    <row r="411" spans="1:6" x14ac:dyDescent="0.3">
      <c r="A411" t="s">
        <v>599</v>
      </c>
      <c r="B411" t="s">
        <v>600</v>
      </c>
      <c r="C411" t="str">
        <f>HYPERLINK("http://service.sap.com/sap/support/notes/1794880","1794880")</f>
        <v>1794880</v>
      </c>
      <c r="D411">
        <v>40</v>
      </c>
      <c r="E411" t="s">
        <v>602</v>
      </c>
      <c r="F411" t="s">
        <v>11</v>
      </c>
    </row>
    <row r="412" spans="1:6" x14ac:dyDescent="0.3">
      <c r="A412" t="s">
        <v>599</v>
      </c>
      <c r="B412" t="s">
        <v>600</v>
      </c>
      <c r="C412" t="str">
        <f>HYPERLINK("http://service.sap.com/sap/support/notes/1833578","1833578")</f>
        <v>1833578</v>
      </c>
      <c r="D412">
        <v>5</v>
      </c>
      <c r="E412" t="s">
        <v>603</v>
      </c>
      <c r="F412" t="s">
        <v>17</v>
      </c>
    </row>
    <row r="413" spans="1:6" x14ac:dyDescent="0.3">
      <c r="A413" t="s">
        <v>599</v>
      </c>
      <c r="B413" t="s">
        <v>600</v>
      </c>
      <c r="C413" t="str">
        <f>HYPERLINK("http://service.sap.com/sap/support/notes/1840734","1840734")</f>
        <v>1840734</v>
      </c>
      <c r="D413">
        <v>5</v>
      </c>
      <c r="E413" t="s">
        <v>604</v>
      </c>
      <c r="F413" t="s">
        <v>17</v>
      </c>
    </row>
    <row r="414" spans="1:6" x14ac:dyDescent="0.3">
      <c r="A414" t="s">
        <v>599</v>
      </c>
      <c r="B414" t="s">
        <v>600</v>
      </c>
      <c r="C414" t="str">
        <f>HYPERLINK("http://service.sap.com/sap/support/notes/1843326","1843326")</f>
        <v>1843326</v>
      </c>
      <c r="D414">
        <v>2</v>
      </c>
      <c r="E414" t="s">
        <v>605</v>
      </c>
      <c r="F414" t="s">
        <v>17</v>
      </c>
    </row>
    <row r="415" spans="1:6" x14ac:dyDescent="0.3">
      <c r="A415" t="s">
        <v>599</v>
      </c>
      <c r="B415" t="s">
        <v>600</v>
      </c>
      <c r="C415" t="str">
        <f>HYPERLINK("http://service.sap.com/sap/support/notes/1864909","1864909")</f>
        <v>1864909</v>
      </c>
      <c r="D415">
        <v>2</v>
      </c>
      <c r="E415" t="s">
        <v>606</v>
      </c>
      <c r="F415" t="s">
        <v>17</v>
      </c>
    </row>
    <row r="416" spans="1:6" x14ac:dyDescent="0.3">
      <c r="A416" t="s">
        <v>599</v>
      </c>
      <c r="B416" t="s">
        <v>600</v>
      </c>
      <c r="C416" t="str">
        <f>HYPERLINK("http://service.sap.com/sap/support/notes/1869163","1869163")</f>
        <v>1869163</v>
      </c>
      <c r="D416">
        <v>1</v>
      </c>
      <c r="E416" t="s">
        <v>607</v>
      </c>
      <c r="F416" t="s">
        <v>11</v>
      </c>
    </row>
    <row r="417" spans="1:6" x14ac:dyDescent="0.3">
      <c r="A417" t="s">
        <v>599</v>
      </c>
      <c r="B417" t="s">
        <v>600</v>
      </c>
      <c r="C417" t="str">
        <f>HYPERLINK("http://service.sap.com/sap/support/notes/1870060","1870060")</f>
        <v>1870060</v>
      </c>
      <c r="D417">
        <v>1</v>
      </c>
      <c r="E417" t="s">
        <v>608</v>
      </c>
      <c r="F417" t="s">
        <v>17</v>
      </c>
    </row>
    <row r="418" spans="1:6" x14ac:dyDescent="0.3">
      <c r="A418" t="s">
        <v>599</v>
      </c>
      <c r="B418" t="s">
        <v>600</v>
      </c>
      <c r="C418" t="str">
        <f>HYPERLINK("http://service.sap.com/sap/support/notes/1870902","1870902")</f>
        <v>1870902</v>
      </c>
      <c r="D418">
        <v>1</v>
      </c>
      <c r="E418" t="s">
        <v>609</v>
      </c>
      <c r="F418" t="s">
        <v>17</v>
      </c>
    </row>
    <row r="419" spans="1:6" x14ac:dyDescent="0.3">
      <c r="A419" t="s">
        <v>599</v>
      </c>
      <c r="B419" t="s">
        <v>600</v>
      </c>
      <c r="C419" t="str">
        <f>HYPERLINK("http://service.sap.com/sap/support/notes/1872341","1872341")</f>
        <v>1872341</v>
      </c>
      <c r="D419">
        <v>3</v>
      </c>
      <c r="E419" t="s">
        <v>610</v>
      </c>
      <c r="F419" t="s">
        <v>11</v>
      </c>
    </row>
    <row r="420" spans="1:6" x14ac:dyDescent="0.3">
      <c r="A420" t="s">
        <v>599</v>
      </c>
      <c r="B420" t="s">
        <v>600</v>
      </c>
      <c r="C420" t="str">
        <f>HYPERLINK("http://service.sap.com/sap/support/notes/1874144","1874144")</f>
        <v>1874144</v>
      </c>
      <c r="D420">
        <v>2</v>
      </c>
      <c r="E420" t="s">
        <v>611</v>
      </c>
      <c r="F420" t="s">
        <v>17</v>
      </c>
    </row>
    <row r="421" spans="1:6" x14ac:dyDescent="0.3">
      <c r="A421" t="s">
        <v>599</v>
      </c>
      <c r="B421" t="s">
        <v>600</v>
      </c>
      <c r="C421" t="str">
        <f>HYPERLINK("http://service.sap.com/sap/support/notes/1877270","1877270")</f>
        <v>1877270</v>
      </c>
      <c r="D421">
        <v>1</v>
      </c>
      <c r="E421" t="s">
        <v>612</v>
      </c>
      <c r="F421" t="s">
        <v>11</v>
      </c>
    </row>
    <row r="422" spans="1:6" x14ac:dyDescent="0.3">
      <c r="A422" t="s">
        <v>599</v>
      </c>
      <c r="B422" t="s">
        <v>600</v>
      </c>
      <c r="C422" t="str">
        <f>HYPERLINK("http://service.sap.com/sap/support/notes/1877447","1877447")</f>
        <v>1877447</v>
      </c>
      <c r="D422">
        <v>3</v>
      </c>
      <c r="E422" t="s">
        <v>613</v>
      </c>
      <c r="F422" t="s">
        <v>17</v>
      </c>
    </row>
    <row r="423" spans="1:6" x14ac:dyDescent="0.3">
      <c r="A423" t="s">
        <v>599</v>
      </c>
      <c r="B423" t="s">
        <v>600</v>
      </c>
      <c r="C423" t="str">
        <f>HYPERLINK("http://service.sap.com/sap/support/notes/1878243","1878243")</f>
        <v>1878243</v>
      </c>
      <c r="D423">
        <v>2</v>
      </c>
      <c r="E423" t="s">
        <v>614</v>
      </c>
      <c r="F423" t="s">
        <v>11</v>
      </c>
    </row>
    <row r="424" spans="1:6" x14ac:dyDescent="0.3">
      <c r="A424" t="s">
        <v>599</v>
      </c>
      <c r="B424" t="s">
        <v>600</v>
      </c>
      <c r="C424" t="str">
        <f>HYPERLINK("http://service.sap.com/sap/support/notes/1882980","1882980")</f>
        <v>1882980</v>
      </c>
      <c r="D424">
        <v>2</v>
      </c>
      <c r="E424" t="s">
        <v>615</v>
      </c>
      <c r="F424" t="s">
        <v>17</v>
      </c>
    </row>
    <row r="425" spans="1:6" x14ac:dyDescent="0.3">
      <c r="A425" t="s">
        <v>599</v>
      </c>
      <c r="B425" t="s">
        <v>600</v>
      </c>
      <c r="C425" t="str">
        <f>HYPERLINK("http://service.sap.com/sap/support/notes/1883194","1883194")</f>
        <v>1883194</v>
      </c>
      <c r="D425">
        <v>2</v>
      </c>
      <c r="E425" t="s">
        <v>616</v>
      </c>
      <c r="F425" t="s">
        <v>11</v>
      </c>
    </row>
    <row r="426" spans="1:6" x14ac:dyDescent="0.3">
      <c r="A426" t="s">
        <v>599</v>
      </c>
      <c r="B426" t="s">
        <v>600</v>
      </c>
      <c r="C426" t="str">
        <f>HYPERLINK("http://service.sap.com/sap/support/notes/1884202","1884202")</f>
        <v>1884202</v>
      </c>
      <c r="D426">
        <v>2</v>
      </c>
      <c r="E426" t="s">
        <v>617</v>
      </c>
      <c r="F426" t="s">
        <v>11</v>
      </c>
    </row>
    <row r="427" spans="1:6" x14ac:dyDescent="0.3">
      <c r="A427" t="s">
        <v>599</v>
      </c>
      <c r="B427" t="s">
        <v>600</v>
      </c>
      <c r="C427" t="str">
        <f>HYPERLINK("http://service.sap.com/sap/support/notes/1884388","1884388")</f>
        <v>1884388</v>
      </c>
      <c r="D427">
        <v>1</v>
      </c>
      <c r="E427" t="s">
        <v>618</v>
      </c>
      <c r="F427" t="s">
        <v>17</v>
      </c>
    </row>
    <row r="428" spans="1:6" x14ac:dyDescent="0.3">
      <c r="A428" t="s">
        <v>599</v>
      </c>
      <c r="B428" t="s">
        <v>600</v>
      </c>
      <c r="C428" t="str">
        <f>HYPERLINK("http://service.sap.com/sap/support/notes/1890502","1890502")</f>
        <v>1890502</v>
      </c>
      <c r="D428">
        <v>1</v>
      </c>
      <c r="E428" t="s">
        <v>619</v>
      </c>
      <c r="F428" t="s">
        <v>17</v>
      </c>
    </row>
    <row r="429" spans="1:6" x14ac:dyDescent="0.3">
      <c r="A429" t="s">
        <v>599</v>
      </c>
      <c r="B429" t="s">
        <v>600</v>
      </c>
      <c r="C429" t="str">
        <f>HYPERLINK("http://service.sap.com/sap/support/notes/1890537","1890537")</f>
        <v>1890537</v>
      </c>
      <c r="D429">
        <v>1</v>
      </c>
      <c r="E429" t="s">
        <v>620</v>
      </c>
      <c r="F429" t="s">
        <v>11</v>
      </c>
    </row>
    <row r="430" spans="1:6" x14ac:dyDescent="0.3">
      <c r="A430" t="s">
        <v>599</v>
      </c>
      <c r="B430" t="s">
        <v>600</v>
      </c>
      <c r="C430" t="str">
        <f>HYPERLINK("http://service.sap.com/sap/support/notes/1893734","1893734")</f>
        <v>1893734</v>
      </c>
      <c r="D430">
        <v>1</v>
      </c>
      <c r="E430" t="s">
        <v>621</v>
      </c>
      <c r="F430" t="s">
        <v>17</v>
      </c>
    </row>
    <row r="431" spans="1:6" x14ac:dyDescent="0.3">
      <c r="A431" t="s">
        <v>599</v>
      </c>
      <c r="B431" t="s">
        <v>600</v>
      </c>
      <c r="C431" t="str">
        <f>HYPERLINK("http://service.sap.com/sap/support/notes/1898208","1898208")</f>
        <v>1898208</v>
      </c>
      <c r="D431">
        <v>3</v>
      </c>
      <c r="E431" t="s">
        <v>622</v>
      </c>
      <c r="F431" t="s">
        <v>17</v>
      </c>
    </row>
    <row r="432" spans="1:6" x14ac:dyDescent="0.3">
      <c r="A432" t="s">
        <v>599</v>
      </c>
      <c r="B432" t="s">
        <v>600</v>
      </c>
      <c r="C432" t="str">
        <f>HYPERLINK("http://service.sap.com/sap/support/notes/1899459","1899459")</f>
        <v>1899459</v>
      </c>
      <c r="D432">
        <v>2</v>
      </c>
      <c r="E432" t="s">
        <v>623</v>
      </c>
      <c r="F432" t="s">
        <v>17</v>
      </c>
    </row>
    <row r="433" spans="1:6" x14ac:dyDescent="0.3">
      <c r="A433" t="s">
        <v>599</v>
      </c>
      <c r="B433" t="s">
        <v>600</v>
      </c>
      <c r="C433" t="str">
        <f>HYPERLINK("http://service.sap.com/sap/support/notes/1900098","1900098")</f>
        <v>1900098</v>
      </c>
      <c r="D433">
        <v>1</v>
      </c>
      <c r="E433" t="s">
        <v>624</v>
      </c>
      <c r="F433" t="s">
        <v>17</v>
      </c>
    </row>
    <row r="434" spans="1:6" x14ac:dyDescent="0.3">
      <c r="A434" t="s">
        <v>599</v>
      </c>
      <c r="B434" t="s">
        <v>600</v>
      </c>
      <c r="C434" t="str">
        <f>HYPERLINK("http://service.sap.com/sap/support/notes/1903163","1903163")</f>
        <v>1903163</v>
      </c>
      <c r="D434">
        <v>1</v>
      </c>
      <c r="E434" t="s">
        <v>625</v>
      </c>
      <c r="F434" t="s">
        <v>17</v>
      </c>
    </row>
    <row r="435" spans="1:6" x14ac:dyDescent="0.3">
      <c r="A435" t="s">
        <v>599</v>
      </c>
      <c r="B435" t="s">
        <v>600</v>
      </c>
      <c r="C435" t="str">
        <f>HYPERLINK("http://service.sap.com/sap/support/notes/1907369","1907369")</f>
        <v>1907369</v>
      </c>
      <c r="D435">
        <v>1</v>
      </c>
      <c r="E435" t="s">
        <v>626</v>
      </c>
      <c r="F435" t="s">
        <v>17</v>
      </c>
    </row>
    <row r="436" spans="1:6" x14ac:dyDescent="0.3">
      <c r="A436" t="s">
        <v>599</v>
      </c>
      <c r="B436" t="s">
        <v>600</v>
      </c>
      <c r="C436" t="str">
        <f>HYPERLINK("http://service.sap.com/sap/support/notes/1909050","1909050")</f>
        <v>1909050</v>
      </c>
      <c r="D436">
        <v>3</v>
      </c>
      <c r="E436" t="s">
        <v>627</v>
      </c>
      <c r="F436" t="s">
        <v>17</v>
      </c>
    </row>
    <row r="437" spans="1:6" x14ac:dyDescent="0.3">
      <c r="A437" t="s">
        <v>599</v>
      </c>
      <c r="B437" t="s">
        <v>600</v>
      </c>
      <c r="C437" t="str">
        <f>HYPERLINK("http://service.sap.com/sap/support/notes/1909549","1909549")</f>
        <v>1909549</v>
      </c>
      <c r="D437">
        <v>1</v>
      </c>
      <c r="E437" t="s">
        <v>628</v>
      </c>
      <c r="F437" t="s">
        <v>17</v>
      </c>
    </row>
    <row r="438" spans="1:6" x14ac:dyDescent="0.3">
      <c r="A438" t="s">
        <v>599</v>
      </c>
      <c r="B438" t="s">
        <v>600</v>
      </c>
      <c r="C438" t="str">
        <f>HYPERLINK("http://service.sap.com/sap/support/notes/1909837","1909837")</f>
        <v>1909837</v>
      </c>
      <c r="D438">
        <v>1</v>
      </c>
      <c r="E438" t="s">
        <v>629</v>
      </c>
      <c r="F438" t="s">
        <v>17</v>
      </c>
    </row>
    <row r="439" spans="1:6" x14ac:dyDescent="0.3">
      <c r="A439" t="s">
        <v>630</v>
      </c>
      <c r="B439" t="s">
        <v>631</v>
      </c>
      <c r="C439" t="str">
        <f>HYPERLINK("http://service.sap.com/sap/support/notes/1859151","1859151")</f>
        <v>1859151</v>
      </c>
      <c r="D439">
        <v>1</v>
      </c>
      <c r="E439" t="s">
        <v>632</v>
      </c>
      <c r="F439" t="s">
        <v>17</v>
      </c>
    </row>
    <row r="440" spans="1:6" x14ac:dyDescent="0.3">
      <c r="A440" t="s">
        <v>630</v>
      </c>
      <c r="B440" t="s">
        <v>631</v>
      </c>
      <c r="C440" t="str">
        <f>HYPERLINK("http://service.sap.com/sap/support/notes/1896365","1896365")</f>
        <v>1896365</v>
      </c>
      <c r="D440">
        <v>1</v>
      </c>
      <c r="E440" t="s">
        <v>633</v>
      </c>
      <c r="F440" t="s">
        <v>94</v>
      </c>
    </row>
    <row r="441" spans="1:6" x14ac:dyDescent="0.3">
      <c r="A441" t="s">
        <v>634</v>
      </c>
      <c r="B441" t="s">
        <v>635</v>
      </c>
      <c r="C441" t="str">
        <f>HYPERLINK("http://service.sap.com/sap/support/notes/1866104","1866104")</f>
        <v>1866104</v>
      </c>
      <c r="D441">
        <v>2</v>
      </c>
      <c r="E441" t="s">
        <v>636</v>
      </c>
      <c r="F441" t="s">
        <v>17</v>
      </c>
    </row>
    <row r="442" spans="1:6" x14ac:dyDescent="0.3">
      <c r="A442" t="s">
        <v>634</v>
      </c>
      <c r="B442" t="s">
        <v>635</v>
      </c>
      <c r="C442" t="str">
        <f>HYPERLINK("http://service.sap.com/sap/support/notes/1876699","1876699")</f>
        <v>1876699</v>
      </c>
      <c r="D442">
        <v>1</v>
      </c>
      <c r="E442" t="s">
        <v>637</v>
      </c>
      <c r="F442" t="s">
        <v>17</v>
      </c>
    </row>
    <row r="443" spans="1:6" x14ac:dyDescent="0.3">
      <c r="A443" t="s">
        <v>634</v>
      </c>
      <c r="B443" t="s">
        <v>635</v>
      </c>
      <c r="C443" t="str">
        <f>HYPERLINK("http://service.sap.com/sap/support/notes/1877685","1877685")</f>
        <v>1877685</v>
      </c>
      <c r="D443">
        <v>2</v>
      </c>
      <c r="E443" t="s">
        <v>638</v>
      </c>
      <c r="F443" t="s">
        <v>13</v>
      </c>
    </row>
    <row r="444" spans="1:6" x14ac:dyDescent="0.3">
      <c r="A444" t="s">
        <v>634</v>
      </c>
      <c r="B444" t="s">
        <v>635</v>
      </c>
      <c r="C444" t="str">
        <f>HYPERLINK("http://service.sap.com/sap/support/notes/1881200","1881200")</f>
        <v>1881200</v>
      </c>
      <c r="D444">
        <v>1</v>
      </c>
      <c r="E444" t="s">
        <v>639</v>
      </c>
      <c r="F444" t="s">
        <v>17</v>
      </c>
    </row>
    <row r="445" spans="1:6" x14ac:dyDescent="0.3">
      <c r="A445" t="s">
        <v>634</v>
      </c>
      <c r="B445" t="s">
        <v>635</v>
      </c>
      <c r="C445" t="str">
        <f>HYPERLINK("http://service.sap.com/sap/support/notes/1892315","1892315")</f>
        <v>1892315</v>
      </c>
      <c r="D445">
        <v>1</v>
      </c>
      <c r="E445" t="s">
        <v>640</v>
      </c>
      <c r="F445" t="s">
        <v>17</v>
      </c>
    </row>
    <row r="446" spans="1:6" x14ac:dyDescent="0.3">
      <c r="A446" t="s">
        <v>634</v>
      </c>
      <c r="B446" t="s">
        <v>635</v>
      </c>
      <c r="C446" t="str">
        <f>HYPERLINK("http://service.sap.com/sap/support/notes/1894834","1894834")</f>
        <v>1894834</v>
      </c>
      <c r="D446">
        <v>1</v>
      </c>
      <c r="E446" t="s">
        <v>641</v>
      </c>
      <c r="F446" t="s">
        <v>17</v>
      </c>
    </row>
    <row r="447" spans="1:6" x14ac:dyDescent="0.3">
      <c r="A447" t="s">
        <v>634</v>
      </c>
      <c r="B447" t="s">
        <v>635</v>
      </c>
      <c r="C447" t="str">
        <f>HYPERLINK("http://service.sap.com/sap/support/notes/1896984","1896984")</f>
        <v>1896984</v>
      </c>
      <c r="D447">
        <v>1</v>
      </c>
      <c r="E447" t="s">
        <v>642</v>
      </c>
      <c r="F447" t="s">
        <v>17</v>
      </c>
    </row>
    <row r="448" spans="1:6" x14ac:dyDescent="0.3">
      <c r="A448" t="s">
        <v>634</v>
      </c>
      <c r="B448" t="s">
        <v>635</v>
      </c>
      <c r="C448" t="str">
        <f>HYPERLINK("http://service.sap.com/sap/support/notes/1903255","1903255")</f>
        <v>1903255</v>
      </c>
      <c r="D448">
        <v>1</v>
      </c>
      <c r="E448" t="s">
        <v>643</v>
      </c>
      <c r="F448" t="s">
        <v>11</v>
      </c>
    </row>
    <row r="449" spans="1:6" x14ac:dyDescent="0.3">
      <c r="A449" t="s">
        <v>634</v>
      </c>
      <c r="B449" t="s">
        <v>635</v>
      </c>
      <c r="C449" t="str">
        <f>HYPERLINK("http://service.sap.com/sap/support/notes/1903918","1903918")</f>
        <v>1903918</v>
      </c>
      <c r="D449">
        <v>1</v>
      </c>
      <c r="E449" t="s">
        <v>644</v>
      </c>
      <c r="F449" t="s">
        <v>17</v>
      </c>
    </row>
    <row r="450" spans="1:6" x14ac:dyDescent="0.3">
      <c r="A450" t="s">
        <v>645</v>
      </c>
      <c r="B450" t="s">
        <v>646</v>
      </c>
      <c r="C450" t="str">
        <f>HYPERLINK("http://service.sap.com/sap/support/notes/1825118","1825118")</f>
        <v>1825118</v>
      </c>
      <c r="D450">
        <v>5</v>
      </c>
      <c r="E450" t="s">
        <v>647</v>
      </c>
      <c r="F450" t="s">
        <v>17</v>
      </c>
    </row>
    <row r="451" spans="1:6" x14ac:dyDescent="0.3">
      <c r="A451" t="s">
        <v>648</v>
      </c>
      <c r="B451" t="s">
        <v>138</v>
      </c>
      <c r="C451" t="str">
        <f>HYPERLINK("http://service.sap.com/sap/support/notes/1822388","1822388")</f>
        <v>1822388</v>
      </c>
      <c r="D451">
        <v>4</v>
      </c>
      <c r="E451" t="s">
        <v>649</v>
      </c>
      <c r="F451" t="s">
        <v>13</v>
      </c>
    </row>
    <row r="452" spans="1:6" x14ac:dyDescent="0.3">
      <c r="A452" t="s">
        <v>648</v>
      </c>
      <c r="B452" t="s">
        <v>138</v>
      </c>
      <c r="C452" t="str">
        <f>HYPERLINK("http://service.sap.com/sap/support/notes/1845387","1845387")</f>
        <v>1845387</v>
      </c>
      <c r="D452">
        <v>3</v>
      </c>
      <c r="E452" t="s">
        <v>650</v>
      </c>
      <c r="F452" t="s">
        <v>13</v>
      </c>
    </row>
    <row r="453" spans="1:6" x14ac:dyDescent="0.3">
      <c r="A453" t="s">
        <v>648</v>
      </c>
      <c r="B453" t="s">
        <v>138</v>
      </c>
      <c r="C453" t="str">
        <f>HYPERLINK("http://service.sap.com/sap/support/notes/1874328","1874328")</f>
        <v>1874328</v>
      </c>
      <c r="D453">
        <v>2</v>
      </c>
      <c r="E453" t="s">
        <v>651</v>
      </c>
      <c r="F453" t="s">
        <v>17</v>
      </c>
    </row>
    <row r="454" spans="1:6" x14ac:dyDescent="0.3">
      <c r="A454" t="s">
        <v>648</v>
      </c>
      <c r="B454" t="s">
        <v>138</v>
      </c>
      <c r="C454" t="str">
        <f>HYPERLINK("http://service.sap.com/sap/support/notes/1886408","1886408")</f>
        <v>1886408</v>
      </c>
      <c r="D454">
        <v>1</v>
      </c>
      <c r="E454" t="s">
        <v>652</v>
      </c>
      <c r="F454" t="s">
        <v>17</v>
      </c>
    </row>
    <row r="455" spans="1:6" x14ac:dyDescent="0.3">
      <c r="A455" t="s">
        <v>648</v>
      </c>
      <c r="B455" t="s">
        <v>138</v>
      </c>
      <c r="C455" t="str">
        <f>HYPERLINK("http://service.sap.com/sap/support/notes/1889968","1889968")</f>
        <v>1889968</v>
      </c>
      <c r="D455">
        <v>1</v>
      </c>
      <c r="E455" t="s">
        <v>653</v>
      </c>
      <c r="F455" t="s">
        <v>11</v>
      </c>
    </row>
    <row r="456" spans="1:6" x14ac:dyDescent="0.3">
      <c r="A456" t="s">
        <v>648</v>
      </c>
      <c r="B456" t="s">
        <v>138</v>
      </c>
      <c r="C456" t="str">
        <f>HYPERLINK("http://service.sap.com/sap/support/notes/1903883","1903883")</f>
        <v>1903883</v>
      </c>
      <c r="D456">
        <v>1</v>
      </c>
      <c r="E456" t="s">
        <v>654</v>
      </c>
      <c r="F456" t="s">
        <v>13</v>
      </c>
    </row>
    <row r="457" spans="1:6" x14ac:dyDescent="0.3">
      <c r="A457" t="s">
        <v>655</v>
      </c>
      <c r="B457" t="s">
        <v>656</v>
      </c>
      <c r="C457" t="str">
        <f>HYPERLINK("http://service.sap.com/sap/support/notes/1878861","1878861")</f>
        <v>1878861</v>
      </c>
      <c r="D457">
        <v>2</v>
      </c>
      <c r="E457" t="s">
        <v>657</v>
      </c>
      <c r="F457" t="s">
        <v>17</v>
      </c>
    </row>
    <row r="458" spans="1:6" x14ac:dyDescent="0.3">
      <c r="A458" t="s">
        <v>655</v>
      </c>
      <c r="B458" t="s">
        <v>656</v>
      </c>
      <c r="C458" t="str">
        <f>HYPERLINK("http://service.sap.com/sap/support/notes/1899542","1899542")</f>
        <v>1899542</v>
      </c>
      <c r="D458">
        <v>4</v>
      </c>
      <c r="E458" t="s">
        <v>658</v>
      </c>
      <c r="F458" t="s">
        <v>17</v>
      </c>
    </row>
    <row r="459" spans="1:6" x14ac:dyDescent="0.3">
      <c r="A459" t="s">
        <v>655</v>
      </c>
      <c r="B459" t="s">
        <v>656</v>
      </c>
      <c r="C459" t="str">
        <f>HYPERLINK("http://service.sap.com/sap/support/notes/1925169","1925169")</f>
        <v>1925169</v>
      </c>
      <c r="D459">
        <v>3</v>
      </c>
      <c r="E459" t="s">
        <v>659</v>
      </c>
      <c r="F459" t="s">
        <v>11</v>
      </c>
    </row>
    <row r="460" spans="1:6" x14ac:dyDescent="0.3">
      <c r="A460" t="s">
        <v>660</v>
      </c>
      <c r="B460" t="s">
        <v>661</v>
      </c>
      <c r="C460" t="str">
        <f>HYPERLINK("http://service.sap.com/sap/support/notes/1227804","1227804")</f>
        <v>1227804</v>
      </c>
      <c r="D460">
        <v>1</v>
      </c>
      <c r="E460" t="s">
        <v>662</v>
      </c>
      <c r="F460" t="s">
        <v>13</v>
      </c>
    </row>
    <row r="461" spans="1:6" x14ac:dyDescent="0.3">
      <c r="A461" t="s">
        <v>660</v>
      </c>
      <c r="B461" t="s">
        <v>661</v>
      </c>
      <c r="C461" t="str">
        <f>HYPERLINK("http://service.sap.com/sap/support/notes/1758020","1758020")</f>
        <v>1758020</v>
      </c>
      <c r="D461">
        <v>6</v>
      </c>
      <c r="E461" t="s">
        <v>663</v>
      </c>
      <c r="F461" t="s">
        <v>17</v>
      </c>
    </row>
    <row r="462" spans="1:6" x14ac:dyDescent="0.3">
      <c r="A462" t="s">
        <v>660</v>
      </c>
      <c r="B462" t="s">
        <v>661</v>
      </c>
      <c r="C462" t="str">
        <f>HYPERLINK("http://service.sap.com/sap/support/notes/1829871","1829871")</f>
        <v>1829871</v>
      </c>
      <c r="D462">
        <v>7</v>
      </c>
      <c r="E462" t="s">
        <v>664</v>
      </c>
      <c r="F462" t="s">
        <v>11</v>
      </c>
    </row>
    <row r="463" spans="1:6" x14ac:dyDescent="0.3">
      <c r="A463" t="s">
        <v>660</v>
      </c>
      <c r="B463" t="s">
        <v>661</v>
      </c>
      <c r="C463" t="str">
        <f>HYPERLINK("http://service.sap.com/sap/support/notes/1831254","1831254")</f>
        <v>1831254</v>
      </c>
      <c r="D463">
        <v>6</v>
      </c>
      <c r="E463" t="s">
        <v>665</v>
      </c>
      <c r="F463" t="s">
        <v>11</v>
      </c>
    </row>
    <row r="464" spans="1:6" x14ac:dyDescent="0.3">
      <c r="A464" t="s">
        <v>660</v>
      </c>
      <c r="B464" t="s">
        <v>661</v>
      </c>
      <c r="C464" t="str">
        <f>HYPERLINK("http://service.sap.com/sap/support/notes/1838728","1838728")</f>
        <v>1838728</v>
      </c>
      <c r="D464">
        <v>3</v>
      </c>
      <c r="E464" t="s">
        <v>666</v>
      </c>
      <c r="F464" t="s">
        <v>11</v>
      </c>
    </row>
    <row r="465" spans="1:6" x14ac:dyDescent="0.3">
      <c r="A465" t="s">
        <v>660</v>
      </c>
      <c r="B465" t="s">
        <v>661</v>
      </c>
      <c r="C465" t="str">
        <f>HYPERLINK("http://service.sap.com/sap/support/notes/1846506","1846506")</f>
        <v>1846506</v>
      </c>
      <c r="D465">
        <v>4</v>
      </c>
      <c r="E465" t="s">
        <v>667</v>
      </c>
      <c r="F465" t="s">
        <v>17</v>
      </c>
    </row>
    <row r="466" spans="1:6" x14ac:dyDescent="0.3">
      <c r="A466" t="s">
        <v>660</v>
      </c>
      <c r="B466" t="s">
        <v>661</v>
      </c>
      <c r="C466" t="str">
        <f>HYPERLINK("http://service.sap.com/sap/support/notes/1849144","1849144")</f>
        <v>1849144</v>
      </c>
      <c r="D466">
        <v>2</v>
      </c>
      <c r="E466" t="s">
        <v>668</v>
      </c>
      <c r="F466" t="s">
        <v>17</v>
      </c>
    </row>
    <row r="467" spans="1:6" x14ac:dyDescent="0.3">
      <c r="A467" t="s">
        <v>660</v>
      </c>
      <c r="B467" t="s">
        <v>661</v>
      </c>
      <c r="C467" t="str">
        <f>HYPERLINK("http://service.sap.com/sap/support/notes/1850688","1850688")</f>
        <v>1850688</v>
      </c>
      <c r="D467">
        <v>4</v>
      </c>
      <c r="E467" t="s">
        <v>669</v>
      </c>
      <c r="F467" t="s">
        <v>17</v>
      </c>
    </row>
    <row r="468" spans="1:6" x14ac:dyDescent="0.3">
      <c r="A468" t="s">
        <v>660</v>
      </c>
      <c r="B468" t="s">
        <v>661</v>
      </c>
      <c r="C468" t="str">
        <f>HYPERLINK("http://service.sap.com/sap/support/notes/1862186","1862186")</f>
        <v>1862186</v>
      </c>
      <c r="D468">
        <v>1</v>
      </c>
      <c r="E468" t="s">
        <v>670</v>
      </c>
      <c r="F468" t="s">
        <v>17</v>
      </c>
    </row>
    <row r="469" spans="1:6" x14ac:dyDescent="0.3">
      <c r="A469" t="s">
        <v>660</v>
      </c>
      <c r="B469" t="s">
        <v>661</v>
      </c>
      <c r="C469" t="str">
        <f>HYPERLINK("http://service.sap.com/sap/support/notes/1865800","1865800")</f>
        <v>1865800</v>
      </c>
      <c r="D469">
        <v>1</v>
      </c>
      <c r="E469" t="s">
        <v>671</v>
      </c>
      <c r="F469" t="s">
        <v>17</v>
      </c>
    </row>
    <row r="470" spans="1:6" x14ac:dyDescent="0.3">
      <c r="A470" t="s">
        <v>660</v>
      </c>
      <c r="B470" t="s">
        <v>661</v>
      </c>
      <c r="C470" t="str">
        <f>HYPERLINK("http://service.sap.com/sap/support/notes/1870393","1870393")</f>
        <v>1870393</v>
      </c>
      <c r="D470">
        <v>1</v>
      </c>
      <c r="E470" t="s">
        <v>672</v>
      </c>
      <c r="F470" t="s">
        <v>17</v>
      </c>
    </row>
    <row r="471" spans="1:6" x14ac:dyDescent="0.3">
      <c r="A471" t="s">
        <v>660</v>
      </c>
      <c r="B471" t="s">
        <v>661</v>
      </c>
      <c r="C471" t="str">
        <f>HYPERLINK("http://service.sap.com/sap/support/notes/1875993","1875993")</f>
        <v>1875993</v>
      </c>
      <c r="D471">
        <v>1</v>
      </c>
      <c r="E471" t="s">
        <v>673</v>
      </c>
      <c r="F471" t="s">
        <v>17</v>
      </c>
    </row>
    <row r="472" spans="1:6" x14ac:dyDescent="0.3">
      <c r="A472" t="s">
        <v>660</v>
      </c>
      <c r="B472" t="s">
        <v>661</v>
      </c>
      <c r="C472" t="str">
        <f>HYPERLINK("http://service.sap.com/sap/support/notes/1884004","1884004")</f>
        <v>1884004</v>
      </c>
      <c r="D472">
        <v>2</v>
      </c>
      <c r="E472" t="s">
        <v>674</v>
      </c>
      <c r="F472" t="s">
        <v>11</v>
      </c>
    </row>
    <row r="473" spans="1:6" x14ac:dyDescent="0.3">
      <c r="A473" t="s">
        <v>660</v>
      </c>
      <c r="B473" t="s">
        <v>661</v>
      </c>
      <c r="C473" t="str">
        <f>HYPERLINK("http://service.sap.com/sap/support/notes/1884569","1884569")</f>
        <v>1884569</v>
      </c>
      <c r="D473">
        <v>1</v>
      </c>
      <c r="E473" t="s">
        <v>675</v>
      </c>
      <c r="F473" t="s">
        <v>17</v>
      </c>
    </row>
    <row r="474" spans="1:6" x14ac:dyDescent="0.3">
      <c r="A474" t="s">
        <v>660</v>
      </c>
      <c r="B474" t="s">
        <v>661</v>
      </c>
      <c r="C474" t="str">
        <f>HYPERLINK("http://service.sap.com/sap/support/notes/1888380","1888380")</f>
        <v>1888380</v>
      </c>
      <c r="D474">
        <v>1</v>
      </c>
      <c r="E474" t="s">
        <v>676</v>
      </c>
      <c r="F474" t="s">
        <v>11</v>
      </c>
    </row>
    <row r="475" spans="1:6" x14ac:dyDescent="0.3">
      <c r="A475" t="s">
        <v>660</v>
      </c>
      <c r="B475" t="s">
        <v>661</v>
      </c>
      <c r="C475" t="str">
        <f>HYPERLINK("http://service.sap.com/sap/support/notes/1891288","1891288")</f>
        <v>1891288</v>
      </c>
      <c r="D475">
        <v>3</v>
      </c>
      <c r="E475" t="s">
        <v>677</v>
      </c>
      <c r="F475" t="s">
        <v>11</v>
      </c>
    </row>
    <row r="476" spans="1:6" x14ac:dyDescent="0.3">
      <c r="A476" t="s">
        <v>660</v>
      </c>
      <c r="B476" t="s">
        <v>661</v>
      </c>
      <c r="C476" t="str">
        <f>HYPERLINK("http://service.sap.com/sap/support/notes/1897415","1897415")</f>
        <v>1897415</v>
      </c>
      <c r="D476">
        <v>4</v>
      </c>
      <c r="E476" t="s">
        <v>678</v>
      </c>
      <c r="F476" t="s">
        <v>11</v>
      </c>
    </row>
    <row r="477" spans="1:6" x14ac:dyDescent="0.3">
      <c r="A477" t="s">
        <v>660</v>
      </c>
      <c r="B477" t="s">
        <v>661</v>
      </c>
      <c r="C477" t="str">
        <f>HYPERLINK("http://service.sap.com/sap/support/notes/1901153","1901153")</f>
        <v>1901153</v>
      </c>
      <c r="D477">
        <v>1</v>
      </c>
      <c r="E477" t="s">
        <v>679</v>
      </c>
      <c r="F477" t="s">
        <v>11</v>
      </c>
    </row>
    <row r="478" spans="1:6" x14ac:dyDescent="0.3">
      <c r="A478" t="s">
        <v>660</v>
      </c>
      <c r="B478" t="s">
        <v>661</v>
      </c>
      <c r="C478" t="str">
        <f>HYPERLINK("http://service.sap.com/sap/support/notes/1901790","1901790")</f>
        <v>1901790</v>
      </c>
      <c r="D478">
        <v>2</v>
      </c>
      <c r="E478" t="s">
        <v>680</v>
      </c>
      <c r="F478" t="s">
        <v>11</v>
      </c>
    </row>
    <row r="479" spans="1:6" x14ac:dyDescent="0.3">
      <c r="A479" t="s">
        <v>660</v>
      </c>
      <c r="B479" t="s">
        <v>661</v>
      </c>
      <c r="C479" t="str">
        <f>HYPERLINK("http://service.sap.com/sap/support/notes/1905113","1905113")</f>
        <v>1905113</v>
      </c>
      <c r="D479">
        <v>2</v>
      </c>
      <c r="E479" t="s">
        <v>681</v>
      </c>
      <c r="F479" t="s">
        <v>11</v>
      </c>
    </row>
    <row r="480" spans="1:6" x14ac:dyDescent="0.3">
      <c r="A480" t="s">
        <v>660</v>
      </c>
      <c r="B480" t="s">
        <v>661</v>
      </c>
      <c r="C480" t="str">
        <f>HYPERLINK("http://service.sap.com/sap/support/notes/1912576","1912576")</f>
        <v>1912576</v>
      </c>
      <c r="D480">
        <v>1</v>
      </c>
      <c r="E480" t="s">
        <v>682</v>
      </c>
      <c r="F480" t="s">
        <v>11</v>
      </c>
    </row>
    <row r="481" spans="1:6" x14ac:dyDescent="0.3">
      <c r="A481" t="s">
        <v>683</v>
      </c>
      <c r="B481" t="s">
        <v>684</v>
      </c>
      <c r="C481" t="str">
        <f>HYPERLINK("http://service.sap.com/sap/support/notes/1853022","1853022")</f>
        <v>1853022</v>
      </c>
      <c r="D481">
        <v>2</v>
      </c>
      <c r="E481" t="s">
        <v>685</v>
      </c>
      <c r="F481" t="s">
        <v>13</v>
      </c>
    </row>
    <row r="482" spans="1:6" x14ac:dyDescent="0.3">
      <c r="A482" t="s">
        <v>683</v>
      </c>
      <c r="B482" t="s">
        <v>684</v>
      </c>
      <c r="C482" t="str">
        <f>HYPERLINK("http://service.sap.com/sap/support/notes/1894557","1894557")</f>
        <v>1894557</v>
      </c>
      <c r="D482">
        <v>3</v>
      </c>
      <c r="E482" t="s">
        <v>686</v>
      </c>
      <c r="F482" t="s">
        <v>11</v>
      </c>
    </row>
    <row r="483" spans="1:6" x14ac:dyDescent="0.3">
      <c r="A483" t="s">
        <v>683</v>
      </c>
      <c r="B483" t="s">
        <v>684</v>
      </c>
      <c r="C483" t="str">
        <f>HYPERLINK("http://service.sap.com/sap/support/notes/1906157","1906157")</f>
        <v>1906157</v>
      </c>
      <c r="D483">
        <v>2</v>
      </c>
      <c r="E483" t="s">
        <v>687</v>
      </c>
      <c r="F483" t="s">
        <v>13</v>
      </c>
    </row>
    <row r="484" spans="1:6" x14ac:dyDescent="0.3">
      <c r="A484" t="s">
        <v>688</v>
      </c>
      <c r="B484" t="s">
        <v>689</v>
      </c>
      <c r="C484" t="str">
        <f>HYPERLINK("http://service.sap.com/sap/support/notes/1871826","1871826")</f>
        <v>1871826</v>
      </c>
      <c r="D484">
        <v>3</v>
      </c>
      <c r="E484" t="s">
        <v>690</v>
      </c>
      <c r="F484" t="s">
        <v>13</v>
      </c>
    </row>
    <row r="485" spans="1:6" x14ac:dyDescent="0.3">
      <c r="A485" t="s">
        <v>688</v>
      </c>
      <c r="B485" t="s">
        <v>689</v>
      </c>
      <c r="C485" t="str">
        <f>HYPERLINK("http://service.sap.com/sap/support/notes/1871914","1871914")</f>
        <v>1871914</v>
      </c>
      <c r="D485">
        <v>2</v>
      </c>
      <c r="E485" t="s">
        <v>691</v>
      </c>
      <c r="F485" t="s">
        <v>17</v>
      </c>
    </row>
    <row r="486" spans="1:6" x14ac:dyDescent="0.3">
      <c r="A486" t="s">
        <v>688</v>
      </c>
      <c r="B486" t="s">
        <v>689</v>
      </c>
      <c r="C486" t="str">
        <f>HYPERLINK("http://service.sap.com/sap/support/notes/1873396","1873396")</f>
        <v>1873396</v>
      </c>
      <c r="D486">
        <v>6</v>
      </c>
      <c r="E486" t="s">
        <v>692</v>
      </c>
      <c r="F486" t="s">
        <v>17</v>
      </c>
    </row>
    <row r="487" spans="1:6" x14ac:dyDescent="0.3">
      <c r="A487" t="s">
        <v>688</v>
      </c>
      <c r="B487" t="s">
        <v>689</v>
      </c>
      <c r="C487" t="str">
        <f>HYPERLINK("http://service.sap.com/sap/support/notes/1876885","1876885")</f>
        <v>1876885</v>
      </c>
      <c r="D487">
        <v>3</v>
      </c>
      <c r="E487" t="s">
        <v>693</v>
      </c>
      <c r="F487" t="s">
        <v>13</v>
      </c>
    </row>
    <row r="488" spans="1:6" x14ac:dyDescent="0.3">
      <c r="A488" t="s">
        <v>688</v>
      </c>
      <c r="B488" t="s">
        <v>689</v>
      </c>
      <c r="C488" t="str">
        <f>HYPERLINK("http://service.sap.com/sap/support/notes/1882358","1882358")</f>
        <v>1882358</v>
      </c>
      <c r="D488">
        <v>1</v>
      </c>
      <c r="E488" t="s">
        <v>694</v>
      </c>
      <c r="F488" t="s">
        <v>13</v>
      </c>
    </row>
    <row r="489" spans="1:6" x14ac:dyDescent="0.3">
      <c r="A489" t="s">
        <v>688</v>
      </c>
      <c r="B489" t="s">
        <v>689</v>
      </c>
      <c r="C489" t="str">
        <f>HYPERLINK("http://service.sap.com/sap/support/notes/1898076","1898076")</f>
        <v>1898076</v>
      </c>
      <c r="D489">
        <v>1</v>
      </c>
      <c r="E489" t="s">
        <v>695</v>
      </c>
      <c r="F489" t="s">
        <v>13</v>
      </c>
    </row>
    <row r="490" spans="1:6" x14ac:dyDescent="0.3">
      <c r="A490" t="s">
        <v>696</v>
      </c>
      <c r="B490" t="s">
        <v>346</v>
      </c>
      <c r="C490" t="str">
        <f>HYPERLINK("http://service.sap.com/sap/support/notes/1798080","1798080")</f>
        <v>1798080</v>
      </c>
      <c r="D490">
        <v>3</v>
      </c>
      <c r="E490" t="s">
        <v>697</v>
      </c>
      <c r="F490" t="s">
        <v>94</v>
      </c>
    </row>
    <row r="491" spans="1:6" x14ac:dyDescent="0.3">
      <c r="A491" t="s">
        <v>696</v>
      </c>
      <c r="B491" t="s">
        <v>346</v>
      </c>
      <c r="C491" t="str">
        <f>HYPERLINK("http://service.sap.com/sap/support/notes/1872331","1872331")</f>
        <v>1872331</v>
      </c>
      <c r="D491">
        <v>1</v>
      </c>
      <c r="E491" t="s">
        <v>698</v>
      </c>
      <c r="F491" t="s">
        <v>13</v>
      </c>
    </row>
    <row r="492" spans="1:6" x14ac:dyDescent="0.3">
      <c r="A492" t="s">
        <v>696</v>
      </c>
      <c r="B492" t="s">
        <v>346</v>
      </c>
      <c r="C492" t="str">
        <f>HYPERLINK("http://service.sap.com/sap/support/notes/1885756","1885756")</f>
        <v>1885756</v>
      </c>
      <c r="D492">
        <v>1</v>
      </c>
      <c r="E492" t="s">
        <v>699</v>
      </c>
      <c r="F492" t="s">
        <v>13</v>
      </c>
    </row>
    <row r="493" spans="1:6" x14ac:dyDescent="0.3">
      <c r="A493" t="s">
        <v>700</v>
      </c>
      <c r="B493" t="s">
        <v>531</v>
      </c>
      <c r="C493" t="str">
        <f>HYPERLINK("http://service.sap.com/sap/support/notes/1852125","1852125")</f>
        <v>1852125</v>
      </c>
      <c r="D493">
        <v>3</v>
      </c>
      <c r="E493" t="s">
        <v>701</v>
      </c>
      <c r="F493" t="s">
        <v>17</v>
      </c>
    </row>
    <row r="494" spans="1:6" x14ac:dyDescent="0.3">
      <c r="A494" t="s">
        <v>700</v>
      </c>
      <c r="B494" t="s">
        <v>531</v>
      </c>
      <c r="C494" t="str">
        <f>HYPERLINK("http://service.sap.com/sap/support/notes/1866310","1866310")</f>
        <v>1866310</v>
      </c>
      <c r="D494">
        <v>1</v>
      </c>
      <c r="E494" t="s">
        <v>702</v>
      </c>
      <c r="F494" t="s">
        <v>17</v>
      </c>
    </row>
    <row r="495" spans="1:6" x14ac:dyDescent="0.3">
      <c r="A495" t="s">
        <v>700</v>
      </c>
      <c r="B495" t="s">
        <v>531</v>
      </c>
      <c r="C495" t="str">
        <f>HYPERLINK("http://service.sap.com/sap/support/notes/1867976","1867976")</f>
        <v>1867976</v>
      </c>
      <c r="D495">
        <v>2</v>
      </c>
      <c r="E495" t="s">
        <v>703</v>
      </c>
      <c r="F495" t="s">
        <v>13</v>
      </c>
    </row>
    <row r="496" spans="1:6" x14ac:dyDescent="0.3">
      <c r="A496" t="s">
        <v>700</v>
      </c>
      <c r="B496" t="s">
        <v>531</v>
      </c>
      <c r="C496" t="str">
        <f>HYPERLINK("http://service.sap.com/sap/support/notes/1871113","1871113")</f>
        <v>1871113</v>
      </c>
      <c r="D496">
        <v>1</v>
      </c>
      <c r="E496" t="s">
        <v>704</v>
      </c>
      <c r="F496" t="s">
        <v>13</v>
      </c>
    </row>
    <row r="497" spans="1:6" x14ac:dyDescent="0.3">
      <c r="A497" t="s">
        <v>700</v>
      </c>
      <c r="B497" t="s">
        <v>531</v>
      </c>
      <c r="C497" t="str">
        <f>HYPERLINK("http://service.sap.com/sap/support/notes/1890395","1890395")</f>
        <v>1890395</v>
      </c>
      <c r="D497">
        <v>2</v>
      </c>
      <c r="E497" t="s">
        <v>705</v>
      </c>
      <c r="F497" t="s">
        <v>17</v>
      </c>
    </row>
    <row r="498" spans="1:6" x14ac:dyDescent="0.3">
      <c r="A498" t="s">
        <v>700</v>
      </c>
      <c r="B498" t="s">
        <v>531</v>
      </c>
      <c r="C498" t="str">
        <f>HYPERLINK("http://service.sap.com/sap/support/notes/1896407","1896407")</f>
        <v>1896407</v>
      </c>
      <c r="D498">
        <v>3</v>
      </c>
      <c r="E498" t="s">
        <v>706</v>
      </c>
      <c r="F498" t="s">
        <v>13</v>
      </c>
    </row>
    <row r="499" spans="1:6" x14ac:dyDescent="0.3">
      <c r="A499" t="s">
        <v>700</v>
      </c>
      <c r="B499" t="s">
        <v>531</v>
      </c>
      <c r="C499" t="str">
        <f>HYPERLINK("http://service.sap.com/sap/support/notes/1908773","1908773")</f>
        <v>1908773</v>
      </c>
      <c r="D499">
        <v>1</v>
      </c>
      <c r="E499" t="s">
        <v>707</v>
      </c>
      <c r="F499" t="s">
        <v>17</v>
      </c>
    </row>
    <row r="500" spans="1:6" x14ac:dyDescent="0.3">
      <c r="A500" t="s">
        <v>700</v>
      </c>
      <c r="B500" t="s">
        <v>531</v>
      </c>
      <c r="C500" t="str">
        <f>HYPERLINK("http://service.sap.com/sap/support/notes/1910494","1910494")</f>
        <v>1910494</v>
      </c>
      <c r="D500">
        <v>2</v>
      </c>
      <c r="E500" t="s">
        <v>708</v>
      </c>
      <c r="F500" t="s">
        <v>17</v>
      </c>
    </row>
    <row r="501" spans="1:6" x14ac:dyDescent="0.3">
      <c r="A501" t="s">
        <v>709</v>
      </c>
      <c r="B501" t="s">
        <v>710</v>
      </c>
      <c r="C501" t="str">
        <f>HYPERLINK("http://service.sap.com/sap/support/notes/1380670","1380670")</f>
        <v>1380670</v>
      </c>
      <c r="D501">
        <v>1</v>
      </c>
      <c r="E501" t="s">
        <v>711</v>
      </c>
      <c r="F501" t="s">
        <v>17</v>
      </c>
    </row>
    <row r="502" spans="1:6" x14ac:dyDescent="0.3">
      <c r="A502" t="s">
        <v>709</v>
      </c>
      <c r="B502" t="s">
        <v>710</v>
      </c>
      <c r="C502" t="str">
        <f>HYPERLINK("http://service.sap.com/sap/support/notes/1823402","1823402")</f>
        <v>1823402</v>
      </c>
      <c r="D502">
        <v>3</v>
      </c>
      <c r="E502" t="s">
        <v>712</v>
      </c>
      <c r="F502" t="s">
        <v>13</v>
      </c>
    </row>
    <row r="503" spans="1:6" x14ac:dyDescent="0.3">
      <c r="A503" t="s">
        <v>709</v>
      </c>
      <c r="B503" t="s">
        <v>710</v>
      </c>
      <c r="C503" t="str">
        <f>HYPERLINK("http://service.sap.com/sap/support/notes/1844171","1844171")</f>
        <v>1844171</v>
      </c>
      <c r="D503">
        <v>2</v>
      </c>
      <c r="E503" t="s">
        <v>713</v>
      </c>
      <c r="F503" t="s">
        <v>17</v>
      </c>
    </row>
    <row r="504" spans="1:6" x14ac:dyDescent="0.3">
      <c r="A504" t="s">
        <v>709</v>
      </c>
      <c r="B504" t="s">
        <v>710</v>
      </c>
      <c r="C504" t="str">
        <f>HYPERLINK("http://service.sap.com/sap/support/notes/1859486","1859486")</f>
        <v>1859486</v>
      </c>
      <c r="D504">
        <v>1</v>
      </c>
      <c r="E504" t="s">
        <v>714</v>
      </c>
      <c r="F504" t="s">
        <v>17</v>
      </c>
    </row>
    <row r="505" spans="1:6" x14ac:dyDescent="0.3">
      <c r="A505" t="s">
        <v>709</v>
      </c>
      <c r="B505" t="s">
        <v>710</v>
      </c>
      <c r="C505" t="str">
        <f>HYPERLINK("http://service.sap.com/sap/support/notes/1861624","1861624")</f>
        <v>1861624</v>
      </c>
      <c r="D505">
        <v>1</v>
      </c>
      <c r="E505" t="s">
        <v>715</v>
      </c>
      <c r="F505" t="s">
        <v>13</v>
      </c>
    </row>
    <row r="506" spans="1:6" x14ac:dyDescent="0.3">
      <c r="A506" t="s">
        <v>709</v>
      </c>
      <c r="B506" t="s">
        <v>710</v>
      </c>
      <c r="C506" t="str">
        <f>HYPERLINK("http://service.sap.com/sap/support/notes/1862780","1862780")</f>
        <v>1862780</v>
      </c>
      <c r="D506">
        <v>1</v>
      </c>
      <c r="E506" t="s">
        <v>716</v>
      </c>
      <c r="F506" t="s">
        <v>17</v>
      </c>
    </row>
    <row r="507" spans="1:6" x14ac:dyDescent="0.3">
      <c r="A507" t="s">
        <v>709</v>
      </c>
      <c r="B507" t="s">
        <v>710</v>
      </c>
      <c r="C507" t="str">
        <f>HYPERLINK("http://service.sap.com/sap/support/notes/1868989","1868989")</f>
        <v>1868989</v>
      </c>
      <c r="D507">
        <v>1</v>
      </c>
      <c r="E507" t="s">
        <v>717</v>
      </c>
      <c r="F507" t="s">
        <v>13</v>
      </c>
    </row>
    <row r="508" spans="1:6" x14ac:dyDescent="0.3">
      <c r="A508" t="s">
        <v>709</v>
      </c>
      <c r="B508" t="s">
        <v>710</v>
      </c>
      <c r="C508" t="str">
        <f>HYPERLINK("http://service.sap.com/sap/support/notes/1872445","1872445")</f>
        <v>1872445</v>
      </c>
      <c r="D508">
        <v>1</v>
      </c>
      <c r="E508" t="s">
        <v>718</v>
      </c>
      <c r="F508" t="s">
        <v>17</v>
      </c>
    </row>
    <row r="509" spans="1:6" x14ac:dyDescent="0.3">
      <c r="A509" t="s">
        <v>709</v>
      </c>
      <c r="B509" t="s">
        <v>710</v>
      </c>
      <c r="C509" t="str">
        <f>HYPERLINK("http://service.sap.com/sap/support/notes/1873635","1873635")</f>
        <v>1873635</v>
      </c>
      <c r="D509">
        <v>1</v>
      </c>
      <c r="E509" t="s">
        <v>719</v>
      </c>
      <c r="F509" t="s">
        <v>13</v>
      </c>
    </row>
    <row r="510" spans="1:6" x14ac:dyDescent="0.3">
      <c r="A510" t="s">
        <v>709</v>
      </c>
      <c r="B510" t="s">
        <v>710</v>
      </c>
      <c r="C510" t="str">
        <f>HYPERLINK("http://service.sap.com/sap/support/notes/1875017","1875017")</f>
        <v>1875017</v>
      </c>
      <c r="D510">
        <v>1</v>
      </c>
      <c r="E510" t="s">
        <v>720</v>
      </c>
      <c r="F510" t="s">
        <v>13</v>
      </c>
    </row>
    <row r="511" spans="1:6" x14ac:dyDescent="0.3">
      <c r="A511" t="s">
        <v>709</v>
      </c>
      <c r="B511" t="s">
        <v>710</v>
      </c>
      <c r="C511" t="str">
        <f>HYPERLINK("http://service.sap.com/sap/support/notes/1882160","1882160")</f>
        <v>1882160</v>
      </c>
      <c r="D511">
        <v>3</v>
      </c>
      <c r="E511" t="s">
        <v>721</v>
      </c>
      <c r="F511" t="s">
        <v>13</v>
      </c>
    </row>
    <row r="512" spans="1:6" x14ac:dyDescent="0.3">
      <c r="A512" t="s">
        <v>709</v>
      </c>
      <c r="B512" t="s">
        <v>710</v>
      </c>
      <c r="C512" t="str">
        <f>HYPERLINK("http://service.sap.com/sap/support/notes/1890184","1890184")</f>
        <v>1890184</v>
      </c>
      <c r="D512">
        <v>3</v>
      </c>
      <c r="E512" t="s">
        <v>722</v>
      </c>
      <c r="F512" t="s">
        <v>17</v>
      </c>
    </row>
    <row r="513" spans="1:6" x14ac:dyDescent="0.3">
      <c r="A513" t="s">
        <v>709</v>
      </c>
      <c r="B513" t="s">
        <v>710</v>
      </c>
      <c r="C513" t="str">
        <f>HYPERLINK("http://service.sap.com/sap/support/notes/1890685","1890685")</f>
        <v>1890685</v>
      </c>
      <c r="D513">
        <v>2</v>
      </c>
      <c r="E513" t="s">
        <v>723</v>
      </c>
      <c r="F513" t="s">
        <v>13</v>
      </c>
    </row>
    <row r="514" spans="1:6" x14ac:dyDescent="0.3">
      <c r="A514" t="s">
        <v>709</v>
      </c>
      <c r="B514" t="s">
        <v>710</v>
      </c>
      <c r="C514" t="str">
        <f>HYPERLINK("http://service.sap.com/sap/support/notes/1893415","1893415")</f>
        <v>1893415</v>
      </c>
      <c r="D514">
        <v>2</v>
      </c>
      <c r="E514" t="s">
        <v>724</v>
      </c>
      <c r="F514" t="s">
        <v>11</v>
      </c>
    </row>
    <row r="515" spans="1:6" x14ac:dyDescent="0.3">
      <c r="A515" t="s">
        <v>709</v>
      </c>
      <c r="B515" t="s">
        <v>710</v>
      </c>
      <c r="C515" t="str">
        <f>HYPERLINK("http://service.sap.com/sap/support/notes/1894625","1894625")</f>
        <v>1894625</v>
      </c>
      <c r="D515">
        <v>1</v>
      </c>
      <c r="E515" t="s">
        <v>725</v>
      </c>
      <c r="F515" t="s">
        <v>13</v>
      </c>
    </row>
    <row r="516" spans="1:6" x14ac:dyDescent="0.3">
      <c r="A516" t="s">
        <v>709</v>
      </c>
      <c r="B516" t="s">
        <v>710</v>
      </c>
      <c r="C516" t="str">
        <f>HYPERLINK("http://service.sap.com/sap/support/notes/1895617","1895617")</f>
        <v>1895617</v>
      </c>
      <c r="D516">
        <v>1</v>
      </c>
      <c r="E516" t="s">
        <v>726</v>
      </c>
      <c r="F516" t="s">
        <v>13</v>
      </c>
    </row>
    <row r="517" spans="1:6" x14ac:dyDescent="0.3">
      <c r="A517" t="s">
        <v>709</v>
      </c>
      <c r="B517" t="s">
        <v>710</v>
      </c>
      <c r="C517" t="str">
        <f>HYPERLINK("http://service.sap.com/sap/support/notes/1896180","1896180")</f>
        <v>1896180</v>
      </c>
      <c r="D517">
        <v>1</v>
      </c>
      <c r="E517" t="s">
        <v>727</v>
      </c>
      <c r="F517" t="s">
        <v>94</v>
      </c>
    </row>
    <row r="518" spans="1:6" x14ac:dyDescent="0.3">
      <c r="A518" t="s">
        <v>709</v>
      </c>
      <c r="B518" t="s">
        <v>710</v>
      </c>
      <c r="C518" t="str">
        <f>HYPERLINK("http://service.sap.com/sap/support/notes/1905692","1905692")</f>
        <v>1905692</v>
      </c>
      <c r="D518">
        <v>2</v>
      </c>
      <c r="E518" t="s">
        <v>728</v>
      </c>
      <c r="F518" t="s">
        <v>13</v>
      </c>
    </row>
    <row r="519" spans="1:6" x14ac:dyDescent="0.3">
      <c r="A519" t="s">
        <v>709</v>
      </c>
      <c r="B519" t="s">
        <v>710</v>
      </c>
      <c r="C519" t="str">
        <f>HYPERLINK("http://service.sap.com/sap/support/notes/1914546","1914546")</f>
        <v>1914546</v>
      </c>
      <c r="D519">
        <v>1</v>
      </c>
      <c r="E519" t="s">
        <v>729</v>
      </c>
      <c r="F519" t="s">
        <v>17</v>
      </c>
    </row>
    <row r="520" spans="1:6" x14ac:dyDescent="0.3">
      <c r="A520" t="s">
        <v>709</v>
      </c>
      <c r="B520" t="s">
        <v>710</v>
      </c>
      <c r="C520" t="str">
        <f>HYPERLINK("http://service.sap.com/sap/support/notes/1923761","1923761")</f>
        <v>1923761</v>
      </c>
      <c r="D520">
        <v>2</v>
      </c>
      <c r="E520" t="s">
        <v>730</v>
      </c>
      <c r="F520" t="s">
        <v>13</v>
      </c>
    </row>
    <row r="521" spans="1:6" x14ac:dyDescent="0.3">
      <c r="A521" t="s">
        <v>709</v>
      </c>
      <c r="B521" t="s">
        <v>710</v>
      </c>
      <c r="C521" t="str">
        <f>HYPERLINK("http://service.sap.com/sap/support/notes/1925635","1925635")</f>
        <v>1925635</v>
      </c>
      <c r="D521">
        <v>1</v>
      </c>
      <c r="E521" t="s">
        <v>731</v>
      </c>
      <c r="F521" t="s">
        <v>11</v>
      </c>
    </row>
    <row r="522" spans="1:6" x14ac:dyDescent="0.3">
      <c r="A522" t="s">
        <v>732</v>
      </c>
      <c r="B522" t="s">
        <v>733</v>
      </c>
      <c r="C522" t="str">
        <f>HYPERLINK("http://service.sap.com/sap/support/notes/1860988","1860988")</f>
        <v>1860988</v>
      </c>
      <c r="D522">
        <v>2</v>
      </c>
      <c r="E522" t="s">
        <v>734</v>
      </c>
      <c r="F522" t="s">
        <v>13</v>
      </c>
    </row>
    <row r="523" spans="1:6" x14ac:dyDescent="0.3">
      <c r="A523" t="s">
        <v>732</v>
      </c>
      <c r="B523" t="s">
        <v>733</v>
      </c>
      <c r="C523" t="str">
        <f>HYPERLINK("http://service.sap.com/sap/support/notes/1866451","1866451")</f>
        <v>1866451</v>
      </c>
      <c r="D523">
        <v>1</v>
      </c>
      <c r="E523" t="s">
        <v>735</v>
      </c>
      <c r="F523" t="s">
        <v>17</v>
      </c>
    </row>
    <row r="524" spans="1:6" x14ac:dyDescent="0.3">
      <c r="A524" t="s">
        <v>732</v>
      </c>
      <c r="B524" t="s">
        <v>733</v>
      </c>
      <c r="C524" t="str">
        <f>HYPERLINK("http://service.sap.com/sap/support/notes/1874805","1874805")</f>
        <v>1874805</v>
      </c>
      <c r="D524">
        <v>1</v>
      </c>
      <c r="E524" t="s">
        <v>736</v>
      </c>
      <c r="F524" t="s">
        <v>17</v>
      </c>
    </row>
    <row r="525" spans="1:6" x14ac:dyDescent="0.3">
      <c r="A525" t="s">
        <v>737</v>
      </c>
      <c r="B525" t="s">
        <v>738</v>
      </c>
      <c r="C525" t="str">
        <f>HYPERLINK("http://service.sap.com/sap/support/notes/1858048","1858048")</f>
        <v>1858048</v>
      </c>
      <c r="D525">
        <v>1</v>
      </c>
      <c r="E525" t="s">
        <v>739</v>
      </c>
      <c r="F525" t="s">
        <v>11</v>
      </c>
    </row>
    <row r="526" spans="1:6" x14ac:dyDescent="0.3">
      <c r="A526" t="s">
        <v>740</v>
      </c>
      <c r="B526" t="s">
        <v>635</v>
      </c>
      <c r="C526" t="str">
        <f>HYPERLINK("http://service.sap.com/sap/support/notes/1849847","1849847")</f>
        <v>1849847</v>
      </c>
      <c r="D526">
        <v>3</v>
      </c>
      <c r="E526" t="s">
        <v>741</v>
      </c>
      <c r="F526" t="s">
        <v>17</v>
      </c>
    </row>
    <row r="527" spans="1:6" x14ac:dyDescent="0.3">
      <c r="A527" t="s">
        <v>740</v>
      </c>
      <c r="B527" t="s">
        <v>635</v>
      </c>
      <c r="C527" t="str">
        <f>HYPERLINK("http://service.sap.com/sap/support/notes/1897401","1897401")</f>
        <v>1897401</v>
      </c>
      <c r="D527">
        <v>1</v>
      </c>
      <c r="E527" t="s">
        <v>742</v>
      </c>
      <c r="F527" t="s">
        <v>17</v>
      </c>
    </row>
    <row r="528" spans="1:6" x14ac:dyDescent="0.3">
      <c r="A528" t="s">
        <v>743</v>
      </c>
      <c r="B528" t="s">
        <v>138</v>
      </c>
      <c r="C528" t="str">
        <f>HYPERLINK("http://service.sap.com/sap/support/notes/1844968","1844968")</f>
        <v>1844968</v>
      </c>
      <c r="D528">
        <v>2</v>
      </c>
      <c r="E528" t="s">
        <v>744</v>
      </c>
      <c r="F528" t="s">
        <v>13</v>
      </c>
    </row>
    <row r="529" spans="1:6" x14ac:dyDescent="0.3">
      <c r="A529" t="s">
        <v>743</v>
      </c>
      <c r="B529" t="s">
        <v>138</v>
      </c>
      <c r="C529" t="str">
        <f>HYPERLINK("http://service.sap.com/sap/support/notes/1856328","1856328")</f>
        <v>1856328</v>
      </c>
      <c r="D529">
        <v>5</v>
      </c>
      <c r="E529" t="s">
        <v>745</v>
      </c>
      <c r="F529" t="s">
        <v>13</v>
      </c>
    </row>
    <row r="530" spans="1:6" x14ac:dyDescent="0.3">
      <c r="A530" t="s">
        <v>743</v>
      </c>
      <c r="B530" t="s">
        <v>138</v>
      </c>
      <c r="C530" t="str">
        <f>HYPERLINK("http://service.sap.com/sap/support/notes/1867719","1867719")</f>
        <v>1867719</v>
      </c>
      <c r="D530">
        <v>2</v>
      </c>
      <c r="E530" t="s">
        <v>746</v>
      </c>
      <c r="F530" t="s">
        <v>13</v>
      </c>
    </row>
    <row r="531" spans="1:6" x14ac:dyDescent="0.3">
      <c r="A531" t="s">
        <v>743</v>
      </c>
      <c r="B531" t="s">
        <v>138</v>
      </c>
      <c r="C531" t="str">
        <f>HYPERLINK("http://service.sap.com/sap/support/notes/1867720","1867720")</f>
        <v>1867720</v>
      </c>
      <c r="D531">
        <v>1</v>
      </c>
      <c r="E531" t="s">
        <v>747</v>
      </c>
      <c r="F531" t="s">
        <v>13</v>
      </c>
    </row>
    <row r="532" spans="1:6" x14ac:dyDescent="0.3">
      <c r="A532" t="s">
        <v>743</v>
      </c>
      <c r="B532" t="s">
        <v>138</v>
      </c>
      <c r="C532" t="str">
        <f>HYPERLINK("http://service.sap.com/sap/support/notes/1870729","1870729")</f>
        <v>1870729</v>
      </c>
      <c r="D532">
        <v>3</v>
      </c>
      <c r="E532" t="s">
        <v>748</v>
      </c>
      <c r="F532" t="s">
        <v>17</v>
      </c>
    </row>
    <row r="533" spans="1:6" x14ac:dyDescent="0.3">
      <c r="A533" t="s">
        <v>743</v>
      </c>
      <c r="B533" t="s">
        <v>138</v>
      </c>
      <c r="C533" t="str">
        <f>HYPERLINK("http://service.sap.com/sap/support/notes/1873311","1873311")</f>
        <v>1873311</v>
      </c>
      <c r="D533">
        <v>1</v>
      </c>
      <c r="E533" t="s">
        <v>749</v>
      </c>
      <c r="F533" t="s">
        <v>17</v>
      </c>
    </row>
    <row r="534" spans="1:6" x14ac:dyDescent="0.3">
      <c r="A534" t="s">
        <v>743</v>
      </c>
      <c r="B534" t="s">
        <v>138</v>
      </c>
      <c r="C534" t="str">
        <f>HYPERLINK("http://service.sap.com/sap/support/notes/1874019","1874019")</f>
        <v>1874019</v>
      </c>
      <c r="D534">
        <v>2</v>
      </c>
      <c r="E534" t="s">
        <v>750</v>
      </c>
      <c r="F534" t="s">
        <v>13</v>
      </c>
    </row>
    <row r="535" spans="1:6" x14ac:dyDescent="0.3">
      <c r="A535" t="s">
        <v>743</v>
      </c>
      <c r="B535" t="s">
        <v>138</v>
      </c>
      <c r="C535" t="str">
        <f>HYPERLINK("http://service.sap.com/sap/support/notes/1874943","1874943")</f>
        <v>1874943</v>
      </c>
      <c r="D535">
        <v>2</v>
      </c>
      <c r="E535" t="s">
        <v>751</v>
      </c>
      <c r="F535" t="s">
        <v>13</v>
      </c>
    </row>
    <row r="536" spans="1:6" x14ac:dyDescent="0.3">
      <c r="A536" t="s">
        <v>743</v>
      </c>
      <c r="B536" t="s">
        <v>138</v>
      </c>
      <c r="C536" t="str">
        <f>HYPERLINK("http://service.sap.com/sap/support/notes/1885109","1885109")</f>
        <v>1885109</v>
      </c>
      <c r="D536">
        <v>1</v>
      </c>
      <c r="E536" t="s">
        <v>752</v>
      </c>
      <c r="F536" t="s">
        <v>13</v>
      </c>
    </row>
    <row r="537" spans="1:6" x14ac:dyDescent="0.3">
      <c r="A537" t="s">
        <v>743</v>
      </c>
      <c r="B537" t="s">
        <v>138</v>
      </c>
      <c r="C537" t="str">
        <f>HYPERLINK("http://service.sap.com/sap/support/notes/1897879","1897879")</f>
        <v>1897879</v>
      </c>
      <c r="D537">
        <v>3</v>
      </c>
      <c r="E537" t="s">
        <v>753</v>
      </c>
      <c r="F537" t="s">
        <v>13</v>
      </c>
    </row>
    <row r="538" spans="1:6" x14ac:dyDescent="0.3">
      <c r="A538" t="s">
        <v>743</v>
      </c>
      <c r="B538" t="s">
        <v>138</v>
      </c>
      <c r="C538" t="str">
        <f>HYPERLINK("http://service.sap.com/sap/support/notes/1898309","1898309")</f>
        <v>1898309</v>
      </c>
      <c r="D538">
        <v>1</v>
      </c>
      <c r="E538" t="s">
        <v>754</v>
      </c>
      <c r="F538" t="s">
        <v>13</v>
      </c>
    </row>
    <row r="539" spans="1:6" x14ac:dyDescent="0.3">
      <c r="A539" t="s">
        <v>743</v>
      </c>
      <c r="B539" t="s">
        <v>138</v>
      </c>
      <c r="C539" t="str">
        <f>HYPERLINK("http://service.sap.com/sap/support/notes/1902626","1902626")</f>
        <v>1902626</v>
      </c>
      <c r="D539">
        <v>1</v>
      </c>
      <c r="E539" t="s">
        <v>755</v>
      </c>
      <c r="F539" t="s">
        <v>13</v>
      </c>
    </row>
    <row r="540" spans="1:6" x14ac:dyDescent="0.3">
      <c r="A540" t="s">
        <v>743</v>
      </c>
      <c r="B540" t="s">
        <v>138</v>
      </c>
      <c r="C540" t="str">
        <f>HYPERLINK("http://service.sap.com/sap/support/notes/1909257","1909257")</f>
        <v>1909257</v>
      </c>
      <c r="D540">
        <v>2</v>
      </c>
      <c r="E540" t="s">
        <v>756</v>
      </c>
      <c r="F540" t="s">
        <v>17</v>
      </c>
    </row>
    <row r="541" spans="1:6" x14ac:dyDescent="0.3">
      <c r="A541" t="s">
        <v>743</v>
      </c>
      <c r="B541" t="s">
        <v>138</v>
      </c>
      <c r="C541" t="str">
        <f>HYPERLINK("http://service.sap.com/sap/support/notes/1914518","1914518")</f>
        <v>1914518</v>
      </c>
      <c r="D541">
        <v>2</v>
      </c>
      <c r="E541" t="s">
        <v>757</v>
      </c>
      <c r="F541" t="s">
        <v>17</v>
      </c>
    </row>
    <row r="542" spans="1:6" x14ac:dyDescent="0.3">
      <c r="A542" t="s">
        <v>758</v>
      </c>
      <c r="B542" t="s">
        <v>684</v>
      </c>
      <c r="C542" t="str">
        <f>HYPERLINK("http://service.sap.com/sap/support/notes/1852287","1852287")</f>
        <v>1852287</v>
      </c>
      <c r="D542">
        <v>3</v>
      </c>
      <c r="E542" t="s">
        <v>759</v>
      </c>
      <c r="F542" t="s">
        <v>17</v>
      </c>
    </row>
    <row r="543" spans="1:6" x14ac:dyDescent="0.3">
      <c r="A543" t="s">
        <v>760</v>
      </c>
      <c r="B543" t="s">
        <v>761</v>
      </c>
      <c r="C543" t="str">
        <f>HYPERLINK("http://service.sap.com/sap/support/notes/1867832","1867832")</f>
        <v>1867832</v>
      </c>
      <c r="D543">
        <v>1</v>
      </c>
      <c r="E543" t="s">
        <v>762</v>
      </c>
      <c r="F543" t="s">
        <v>17</v>
      </c>
    </row>
    <row r="544" spans="1:6" x14ac:dyDescent="0.3">
      <c r="A544" t="s">
        <v>760</v>
      </c>
      <c r="B544" t="s">
        <v>761</v>
      </c>
      <c r="C544" t="str">
        <f>HYPERLINK("http://service.sap.com/sap/support/notes/1895198","1895198")</f>
        <v>1895198</v>
      </c>
      <c r="D544">
        <v>1</v>
      </c>
      <c r="E544" t="s">
        <v>763</v>
      </c>
      <c r="F544" t="s">
        <v>13</v>
      </c>
    </row>
    <row r="545" spans="1:6" x14ac:dyDescent="0.3">
      <c r="A545" t="s">
        <v>764</v>
      </c>
      <c r="B545" t="s">
        <v>243</v>
      </c>
      <c r="C545" t="str">
        <f>HYPERLINK("http://service.sap.com/sap/support/notes/1884627","1884627")</f>
        <v>1884627</v>
      </c>
      <c r="D545">
        <v>1</v>
      </c>
      <c r="E545" t="s">
        <v>765</v>
      </c>
      <c r="F545" t="s">
        <v>17</v>
      </c>
    </row>
    <row r="546" spans="1:6" x14ac:dyDescent="0.3">
      <c r="A546" t="s">
        <v>764</v>
      </c>
      <c r="B546" t="s">
        <v>243</v>
      </c>
      <c r="C546" t="str">
        <f>HYPERLINK("http://service.sap.com/sap/support/notes/1887433","1887433")</f>
        <v>1887433</v>
      </c>
      <c r="D546">
        <v>4</v>
      </c>
      <c r="E546" t="s">
        <v>766</v>
      </c>
      <c r="F546" t="s">
        <v>17</v>
      </c>
    </row>
    <row r="547" spans="1:6" x14ac:dyDescent="0.3">
      <c r="A547" t="s">
        <v>764</v>
      </c>
      <c r="B547" t="s">
        <v>243</v>
      </c>
      <c r="C547" t="str">
        <f>HYPERLINK("http://service.sap.com/sap/support/notes/1887484","1887484")</f>
        <v>1887484</v>
      </c>
      <c r="D547">
        <v>1</v>
      </c>
      <c r="E547" t="s">
        <v>767</v>
      </c>
      <c r="F547" t="s">
        <v>17</v>
      </c>
    </row>
    <row r="548" spans="1:6" x14ac:dyDescent="0.3">
      <c r="A548" t="s">
        <v>768</v>
      </c>
      <c r="B548" t="s">
        <v>769</v>
      </c>
    </row>
    <row r="549" spans="1:6" x14ac:dyDescent="0.3">
      <c r="A549" t="s">
        <v>770</v>
      </c>
      <c r="B549" t="s">
        <v>138</v>
      </c>
      <c r="C549" t="str">
        <f>HYPERLINK("http://service.sap.com/sap/support/notes/1876194","1876194")</f>
        <v>1876194</v>
      </c>
      <c r="D549">
        <v>2</v>
      </c>
      <c r="E549" t="s">
        <v>771</v>
      </c>
      <c r="F549" t="s">
        <v>11</v>
      </c>
    </row>
    <row r="550" spans="1:6" x14ac:dyDescent="0.3">
      <c r="A550" t="s">
        <v>770</v>
      </c>
      <c r="B550" t="s">
        <v>138</v>
      </c>
      <c r="C550" t="str">
        <f>HYPERLINK("http://service.sap.com/sap/support/notes/1900879","1900879")</f>
        <v>1900879</v>
      </c>
      <c r="D550">
        <v>3</v>
      </c>
      <c r="E550" t="s">
        <v>772</v>
      </c>
      <c r="F550" t="s">
        <v>17</v>
      </c>
    </row>
    <row r="551" spans="1:6" x14ac:dyDescent="0.3">
      <c r="A551" t="s">
        <v>770</v>
      </c>
      <c r="B551" t="s">
        <v>138</v>
      </c>
      <c r="C551" t="str">
        <f>HYPERLINK("http://service.sap.com/sap/support/notes/1913503","1913503")</f>
        <v>1913503</v>
      </c>
      <c r="D551">
        <v>3</v>
      </c>
      <c r="E551" t="s">
        <v>773</v>
      </c>
      <c r="F551" t="s">
        <v>17</v>
      </c>
    </row>
    <row r="552" spans="1:6" x14ac:dyDescent="0.3">
      <c r="A552" t="s">
        <v>770</v>
      </c>
      <c r="B552" t="s">
        <v>138</v>
      </c>
      <c r="C552" t="str">
        <f>HYPERLINK("http://service.sap.com/sap/support/notes/1927780","1927780")</f>
        <v>1927780</v>
      </c>
      <c r="D552">
        <v>1</v>
      </c>
      <c r="E552" t="s">
        <v>774</v>
      </c>
      <c r="F552" t="s">
        <v>17</v>
      </c>
    </row>
    <row r="553" spans="1:6" x14ac:dyDescent="0.3">
      <c r="A553" t="s">
        <v>775</v>
      </c>
      <c r="B553" t="s">
        <v>776</v>
      </c>
    </row>
    <row r="554" spans="1:6" x14ac:dyDescent="0.3">
      <c r="A554" t="s">
        <v>777</v>
      </c>
      <c r="B554" t="s">
        <v>778</v>
      </c>
      <c r="C554" t="str">
        <f>HYPERLINK("http://service.sap.com/sap/support/notes/899430","899430")</f>
        <v>899430</v>
      </c>
      <c r="D554">
        <v>1</v>
      </c>
      <c r="E554">
        <v>899430</v>
      </c>
      <c r="F554" t="s">
        <v>94</v>
      </c>
    </row>
    <row r="555" spans="1:6" x14ac:dyDescent="0.3">
      <c r="A555" t="s">
        <v>777</v>
      </c>
      <c r="B555" t="s">
        <v>778</v>
      </c>
      <c r="C555" t="str">
        <f>HYPERLINK("http://service.sap.com/sap/support/notes/1669036","1669036")</f>
        <v>1669036</v>
      </c>
      <c r="D555">
        <v>3</v>
      </c>
      <c r="E555" t="s">
        <v>779</v>
      </c>
      <c r="F555" t="s">
        <v>17</v>
      </c>
    </row>
    <row r="556" spans="1:6" x14ac:dyDescent="0.3">
      <c r="A556" t="s">
        <v>777</v>
      </c>
      <c r="B556" t="s">
        <v>778</v>
      </c>
      <c r="C556" t="str">
        <f>HYPERLINK("http://service.sap.com/sap/support/notes/1752078","1752078")</f>
        <v>1752078</v>
      </c>
      <c r="D556">
        <v>3</v>
      </c>
      <c r="E556" t="s">
        <v>780</v>
      </c>
      <c r="F556" t="s">
        <v>17</v>
      </c>
    </row>
    <row r="557" spans="1:6" x14ac:dyDescent="0.3">
      <c r="A557" t="s">
        <v>777</v>
      </c>
      <c r="B557" t="s">
        <v>778</v>
      </c>
      <c r="C557" t="str">
        <f>HYPERLINK("http://service.sap.com/sap/support/notes/1758639","1758639")</f>
        <v>1758639</v>
      </c>
      <c r="D557">
        <v>2</v>
      </c>
      <c r="E557" t="s">
        <v>781</v>
      </c>
      <c r="F557" t="s">
        <v>17</v>
      </c>
    </row>
    <row r="558" spans="1:6" x14ac:dyDescent="0.3">
      <c r="A558" t="s">
        <v>777</v>
      </c>
      <c r="B558" t="s">
        <v>778</v>
      </c>
      <c r="C558" t="str">
        <f>HYPERLINK("http://service.sap.com/sap/support/notes/1776372","1776372")</f>
        <v>1776372</v>
      </c>
      <c r="D558">
        <v>3</v>
      </c>
      <c r="E558" t="s">
        <v>782</v>
      </c>
      <c r="F558" t="s">
        <v>13</v>
      </c>
    </row>
    <row r="559" spans="1:6" x14ac:dyDescent="0.3">
      <c r="A559" t="s">
        <v>777</v>
      </c>
      <c r="B559" t="s">
        <v>778</v>
      </c>
      <c r="C559" t="str">
        <f>HYPERLINK("http://service.sap.com/sap/support/notes/1830947","1830947")</f>
        <v>1830947</v>
      </c>
      <c r="D559">
        <v>2</v>
      </c>
      <c r="E559" t="s">
        <v>783</v>
      </c>
      <c r="F559" t="s">
        <v>17</v>
      </c>
    </row>
    <row r="560" spans="1:6" x14ac:dyDescent="0.3">
      <c r="A560" t="s">
        <v>777</v>
      </c>
      <c r="B560" t="s">
        <v>778</v>
      </c>
      <c r="C560" t="str">
        <f>HYPERLINK("http://service.sap.com/sap/support/notes/1840252","1840252")</f>
        <v>1840252</v>
      </c>
      <c r="D560">
        <v>2</v>
      </c>
      <c r="E560" t="s">
        <v>784</v>
      </c>
      <c r="F560" t="s">
        <v>17</v>
      </c>
    </row>
    <row r="561" spans="1:6" x14ac:dyDescent="0.3">
      <c r="A561" t="s">
        <v>777</v>
      </c>
      <c r="B561" t="s">
        <v>778</v>
      </c>
      <c r="C561" t="str">
        <f>HYPERLINK("http://service.sap.com/sap/support/notes/1843427","1843427")</f>
        <v>1843427</v>
      </c>
      <c r="D561">
        <v>2</v>
      </c>
      <c r="E561" t="s">
        <v>785</v>
      </c>
      <c r="F561" t="s">
        <v>11</v>
      </c>
    </row>
    <row r="562" spans="1:6" x14ac:dyDescent="0.3">
      <c r="A562" t="s">
        <v>777</v>
      </c>
      <c r="B562" t="s">
        <v>778</v>
      </c>
      <c r="C562" t="str">
        <f>HYPERLINK("http://service.sap.com/sap/support/notes/1871586","1871586")</f>
        <v>1871586</v>
      </c>
      <c r="D562">
        <v>3</v>
      </c>
      <c r="E562" t="s">
        <v>786</v>
      </c>
      <c r="F562" t="s">
        <v>13</v>
      </c>
    </row>
    <row r="563" spans="1:6" x14ac:dyDescent="0.3">
      <c r="A563" t="s">
        <v>777</v>
      </c>
      <c r="B563" t="s">
        <v>778</v>
      </c>
      <c r="C563" t="str">
        <f>HYPERLINK("http://service.sap.com/sap/support/notes/1872424","1872424")</f>
        <v>1872424</v>
      </c>
      <c r="D563">
        <v>1</v>
      </c>
      <c r="E563" t="s">
        <v>787</v>
      </c>
      <c r="F563" t="s">
        <v>13</v>
      </c>
    </row>
    <row r="564" spans="1:6" x14ac:dyDescent="0.3">
      <c r="A564" t="s">
        <v>777</v>
      </c>
      <c r="B564" t="s">
        <v>778</v>
      </c>
      <c r="C564" t="str">
        <f>HYPERLINK("http://service.sap.com/sap/support/notes/1881035","1881035")</f>
        <v>1881035</v>
      </c>
      <c r="D564">
        <v>1</v>
      </c>
      <c r="E564" t="s">
        <v>788</v>
      </c>
      <c r="F564" t="s">
        <v>13</v>
      </c>
    </row>
    <row r="565" spans="1:6" x14ac:dyDescent="0.3">
      <c r="A565" t="s">
        <v>777</v>
      </c>
      <c r="B565" t="s">
        <v>778</v>
      </c>
      <c r="C565" t="str">
        <f>HYPERLINK("http://service.sap.com/sap/support/notes/1882689","1882689")</f>
        <v>1882689</v>
      </c>
      <c r="D565">
        <v>2</v>
      </c>
      <c r="E565" t="s">
        <v>789</v>
      </c>
      <c r="F565" t="s">
        <v>17</v>
      </c>
    </row>
    <row r="566" spans="1:6" x14ac:dyDescent="0.3">
      <c r="A566" t="s">
        <v>777</v>
      </c>
      <c r="B566" t="s">
        <v>778</v>
      </c>
      <c r="C566" t="str">
        <f>HYPERLINK("http://service.sap.com/sap/support/notes/1884212","1884212")</f>
        <v>1884212</v>
      </c>
      <c r="D566">
        <v>2</v>
      </c>
      <c r="E566" t="s">
        <v>790</v>
      </c>
      <c r="F566" t="s">
        <v>11</v>
      </c>
    </row>
    <row r="567" spans="1:6" x14ac:dyDescent="0.3">
      <c r="A567" t="s">
        <v>777</v>
      </c>
      <c r="B567" t="s">
        <v>778</v>
      </c>
      <c r="C567" t="str">
        <f>HYPERLINK("http://service.sap.com/sap/support/notes/1884776","1884776")</f>
        <v>1884776</v>
      </c>
      <c r="D567">
        <v>1</v>
      </c>
      <c r="E567" t="s">
        <v>791</v>
      </c>
      <c r="F567" t="s">
        <v>13</v>
      </c>
    </row>
    <row r="568" spans="1:6" x14ac:dyDescent="0.3">
      <c r="A568" t="s">
        <v>777</v>
      </c>
      <c r="B568" t="s">
        <v>778</v>
      </c>
      <c r="C568" t="str">
        <f>HYPERLINK("http://service.sap.com/sap/support/notes/1902269","1902269")</f>
        <v>1902269</v>
      </c>
      <c r="D568">
        <v>2</v>
      </c>
      <c r="E568" t="s">
        <v>792</v>
      </c>
      <c r="F568" t="s">
        <v>13</v>
      </c>
    </row>
    <row r="569" spans="1:6" x14ac:dyDescent="0.3">
      <c r="A569" t="s">
        <v>777</v>
      </c>
      <c r="B569" t="s">
        <v>778</v>
      </c>
      <c r="C569" t="str">
        <f>HYPERLINK("http://service.sap.com/sap/support/notes/1910415","1910415")</f>
        <v>1910415</v>
      </c>
      <c r="D569">
        <v>2</v>
      </c>
      <c r="E569" t="s">
        <v>793</v>
      </c>
      <c r="F569" t="s">
        <v>13</v>
      </c>
    </row>
    <row r="570" spans="1:6" x14ac:dyDescent="0.3">
      <c r="A570" t="s">
        <v>777</v>
      </c>
      <c r="B570" t="s">
        <v>778</v>
      </c>
      <c r="C570" t="str">
        <f>HYPERLINK("http://service.sap.com/sap/support/notes/1915798","1915798")</f>
        <v>1915798</v>
      </c>
      <c r="D570">
        <v>2</v>
      </c>
      <c r="E570" t="s">
        <v>794</v>
      </c>
      <c r="F570" t="s">
        <v>17</v>
      </c>
    </row>
    <row r="571" spans="1:6" x14ac:dyDescent="0.3">
      <c r="A571" t="s">
        <v>777</v>
      </c>
      <c r="B571" t="s">
        <v>778</v>
      </c>
      <c r="C571" t="str">
        <f>HYPERLINK("http://service.sap.com/sap/support/notes/1922141","1922141")</f>
        <v>1922141</v>
      </c>
      <c r="D571">
        <v>2</v>
      </c>
      <c r="E571" t="s">
        <v>795</v>
      </c>
      <c r="F571" t="s">
        <v>17</v>
      </c>
    </row>
    <row r="572" spans="1:6" x14ac:dyDescent="0.3">
      <c r="A572" t="s">
        <v>796</v>
      </c>
      <c r="B572" t="s">
        <v>797</v>
      </c>
      <c r="C572" t="str">
        <f>HYPERLINK("http://service.sap.com/sap/support/notes/1831943","1831943")</f>
        <v>1831943</v>
      </c>
      <c r="D572">
        <v>2</v>
      </c>
      <c r="E572" t="s">
        <v>798</v>
      </c>
      <c r="F572" t="s">
        <v>17</v>
      </c>
    </row>
    <row r="573" spans="1:6" x14ac:dyDescent="0.3">
      <c r="A573" t="s">
        <v>796</v>
      </c>
      <c r="B573" t="s">
        <v>797</v>
      </c>
      <c r="C573" t="str">
        <f>HYPERLINK("http://service.sap.com/sap/support/notes/1851389","1851389")</f>
        <v>1851389</v>
      </c>
      <c r="D573">
        <v>1</v>
      </c>
      <c r="E573" t="s">
        <v>799</v>
      </c>
      <c r="F573" t="s">
        <v>17</v>
      </c>
    </row>
    <row r="574" spans="1:6" x14ac:dyDescent="0.3">
      <c r="A574" t="s">
        <v>796</v>
      </c>
      <c r="B574" t="s">
        <v>797</v>
      </c>
      <c r="C574" t="str">
        <f>HYPERLINK("http://service.sap.com/sap/support/notes/1860386","1860386")</f>
        <v>1860386</v>
      </c>
      <c r="D574">
        <v>1</v>
      </c>
      <c r="E574" t="s">
        <v>800</v>
      </c>
      <c r="F574" t="s">
        <v>13</v>
      </c>
    </row>
    <row r="575" spans="1:6" x14ac:dyDescent="0.3">
      <c r="A575" t="s">
        <v>796</v>
      </c>
      <c r="B575" t="s">
        <v>797</v>
      </c>
      <c r="C575" t="str">
        <f>HYPERLINK("http://service.sap.com/sap/support/notes/1860806","1860806")</f>
        <v>1860806</v>
      </c>
      <c r="D575">
        <v>7</v>
      </c>
      <c r="E575" t="s">
        <v>801</v>
      </c>
      <c r="F575" t="s">
        <v>17</v>
      </c>
    </row>
    <row r="576" spans="1:6" x14ac:dyDescent="0.3">
      <c r="A576" t="s">
        <v>796</v>
      </c>
      <c r="B576" t="s">
        <v>797</v>
      </c>
      <c r="C576" t="str">
        <f>HYPERLINK("http://service.sap.com/sap/support/notes/1867854","1867854")</f>
        <v>1867854</v>
      </c>
      <c r="D576">
        <v>1</v>
      </c>
      <c r="E576" t="s">
        <v>802</v>
      </c>
      <c r="F576" t="s">
        <v>13</v>
      </c>
    </row>
    <row r="577" spans="1:6" x14ac:dyDescent="0.3">
      <c r="A577" t="s">
        <v>796</v>
      </c>
      <c r="B577" t="s">
        <v>797</v>
      </c>
      <c r="C577" t="str">
        <f>HYPERLINK("http://service.sap.com/sap/support/notes/1883317","1883317")</f>
        <v>1883317</v>
      </c>
      <c r="D577">
        <v>3</v>
      </c>
      <c r="E577" t="s">
        <v>803</v>
      </c>
      <c r="F577" t="s">
        <v>11</v>
      </c>
    </row>
    <row r="578" spans="1:6" x14ac:dyDescent="0.3">
      <c r="A578" t="s">
        <v>796</v>
      </c>
      <c r="B578" t="s">
        <v>797</v>
      </c>
      <c r="C578" t="str">
        <f>HYPERLINK("http://service.sap.com/sap/support/notes/1883828","1883828")</f>
        <v>1883828</v>
      </c>
      <c r="D578">
        <v>2</v>
      </c>
      <c r="E578" t="s">
        <v>804</v>
      </c>
      <c r="F578" t="s">
        <v>11</v>
      </c>
    </row>
    <row r="579" spans="1:6" x14ac:dyDescent="0.3">
      <c r="A579" t="s">
        <v>796</v>
      </c>
      <c r="B579" t="s">
        <v>797</v>
      </c>
      <c r="C579" t="str">
        <f>HYPERLINK("http://service.sap.com/sap/support/notes/1885408","1885408")</f>
        <v>1885408</v>
      </c>
      <c r="D579">
        <v>3</v>
      </c>
      <c r="E579" t="s">
        <v>805</v>
      </c>
      <c r="F579" t="s">
        <v>13</v>
      </c>
    </row>
    <row r="580" spans="1:6" x14ac:dyDescent="0.3">
      <c r="A580" t="s">
        <v>796</v>
      </c>
      <c r="B580" t="s">
        <v>797</v>
      </c>
      <c r="C580" t="str">
        <f>HYPERLINK("http://service.sap.com/sap/support/notes/1888423","1888423")</f>
        <v>1888423</v>
      </c>
      <c r="D580">
        <v>3</v>
      </c>
      <c r="E580" t="s">
        <v>806</v>
      </c>
      <c r="F580" t="s">
        <v>17</v>
      </c>
    </row>
    <row r="581" spans="1:6" x14ac:dyDescent="0.3">
      <c r="A581" t="s">
        <v>796</v>
      </c>
      <c r="B581" t="s">
        <v>797</v>
      </c>
      <c r="C581" t="str">
        <f>HYPERLINK("http://service.sap.com/sap/support/notes/1891192","1891192")</f>
        <v>1891192</v>
      </c>
      <c r="D581">
        <v>2</v>
      </c>
      <c r="E581" t="s">
        <v>807</v>
      </c>
      <c r="F581" t="s">
        <v>13</v>
      </c>
    </row>
    <row r="582" spans="1:6" x14ac:dyDescent="0.3">
      <c r="A582" t="s">
        <v>796</v>
      </c>
      <c r="B582" t="s">
        <v>797</v>
      </c>
      <c r="C582" t="str">
        <f>HYPERLINK("http://service.sap.com/sap/support/notes/1893106","1893106")</f>
        <v>1893106</v>
      </c>
      <c r="D582">
        <v>2</v>
      </c>
      <c r="E582" t="s">
        <v>808</v>
      </c>
      <c r="F582" t="s">
        <v>13</v>
      </c>
    </row>
    <row r="583" spans="1:6" x14ac:dyDescent="0.3">
      <c r="A583" t="s">
        <v>796</v>
      </c>
      <c r="B583" t="s">
        <v>797</v>
      </c>
      <c r="C583" t="str">
        <f>HYPERLINK("http://service.sap.com/sap/support/notes/1904566","1904566")</f>
        <v>1904566</v>
      </c>
      <c r="D583">
        <v>1</v>
      </c>
      <c r="E583" t="s">
        <v>809</v>
      </c>
      <c r="F583" t="s">
        <v>11</v>
      </c>
    </row>
    <row r="584" spans="1:6" x14ac:dyDescent="0.3">
      <c r="A584" t="s">
        <v>796</v>
      </c>
      <c r="B584" t="s">
        <v>797</v>
      </c>
      <c r="C584" t="str">
        <f>HYPERLINK("http://service.sap.com/sap/support/notes/1905781","1905781")</f>
        <v>1905781</v>
      </c>
      <c r="D584">
        <v>1</v>
      </c>
      <c r="E584" t="s">
        <v>810</v>
      </c>
      <c r="F584" t="s">
        <v>13</v>
      </c>
    </row>
    <row r="585" spans="1:6" x14ac:dyDescent="0.3">
      <c r="A585" t="s">
        <v>796</v>
      </c>
      <c r="B585" t="s">
        <v>797</v>
      </c>
      <c r="C585" t="str">
        <f>HYPERLINK("http://service.sap.com/sap/support/notes/1910232","1910232")</f>
        <v>1910232</v>
      </c>
      <c r="D585">
        <v>2</v>
      </c>
      <c r="E585" t="s">
        <v>811</v>
      </c>
      <c r="F585" t="s">
        <v>17</v>
      </c>
    </row>
    <row r="586" spans="1:6" x14ac:dyDescent="0.3">
      <c r="A586" t="s">
        <v>812</v>
      </c>
      <c r="B586" t="s">
        <v>813</v>
      </c>
      <c r="C586" t="str">
        <f>HYPERLINK("http://service.sap.com/sap/support/notes/1795040","1795040")</f>
        <v>1795040</v>
      </c>
      <c r="D586">
        <v>4</v>
      </c>
      <c r="E586" t="s">
        <v>814</v>
      </c>
      <c r="F586" t="s">
        <v>13</v>
      </c>
    </row>
    <row r="587" spans="1:6" x14ac:dyDescent="0.3">
      <c r="A587" t="s">
        <v>812</v>
      </c>
      <c r="B587" t="s">
        <v>813</v>
      </c>
      <c r="C587" t="str">
        <f>HYPERLINK("http://service.sap.com/sap/support/notes/1830590","1830590")</f>
        <v>1830590</v>
      </c>
      <c r="D587">
        <v>4</v>
      </c>
      <c r="E587" t="s">
        <v>815</v>
      </c>
      <c r="F587" t="s">
        <v>17</v>
      </c>
    </row>
    <row r="588" spans="1:6" x14ac:dyDescent="0.3">
      <c r="A588" t="s">
        <v>812</v>
      </c>
      <c r="B588" t="s">
        <v>813</v>
      </c>
      <c r="C588" t="str">
        <f>HYPERLINK("http://service.sap.com/sap/support/notes/1834535","1834535")</f>
        <v>1834535</v>
      </c>
      <c r="D588">
        <v>4</v>
      </c>
      <c r="E588" t="s">
        <v>816</v>
      </c>
      <c r="F588" t="s">
        <v>11</v>
      </c>
    </row>
    <row r="589" spans="1:6" x14ac:dyDescent="0.3">
      <c r="A589" t="s">
        <v>812</v>
      </c>
      <c r="B589" t="s">
        <v>813</v>
      </c>
      <c r="C589" t="str">
        <f>HYPERLINK("http://service.sap.com/sap/support/notes/1846415","1846415")</f>
        <v>1846415</v>
      </c>
      <c r="D589">
        <v>3</v>
      </c>
      <c r="E589" t="s">
        <v>817</v>
      </c>
      <c r="F589" t="s">
        <v>11</v>
      </c>
    </row>
    <row r="590" spans="1:6" x14ac:dyDescent="0.3">
      <c r="A590" t="s">
        <v>812</v>
      </c>
      <c r="B590" t="s">
        <v>813</v>
      </c>
      <c r="C590" t="str">
        <f>HYPERLINK("http://service.sap.com/sap/support/notes/1850374","1850374")</f>
        <v>1850374</v>
      </c>
      <c r="D590">
        <v>2</v>
      </c>
      <c r="E590" t="s">
        <v>818</v>
      </c>
      <c r="F590" t="s">
        <v>11</v>
      </c>
    </row>
    <row r="591" spans="1:6" x14ac:dyDescent="0.3">
      <c r="A591" t="s">
        <v>812</v>
      </c>
      <c r="B591" t="s">
        <v>813</v>
      </c>
      <c r="C591" t="str">
        <f>HYPERLINK("http://service.sap.com/sap/support/notes/1884201","1884201")</f>
        <v>1884201</v>
      </c>
      <c r="D591">
        <v>1</v>
      </c>
      <c r="E591" t="s">
        <v>819</v>
      </c>
      <c r="F591" t="s">
        <v>17</v>
      </c>
    </row>
    <row r="592" spans="1:6" x14ac:dyDescent="0.3">
      <c r="A592" t="s">
        <v>812</v>
      </c>
      <c r="B592" t="s">
        <v>813</v>
      </c>
      <c r="C592" t="str">
        <f>HYPERLINK("http://service.sap.com/sap/support/notes/1885947","1885947")</f>
        <v>1885947</v>
      </c>
      <c r="D592">
        <v>8</v>
      </c>
      <c r="E592" t="s">
        <v>820</v>
      </c>
      <c r="F592" t="s">
        <v>11</v>
      </c>
    </row>
    <row r="593" spans="1:6" x14ac:dyDescent="0.3">
      <c r="A593" t="s">
        <v>812</v>
      </c>
      <c r="B593" t="s">
        <v>813</v>
      </c>
      <c r="C593" t="str">
        <f>HYPERLINK("http://service.sap.com/sap/support/notes/1890320","1890320")</f>
        <v>1890320</v>
      </c>
      <c r="D593">
        <v>3</v>
      </c>
      <c r="E593" t="s">
        <v>821</v>
      </c>
      <c r="F593" t="s">
        <v>17</v>
      </c>
    </row>
    <row r="594" spans="1:6" x14ac:dyDescent="0.3">
      <c r="A594" t="s">
        <v>812</v>
      </c>
      <c r="B594" t="s">
        <v>813</v>
      </c>
      <c r="C594" t="str">
        <f>HYPERLINK("http://service.sap.com/sap/support/notes/1891809","1891809")</f>
        <v>1891809</v>
      </c>
      <c r="D594">
        <v>1</v>
      </c>
      <c r="E594" t="s">
        <v>822</v>
      </c>
      <c r="F594" t="s">
        <v>17</v>
      </c>
    </row>
    <row r="595" spans="1:6" x14ac:dyDescent="0.3">
      <c r="A595" t="s">
        <v>812</v>
      </c>
      <c r="B595" t="s">
        <v>813</v>
      </c>
      <c r="C595" t="str">
        <f>HYPERLINK("http://service.sap.com/sap/support/notes/1918654","1918654")</f>
        <v>1918654</v>
      </c>
      <c r="D595">
        <v>1</v>
      </c>
      <c r="E595" t="s">
        <v>823</v>
      </c>
      <c r="F595" t="s">
        <v>17</v>
      </c>
    </row>
    <row r="596" spans="1:6" x14ac:dyDescent="0.3">
      <c r="A596" t="s">
        <v>812</v>
      </c>
      <c r="B596" t="s">
        <v>813</v>
      </c>
      <c r="C596" t="str">
        <f>HYPERLINK("http://service.sap.com/sap/support/notes/1921702","1921702")</f>
        <v>1921702</v>
      </c>
      <c r="D596">
        <v>2</v>
      </c>
      <c r="E596" t="s">
        <v>824</v>
      </c>
      <c r="F596" t="s">
        <v>17</v>
      </c>
    </row>
    <row r="597" spans="1:6" x14ac:dyDescent="0.3">
      <c r="A597" t="s">
        <v>825</v>
      </c>
      <c r="B597" t="s">
        <v>826</v>
      </c>
      <c r="C597" t="str">
        <f>HYPERLINK("http://service.sap.com/sap/support/notes/1809444","1809444")</f>
        <v>1809444</v>
      </c>
      <c r="D597">
        <v>3</v>
      </c>
      <c r="E597" t="s">
        <v>827</v>
      </c>
      <c r="F597" t="s">
        <v>17</v>
      </c>
    </row>
    <row r="598" spans="1:6" x14ac:dyDescent="0.3">
      <c r="A598" t="s">
        <v>825</v>
      </c>
      <c r="B598" t="s">
        <v>826</v>
      </c>
      <c r="C598" t="str">
        <f>HYPERLINK("http://service.sap.com/sap/support/notes/1842166","1842166")</f>
        <v>1842166</v>
      </c>
      <c r="D598">
        <v>3</v>
      </c>
      <c r="E598" t="s">
        <v>828</v>
      </c>
      <c r="F598" t="s">
        <v>11</v>
      </c>
    </row>
    <row r="599" spans="1:6" x14ac:dyDescent="0.3">
      <c r="A599" t="s">
        <v>825</v>
      </c>
      <c r="B599" t="s">
        <v>826</v>
      </c>
      <c r="C599" t="str">
        <f>HYPERLINK("http://service.sap.com/sap/support/notes/1868741","1868741")</f>
        <v>1868741</v>
      </c>
      <c r="D599">
        <v>2</v>
      </c>
      <c r="E599" t="s">
        <v>829</v>
      </c>
      <c r="F599" t="s">
        <v>17</v>
      </c>
    </row>
    <row r="600" spans="1:6" x14ac:dyDescent="0.3">
      <c r="A600" t="s">
        <v>825</v>
      </c>
      <c r="B600" t="s">
        <v>826</v>
      </c>
      <c r="C600" t="str">
        <f>HYPERLINK("http://service.sap.com/sap/support/notes/1871650","1871650")</f>
        <v>1871650</v>
      </c>
      <c r="D600">
        <v>2</v>
      </c>
      <c r="E600" t="s">
        <v>830</v>
      </c>
      <c r="F600" t="s">
        <v>17</v>
      </c>
    </row>
    <row r="601" spans="1:6" x14ac:dyDescent="0.3">
      <c r="A601" t="s">
        <v>825</v>
      </c>
      <c r="B601" t="s">
        <v>826</v>
      </c>
      <c r="C601" t="str">
        <f>HYPERLINK("http://service.sap.com/sap/support/notes/1875329","1875329")</f>
        <v>1875329</v>
      </c>
      <c r="D601">
        <v>1</v>
      </c>
      <c r="E601" t="s">
        <v>831</v>
      </c>
      <c r="F601" t="s">
        <v>17</v>
      </c>
    </row>
    <row r="602" spans="1:6" x14ac:dyDescent="0.3">
      <c r="A602" t="s">
        <v>825</v>
      </c>
      <c r="B602" t="s">
        <v>826</v>
      </c>
      <c r="C602" t="str">
        <f>HYPERLINK("http://service.sap.com/sap/support/notes/1875363","1875363")</f>
        <v>1875363</v>
      </c>
      <c r="D602">
        <v>2</v>
      </c>
      <c r="E602" t="s">
        <v>832</v>
      </c>
      <c r="F602" t="s">
        <v>17</v>
      </c>
    </row>
    <row r="603" spans="1:6" x14ac:dyDescent="0.3">
      <c r="A603" t="s">
        <v>825</v>
      </c>
      <c r="B603" t="s">
        <v>826</v>
      </c>
      <c r="C603" t="str">
        <f>HYPERLINK("http://service.sap.com/sap/support/notes/1879132","1879132")</f>
        <v>1879132</v>
      </c>
      <c r="D603">
        <v>6</v>
      </c>
      <c r="E603" t="s">
        <v>833</v>
      </c>
      <c r="F603" t="s">
        <v>17</v>
      </c>
    </row>
    <row r="604" spans="1:6" x14ac:dyDescent="0.3">
      <c r="A604" t="s">
        <v>825</v>
      </c>
      <c r="B604" t="s">
        <v>826</v>
      </c>
      <c r="C604" t="str">
        <f>HYPERLINK("http://service.sap.com/sap/support/notes/1879806","1879806")</f>
        <v>1879806</v>
      </c>
      <c r="D604">
        <v>2</v>
      </c>
      <c r="E604" t="s">
        <v>834</v>
      </c>
      <c r="F604" t="s">
        <v>11</v>
      </c>
    </row>
    <row r="605" spans="1:6" x14ac:dyDescent="0.3">
      <c r="A605" t="s">
        <v>825</v>
      </c>
      <c r="B605" t="s">
        <v>826</v>
      </c>
      <c r="C605" t="str">
        <f>HYPERLINK("http://service.sap.com/sap/support/notes/1892579","1892579")</f>
        <v>1892579</v>
      </c>
      <c r="D605">
        <v>1</v>
      </c>
      <c r="E605" t="s">
        <v>835</v>
      </c>
      <c r="F605" t="s">
        <v>17</v>
      </c>
    </row>
    <row r="606" spans="1:6" x14ac:dyDescent="0.3">
      <c r="A606" t="s">
        <v>825</v>
      </c>
      <c r="B606" t="s">
        <v>826</v>
      </c>
      <c r="C606" t="str">
        <f>HYPERLINK("http://service.sap.com/sap/support/notes/1913584","1913584")</f>
        <v>1913584</v>
      </c>
      <c r="D606">
        <v>5</v>
      </c>
      <c r="E606" t="s">
        <v>836</v>
      </c>
      <c r="F606" t="s">
        <v>17</v>
      </c>
    </row>
    <row r="607" spans="1:6" x14ac:dyDescent="0.3">
      <c r="A607" t="s">
        <v>825</v>
      </c>
      <c r="B607" t="s">
        <v>826</v>
      </c>
      <c r="C607" t="str">
        <f>HYPERLINK("http://service.sap.com/sap/support/notes/1918908","1918908")</f>
        <v>1918908</v>
      </c>
      <c r="D607">
        <v>2</v>
      </c>
      <c r="E607" t="s">
        <v>837</v>
      </c>
      <c r="F607" t="s">
        <v>11</v>
      </c>
    </row>
    <row r="608" spans="1:6" x14ac:dyDescent="0.3">
      <c r="A608" t="s">
        <v>825</v>
      </c>
      <c r="B608" t="s">
        <v>826</v>
      </c>
      <c r="C608" t="str">
        <f>HYPERLINK("http://service.sap.com/sap/support/notes/1921923","1921923")</f>
        <v>1921923</v>
      </c>
      <c r="D608">
        <v>1</v>
      </c>
      <c r="E608" t="s">
        <v>838</v>
      </c>
      <c r="F608" t="s">
        <v>11</v>
      </c>
    </row>
    <row r="609" spans="1:6" x14ac:dyDescent="0.3">
      <c r="A609" t="s">
        <v>839</v>
      </c>
      <c r="B609" t="s">
        <v>840</v>
      </c>
      <c r="C609" t="str">
        <f>HYPERLINK("http://service.sap.com/sap/support/notes/1793565","1793565")</f>
        <v>1793565</v>
      </c>
      <c r="D609">
        <v>3</v>
      </c>
      <c r="E609" t="s">
        <v>841</v>
      </c>
      <c r="F609" t="s">
        <v>13</v>
      </c>
    </row>
    <row r="610" spans="1:6" x14ac:dyDescent="0.3">
      <c r="A610" t="s">
        <v>839</v>
      </c>
      <c r="B610" t="s">
        <v>840</v>
      </c>
      <c r="C610" t="str">
        <f>HYPERLINK("http://service.sap.com/sap/support/notes/1832973","1832973")</f>
        <v>1832973</v>
      </c>
      <c r="D610">
        <v>3</v>
      </c>
      <c r="E610" t="s">
        <v>842</v>
      </c>
      <c r="F610" t="s">
        <v>13</v>
      </c>
    </row>
    <row r="611" spans="1:6" x14ac:dyDescent="0.3">
      <c r="A611" t="s">
        <v>839</v>
      </c>
      <c r="B611" t="s">
        <v>840</v>
      </c>
      <c r="C611" t="str">
        <f>HYPERLINK("http://service.sap.com/sap/support/notes/1842330","1842330")</f>
        <v>1842330</v>
      </c>
      <c r="D611">
        <v>2</v>
      </c>
      <c r="E611" t="s">
        <v>843</v>
      </c>
      <c r="F611" t="s">
        <v>13</v>
      </c>
    </row>
    <row r="612" spans="1:6" x14ac:dyDescent="0.3">
      <c r="A612" t="s">
        <v>844</v>
      </c>
      <c r="B612" t="s">
        <v>845</v>
      </c>
      <c r="C612" t="str">
        <f>HYPERLINK("http://service.sap.com/sap/support/notes/1884933","1884933")</f>
        <v>1884933</v>
      </c>
      <c r="D612">
        <v>3</v>
      </c>
      <c r="E612" t="s">
        <v>846</v>
      </c>
      <c r="F612" t="s">
        <v>17</v>
      </c>
    </row>
    <row r="613" spans="1:6" x14ac:dyDescent="0.3">
      <c r="A613" t="s">
        <v>844</v>
      </c>
      <c r="B613" t="s">
        <v>845</v>
      </c>
      <c r="C613" t="str">
        <f>HYPERLINK("http://service.sap.com/sap/support/notes/1901807","1901807")</f>
        <v>1901807</v>
      </c>
      <c r="D613">
        <v>5</v>
      </c>
      <c r="E613" t="s">
        <v>847</v>
      </c>
      <c r="F613" t="s">
        <v>17</v>
      </c>
    </row>
    <row r="614" spans="1:6" x14ac:dyDescent="0.3">
      <c r="A614" t="s">
        <v>848</v>
      </c>
      <c r="B614" t="s">
        <v>849</v>
      </c>
      <c r="C614" t="str">
        <f>HYPERLINK("http://service.sap.com/sap/support/notes/1042941","1042941")</f>
        <v>1042941</v>
      </c>
      <c r="D614">
        <v>1</v>
      </c>
      <c r="E614" t="s">
        <v>850</v>
      </c>
      <c r="F614" t="s">
        <v>17</v>
      </c>
    </row>
    <row r="615" spans="1:6" x14ac:dyDescent="0.3">
      <c r="A615" t="s">
        <v>848</v>
      </c>
      <c r="B615" t="s">
        <v>849</v>
      </c>
      <c r="C615" t="str">
        <f>HYPERLINK("http://service.sap.com/sap/support/notes/1853157","1853157")</f>
        <v>1853157</v>
      </c>
      <c r="D615">
        <v>3</v>
      </c>
      <c r="E615" t="s">
        <v>851</v>
      </c>
      <c r="F615" t="s">
        <v>17</v>
      </c>
    </row>
    <row r="616" spans="1:6" x14ac:dyDescent="0.3">
      <c r="A616" t="s">
        <v>848</v>
      </c>
      <c r="B616" t="s">
        <v>849</v>
      </c>
      <c r="C616" t="str">
        <f>HYPERLINK("http://service.sap.com/sap/support/notes/1868431","1868431")</f>
        <v>1868431</v>
      </c>
      <c r="D616">
        <v>1</v>
      </c>
      <c r="E616" t="s">
        <v>852</v>
      </c>
      <c r="F616" t="s">
        <v>13</v>
      </c>
    </row>
    <row r="617" spans="1:6" x14ac:dyDescent="0.3">
      <c r="A617" t="s">
        <v>848</v>
      </c>
      <c r="B617" t="s">
        <v>849</v>
      </c>
      <c r="C617" t="str">
        <f>HYPERLINK("http://service.sap.com/sap/support/notes/1870289","1870289")</f>
        <v>1870289</v>
      </c>
      <c r="D617">
        <v>1</v>
      </c>
      <c r="E617" t="s">
        <v>853</v>
      </c>
      <c r="F617" t="s">
        <v>13</v>
      </c>
    </row>
    <row r="618" spans="1:6" x14ac:dyDescent="0.3">
      <c r="A618" t="s">
        <v>848</v>
      </c>
      <c r="B618" t="s">
        <v>849</v>
      </c>
      <c r="C618" t="str">
        <f>HYPERLINK("http://service.sap.com/sap/support/notes/1871089","1871089")</f>
        <v>1871089</v>
      </c>
      <c r="D618">
        <v>2</v>
      </c>
      <c r="E618" t="s">
        <v>854</v>
      </c>
      <c r="F618" t="s">
        <v>13</v>
      </c>
    </row>
    <row r="619" spans="1:6" x14ac:dyDescent="0.3">
      <c r="A619" t="s">
        <v>848</v>
      </c>
      <c r="B619" t="s">
        <v>849</v>
      </c>
      <c r="C619" t="str">
        <f>HYPERLINK("http://service.sap.com/sap/support/notes/1874275","1874275")</f>
        <v>1874275</v>
      </c>
      <c r="D619">
        <v>4</v>
      </c>
      <c r="E619" t="s">
        <v>855</v>
      </c>
      <c r="F619" t="s">
        <v>13</v>
      </c>
    </row>
    <row r="620" spans="1:6" x14ac:dyDescent="0.3">
      <c r="A620" t="s">
        <v>848</v>
      </c>
      <c r="B620" t="s">
        <v>849</v>
      </c>
      <c r="C620" t="str">
        <f>HYPERLINK("http://service.sap.com/sap/support/notes/1880920","1880920")</f>
        <v>1880920</v>
      </c>
      <c r="D620">
        <v>1</v>
      </c>
      <c r="E620" t="s">
        <v>856</v>
      </c>
      <c r="F620" t="s">
        <v>17</v>
      </c>
    </row>
    <row r="621" spans="1:6" x14ac:dyDescent="0.3">
      <c r="A621" t="s">
        <v>848</v>
      </c>
      <c r="B621" t="s">
        <v>849</v>
      </c>
      <c r="C621" t="str">
        <f>HYPERLINK("http://service.sap.com/sap/support/notes/1891594","1891594")</f>
        <v>1891594</v>
      </c>
      <c r="D621">
        <v>1</v>
      </c>
      <c r="E621" t="s">
        <v>857</v>
      </c>
      <c r="F621" t="s">
        <v>13</v>
      </c>
    </row>
    <row r="622" spans="1:6" x14ac:dyDescent="0.3">
      <c r="A622" t="s">
        <v>848</v>
      </c>
      <c r="B622" t="s">
        <v>849</v>
      </c>
      <c r="C622" t="str">
        <f>HYPERLINK("http://service.sap.com/sap/support/notes/1896855","1896855")</f>
        <v>1896855</v>
      </c>
      <c r="D622">
        <v>1</v>
      </c>
      <c r="E622" t="s">
        <v>858</v>
      </c>
      <c r="F622" t="s">
        <v>13</v>
      </c>
    </row>
    <row r="623" spans="1:6" x14ac:dyDescent="0.3">
      <c r="A623" t="s">
        <v>848</v>
      </c>
      <c r="B623" t="s">
        <v>849</v>
      </c>
      <c r="C623" t="str">
        <f>HYPERLINK("http://service.sap.com/sap/support/notes/1897295","1897295")</f>
        <v>1897295</v>
      </c>
      <c r="D623">
        <v>1</v>
      </c>
      <c r="E623" t="s">
        <v>859</v>
      </c>
      <c r="F623" t="s">
        <v>13</v>
      </c>
    </row>
    <row r="624" spans="1:6" x14ac:dyDescent="0.3">
      <c r="A624" t="s">
        <v>848</v>
      </c>
      <c r="B624" t="s">
        <v>849</v>
      </c>
      <c r="C624" t="str">
        <f>HYPERLINK("http://service.sap.com/sap/support/notes/1908646","1908646")</f>
        <v>1908646</v>
      </c>
      <c r="D624">
        <v>5</v>
      </c>
      <c r="E624" t="s">
        <v>860</v>
      </c>
      <c r="F624" t="s">
        <v>13</v>
      </c>
    </row>
    <row r="625" spans="1:6" x14ac:dyDescent="0.3">
      <c r="A625" t="s">
        <v>861</v>
      </c>
      <c r="B625" t="s">
        <v>862</v>
      </c>
      <c r="C625" t="str">
        <f>HYPERLINK("http://service.sap.com/sap/support/notes/1881126","1881126")</f>
        <v>1881126</v>
      </c>
      <c r="D625">
        <v>1</v>
      </c>
      <c r="E625" t="s">
        <v>863</v>
      </c>
      <c r="F625" t="s">
        <v>17</v>
      </c>
    </row>
    <row r="626" spans="1:6" x14ac:dyDescent="0.3">
      <c r="A626" t="s">
        <v>861</v>
      </c>
      <c r="B626" t="s">
        <v>862</v>
      </c>
      <c r="C626" t="str">
        <f>HYPERLINK("http://service.sap.com/sap/support/notes/1881739","1881739")</f>
        <v>1881739</v>
      </c>
      <c r="D626">
        <v>1</v>
      </c>
      <c r="E626" t="s">
        <v>864</v>
      </c>
      <c r="F626" t="s">
        <v>11</v>
      </c>
    </row>
    <row r="627" spans="1:6" x14ac:dyDescent="0.3">
      <c r="A627" t="s">
        <v>861</v>
      </c>
      <c r="B627" t="s">
        <v>862</v>
      </c>
      <c r="C627" t="str">
        <f>HYPERLINK("http://service.sap.com/sap/support/notes/1894468","1894468")</f>
        <v>1894468</v>
      </c>
      <c r="D627">
        <v>2</v>
      </c>
      <c r="E627" t="s">
        <v>865</v>
      </c>
      <c r="F627" t="s">
        <v>17</v>
      </c>
    </row>
    <row r="628" spans="1:6" x14ac:dyDescent="0.3">
      <c r="A628" t="s">
        <v>861</v>
      </c>
      <c r="B628" t="s">
        <v>862</v>
      </c>
      <c r="C628" t="str">
        <f>HYPERLINK("http://service.sap.com/sap/support/notes/1903159","1903159")</f>
        <v>1903159</v>
      </c>
      <c r="D628">
        <v>2</v>
      </c>
      <c r="E628" t="s">
        <v>866</v>
      </c>
      <c r="F628" t="s">
        <v>11</v>
      </c>
    </row>
    <row r="629" spans="1:6" x14ac:dyDescent="0.3">
      <c r="A629" t="s">
        <v>867</v>
      </c>
      <c r="B629" t="s">
        <v>868</v>
      </c>
      <c r="C629" t="str">
        <f>HYPERLINK("http://service.sap.com/sap/support/notes/1873174","1873174")</f>
        <v>1873174</v>
      </c>
      <c r="D629">
        <v>1</v>
      </c>
      <c r="E629" t="s">
        <v>869</v>
      </c>
      <c r="F629" t="s">
        <v>17</v>
      </c>
    </row>
    <row r="630" spans="1:6" x14ac:dyDescent="0.3">
      <c r="A630" t="s">
        <v>867</v>
      </c>
      <c r="B630" t="s">
        <v>868</v>
      </c>
      <c r="C630" t="str">
        <f>HYPERLINK("http://service.sap.com/sap/support/notes/1906907","1906907")</f>
        <v>1906907</v>
      </c>
      <c r="D630">
        <v>1</v>
      </c>
      <c r="E630" t="s">
        <v>870</v>
      </c>
      <c r="F630" t="s">
        <v>17</v>
      </c>
    </row>
    <row r="631" spans="1:6" x14ac:dyDescent="0.3">
      <c r="A631" t="s">
        <v>871</v>
      </c>
      <c r="B631" t="s">
        <v>872</v>
      </c>
    </row>
    <row r="632" spans="1:6" x14ac:dyDescent="0.3">
      <c r="A632" t="s">
        <v>873</v>
      </c>
      <c r="B632" t="s">
        <v>874</v>
      </c>
      <c r="C632" t="str">
        <f>HYPERLINK("http://service.sap.com/sap/support/notes/1868080","1868080")</f>
        <v>1868080</v>
      </c>
      <c r="D632">
        <v>3</v>
      </c>
      <c r="E632" t="s">
        <v>875</v>
      </c>
      <c r="F632" t="s">
        <v>17</v>
      </c>
    </row>
    <row r="633" spans="1:6" x14ac:dyDescent="0.3">
      <c r="A633" t="s">
        <v>873</v>
      </c>
      <c r="B633" t="s">
        <v>874</v>
      </c>
      <c r="C633" t="str">
        <f>HYPERLINK("http://service.sap.com/sap/support/notes/1868151","1868151")</f>
        <v>1868151</v>
      </c>
      <c r="D633">
        <v>1</v>
      </c>
      <c r="E633" t="s">
        <v>876</v>
      </c>
      <c r="F633" t="s">
        <v>17</v>
      </c>
    </row>
    <row r="634" spans="1:6" x14ac:dyDescent="0.3">
      <c r="A634" t="s">
        <v>873</v>
      </c>
      <c r="B634" t="s">
        <v>874</v>
      </c>
      <c r="C634" t="str">
        <f>HYPERLINK("http://service.sap.com/sap/support/notes/1873054","1873054")</f>
        <v>1873054</v>
      </c>
      <c r="D634">
        <v>1</v>
      </c>
      <c r="E634" t="s">
        <v>877</v>
      </c>
      <c r="F634" t="s">
        <v>13</v>
      </c>
    </row>
    <row r="635" spans="1:6" x14ac:dyDescent="0.3">
      <c r="A635" t="s">
        <v>873</v>
      </c>
      <c r="B635" t="s">
        <v>874</v>
      </c>
      <c r="C635" t="str">
        <f>HYPERLINK("http://service.sap.com/sap/support/notes/1878028","1878028")</f>
        <v>1878028</v>
      </c>
      <c r="D635">
        <v>2</v>
      </c>
      <c r="E635" t="s">
        <v>878</v>
      </c>
      <c r="F635" t="s">
        <v>11</v>
      </c>
    </row>
    <row r="636" spans="1:6" x14ac:dyDescent="0.3">
      <c r="A636" t="s">
        <v>873</v>
      </c>
      <c r="B636" t="s">
        <v>874</v>
      </c>
      <c r="C636" t="str">
        <f>HYPERLINK("http://service.sap.com/sap/support/notes/1880453","1880453")</f>
        <v>1880453</v>
      </c>
      <c r="D636">
        <v>1</v>
      </c>
      <c r="E636" t="s">
        <v>879</v>
      </c>
      <c r="F636" t="s">
        <v>13</v>
      </c>
    </row>
    <row r="637" spans="1:6" x14ac:dyDescent="0.3">
      <c r="A637" t="s">
        <v>873</v>
      </c>
      <c r="B637" t="s">
        <v>874</v>
      </c>
      <c r="C637" t="str">
        <f>HYPERLINK("http://service.sap.com/sap/support/notes/1891452","1891452")</f>
        <v>1891452</v>
      </c>
      <c r="D637">
        <v>6</v>
      </c>
      <c r="E637" t="s">
        <v>880</v>
      </c>
      <c r="F637" t="s">
        <v>11</v>
      </c>
    </row>
    <row r="638" spans="1:6" x14ac:dyDescent="0.3">
      <c r="A638" t="s">
        <v>873</v>
      </c>
      <c r="B638" t="s">
        <v>874</v>
      </c>
      <c r="C638" t="str">
        <f>HYPERLINK("http://service.sap.com/sap/support/notes/1892227","1892227")</f>
        <v>1892227</v>
      </c>
      <c r="D638">
        <v>1</v>
      </c>
      <c r="E638" t="s">
        <v>881</v>
      </c>
      <c r="F638" t="s">
        <v>13</v>
      </c>
    </row>
    <row r="639" spans="1:6" x14ac:dyDescent="0.3">
      <c r="A639" t="s">
        <v>873</v>
      </c>
      <c r="B639" t="s">
        <v>874</v>
      </c>
      <c r="C639" t="str">
        <f>HYPERLINK("http://service.sap.com/sap/support/notes/1898410","1898410")</f>
        <v>1898410</v>
      </c>
      <c r="D639">
        <v>2</v>
      </c>
      <c r="E639" t="s">
        <v>882</v>
      </c>
      <c r="F639" t="s">
        <v>17</v>
      </c>
    </row>
    <row r="640" spans="1:6" x14ac:dyDescent="0.3">
      <c r="A640" t="s">
        <v>873</v>
      </c>
      <c r="B640" t="s">
        <v>874</v>
      </c>
      <c r="C640" t="str">
        <f>HYPERLINK("http://service.sap.com/sap/support/notes/1901715","1901715")</f>
        <v>1901715</v>
      </c>
      <c r="D640">
        <v>4</v>
      </c>
      <c r="E640" t="s">
        <v>883</v>
      </c>
      <c r="F640" t="s">
        <v>17</v>
      </c>
    </row>
    <row r="641" spans="1:6" x14ac:dyDescent="0.3">
      <c r="A641" t="s">
        <v>873</v>
      </c>
      <c r="B641" t="s">
        <v>874</v>
      </c>
      <c r="C641" t="str">
        <f>HYPERLINK("http://service.sap.com/sap/support/notes/1901832","1901832")</f>
        <v>1901832</v>
      </c>
      <c r="D641">
        <v>1</v>
      </c>
      <c r="E641" t="s">
        <v>884</v>
      </c>
      <c r="F641" t="s">
        <v>17</v>
      </c>
    </row>
    <row r="642" spans="1:6" x14ac:dyDescent="0.3">
      <c r="A642" t="s">
        <v>873</v>
      </c>
      <c r="B642" t="s">
        <v>874</v>
      </c>
      <c r="C642" t="str">
        <f>HYPERLINK("http://service.sap.com/sap/support/notes/1903014","1903014")</f>
        <v>1903014</v>
      </c>
      <c r="D642">
        <v>1</v>
      </c>
      <c r="E642" t="s">
        <v>885</v>
      </c>
      <c r="F642" t="s">
        <v>17</v>
      </c>
    </row>
    <row r="643" spans="1:6" x14ac:dyDescent="0.3">
      <c r="A643" t="s">
        <v>873</v>
      </c>
      <c r="B643" t="s">
        <v>874</v>
      </c>
      <c r="C643" t="str">
        <f>HYPERLINK("http://service.sap.com/sap/support/notes/1913617","1913617")</f>
        <v>1913617</v>
      </c>
      <c r="D643">
        <v>1</v>
      </c>
      <c r="E643" t="s">
        <v>886</v>
      </c>
      <c r="F643" t="s">
        <v>17</v>
      </c>
    </row>
    <row r="644" spans="1:6" x14ac:dyDescent="0.3">
      <c r="A644" t="s">
        <v>887</v>
      </c>
      <c r="B644" t="s">
        <v>888</v>
      </c>
      <c r="C644" t="str">
        <f>HYPERLINK("http://service.sap.com/sap/support/notes/855538","855538")</f>
        <v>855538</v>
      </c>
      <c r="D644">
        <v>1</v>
      </c>
      <c r="E644" t="s">
        <v>889</v>
      </c>
      <c r="F644" t="s">
        <v>13</v>
      </c>
    </row>
    <row r="645" spans="1:6" x14ac:dyDescent="0.3">
      <c r="A645" t="s">
        <v>887</v>
      </c>
      <c r="B645" t="s">
        <v>888</v>
      </c>
      <c r="C645" t="str">
        <f>HYPERLINK("http://service.sap.com/sap/support/notes/1836003","1836003")</f>
        <v>1836003</v>
      </c>
      <c r="D645">
        <v>3</v>
      </c>
      <c r="E645" t="s">
        <v>890</v>
      </c>
      <c r="F645" t="s">
        <v>11</v>
      </c>
    </row>
    <row r="646" spans="1:6" x14ac:dyDescent="0.3">
      <c r="A646" t="s">
        <v>887</v>
      </c>
      <c r="B646" t="s">
        <v>888</v>
      </c>
      <c r="C646" t="str">
        <f>HYPERLINK("http://service.sap.com/sap/support/notes/1836497","1836497")</f>
        <v>1836497</v>
      </c>
      <c r="D646">
        <v>2</v>
      </c>
      <c r="E646" t="s">
        <v>891</v>
      </c>
      <c r="F646" t="s">
        <v>11</v>
      </c>
    </row>
    <row r="647" spans="1:6" x14ac:dyDescent="0.3">
      <c r="A647" t="s">
        <v>887</v>
      </c>
      <c r="B647" t="s">
        <v>888</v>
      </c>
      <c r="C647" t="str">
        <f>HYPERLINK("http://service.sap.com/sap/support/notes/1839790","1839790")</f>
        <v>1839790</v>
      </c>
      <c r="D647">
        <v>2</v>
      </c>
      <c r="E647" t="s">
        <v>892</v>
      </c>
      <c r="F647" t="s">
        <v>17</v>
      </c>
    </row>
    <row r="648" spans="1:6" x14ac:dyDescent="0.3">
      <c r="A648" t="s">
        <v>887</v>
      </c>
      <c r="B648" t="s">
        <v>888</v>
      </c>
      <c r="C648" t="str">
        <f>HYPERLINK("http://service.sap.com/sap/support/notes/1863577","1863577")</f>
        <v>1863577</v>
      </c>
      <c r="D648">
        <v>3</v>
      </c>
      <c r="E648" t="s">
        <v>893</v>
      </c>
      <c r="F648" t="s">
        <v>17</v>
      </c>
    </row>
    <row r="649" spans="1:6" x14ac:dyDescent="0.3">
      <c r="A649" t="s">
        <v>887</v>
      </c>
      <c r="B649" t="s">
        <v>888</v>
      </c>
      <c r="C649" t="str">
        <f>HYPERLINK("http://service.sap.com/sap/support/notes/1864075","1864075")</f>
        <v>1864075</v>
      </c>
      <c r="D649">
        <v>2</v>
      </c>
      <c r="E649" t="s">
        <v>894</v>
      </c>
      <c r="F649" t="s">
        <v>13</v>
      </c>
    </row>
    <row r="650" spans="1:6" x14ac:dyDescent="0.3">
      <c r="A650" t="s">
        <v>887</v>
      </c>
      <c r="B650" t="s">
        <v>888</v>
      </c>
      <c r="C650" t="str">
        <f>HYPERLINK("http://service.sap.com/sap/support/notes/1868129","1868129")</f>
        <v>1868129</v>
      </c>
      <c r="D650">
        <v>1</v>
      </c>
      <c r="E650" t="s">
        <v>895</v>
      </c>
      <c r="F650" t="s">
        <v>17</v>
      </c>
    </row>
    <row r="651" spans="1:6" x14ac:dyDescent="0.3">
      <c r="A651" t="s">
        <v>887</v>
      </c>
      <c r="B651" t="s">
        <v>888</v>
      </c>
      <c r="C651" t="str">
        <f>HYPERLINK("http://service.sap.com/sap/support/notes/1869141","1869141")</f>
        <v>1869141</v>
      </c>
      <c r="D651">
        <v>2</v>
      </c>
      <c r="E651" t="s">
        <v>896</v>
      </c>
      <c r="F651" t="s">
        <v>13</v>
      </c>
    </row>
    <row r="652" spans="1:6" x14ac:dyDescent="0.3">
      <c r="A652" t="s">
        <v>887</v>
      </c>
      <c r="B652" t="s">
        <v>888</v>
      </c>
      <c r="C652" t="str">
        <f>HYPERLINK("http://service.sap.com/sap/support/notes/1869323","1869323")</f>
        <v>1869323</v>
      </c>
      <c r="D652">
        <v>1</v>
      </c>
      <c r="E652" t="s">
        <v>897</v>
      </c>
      <c r="F652" t="s">
        <v>13</v>
      </c>
    </row>
    <row r="653" spans="1:6" x14ac:dyDescent="0.3">
      <c r="A653" t="s">
        <v>887</v>
      </c>
      <c r="B653" t="s">
        <v>888</v>
      </c>
      <c r="C653" t="str">
        <f>HYPERLINK("http://service.sap.com/sap/support/notes/1870443","1870443")</f>
        <v>1870443</v>
      </c>
      <c r="D653">
        <v>1</v>
      </c>
      <c r="E653" t="s">
        <v>898</v>
      </c>
      <c r="F653" t="s">
        <v>17</v>
      </c>
    </row>
    <row r="654" spans="1:6" x14ac:dyDescent="0.3">
      <c r="A654" t="s">
        <v>887</v>
      </c>
      <c r="B654" t="s">
        <v>888</v>
      </c>
      <c r="C654" t="str">
        <f>HYPERLINK("http://service.sap.com/sap/support/notes/1884015","1884015")</f>
        <v>1884015</v>
      </c>
      <c r="D654">
        <v>1</v>
      </c>
      <c r="E654" t="s">
        <v>899</v>
      </c>
      <c r="F654" t="s">
        <v>17</v>
      </c>
    </row>
    <row r="655" spans="1:6" x14ac:dyDescent="0.3">
      <c r="A655" t="s">
        <v>887</v>
      </c>
      <c r="B655" t="s">
        <v>888</v>
      </c>
      <c r="C655" t="str">
        <f>HYPERLINK("http://service.sap.com/sap/support/notes/1885352","1885352")</f>
        <v>1885352</v>
      </c>
      <c r="D655">
        <v>1</v>
      </c>
      <c r="E655" t="s">
        <v>900</v>
      </c>
      <c r="F655" t="s">
        <v>17</v>
      </c>
    </row>
    <row r="656" spans="1:6" x14ac:dyDescent="0.3">
      <c r="A656" t="s">
        <v>887</v>
      </c>
      <c r="B656" t="s">
        <v>888</v>
      </c>
      <c r="C656" t="str">
        <f>HYPERLINK("http://service.sap.com/sap/support/notes/1886379","1886379")</f>
        <v>1886379</v>
      </c>
      <c r="D656">
        <v>1</v>
      </c>
      <c r="E656" t="s">
        <v>901</v>
      </c>
      <c r="F656" t="s">
        <v>17</v>
      </c>
    </row>
    <row r="657" spans="1:6" x14ac:dyDescent="0.3">
      <c r="A657" t="s">
        <v>887</v>
      </c>
      <c r="B657" t="s">
        <v>888</v>
      </c>
      <c r="C657" t="str">
        <f>HYPERLINK("http://service.sap.com/sap/support/notes/1889577","1889577")</f>
        <v>1889577</v>
      </c>
      <c r="D657">
        <v>1</v>
      </c>
      <c r="E657" t="s">
        <v>902</v>
      </c>
      <c r="F657" t="s">
        <v>13</v>
      </c>
    </row>
    <row r="658" spans="1:6" x14ac:dyDescent="0.3">
      <c r="A658" t="s">
        <v>887</v>
      </c>
      <c r="B658" t="s">
        <v>888</v>
      </c>
      <c r="C658" t="str">
        <f>HYPERLINK("http://service.sap.com/sap/support/notes/1894525","1894525")</f>
        <v>1894525</v>
      </c>
      <c r="D658">
        <v>2</v>
      </c>
      <c r="E658" t="s">
        <v>903</v>
      </c>
      <c r="F658" t="s">
        <v>11</v>
      </c>
    </row>
    <row r="659" spans="1:6" x14ac:dyDescent="0.3">
      <c r="A659" t="s">
        <v>887</v>
      </c>
      <c r="B659" t="s">
        <v>888</v>
      </c>
      <c r="C659" t="str">
        <f>HYPERLINK("http://service.sap.com/sap/support/notes/1899649","1899649")</f>
        <v>1899649</v>
      </c>
      <c r="D659">
        <v>1</v>
      </c>
      <c r="E659" t="s">
        <v>904</v>
      </c>
      <c r="F659" t="s">
        <v>17</v>
      </c>
    </row>
    <row r="660" spans="1:6" x14ac:dyDescent="0.3">
      <c r="A660" t="s">
        <v>887</v>
      </c>
      <c r="B660" t="s">
        <v>888</v>
      </c>
      <c r="C660" t="str">
        <f>HYPERLINK("http://service.sap.com/sap/support/notes/1911197","1911197")</f>
        <v>1911197</v>
      </c>
      <c r="D660">
        <v>1</v>
      </c>
      <c r="E660" t="s">
        <v>905</v>
      </c>
      <c r="F660" t="s">
        <v>17</v>
      </c>
    </row>
    <row r="661" spans="1:6" x14ac:dyDescent="0.3">
      <c r="A661" t="s">
        <v>906</v>
      </c>
      <c r="B661" t="s">
        <v>346</v>
      </c>
      <c r="C661" t="str">
        <f>HYPERLINK("http://service.sap.com/sap/support/notes/1909286","1909286")</f>
        <v>1909286</v>
      </c>
      <c r="D661">
        <v>1</v>
      </c>
      <c r="E661" t="s">
        <v>907</v>
      </c>
      <c r="F661" t="s">
        <v>17</v>
      </c>
    </row>
    <row r="662" spans="1:6" x14ac:dyDescent="0.3">
      <c r="A662" t="s">
        <v>908</v>
      </c>
      <c r="B662" t="s">
        <v>909</v>
      </c>
      <c r="C662" t="str">
        <f>HYPERLINK("http://service.sap.com/sap/support/notes/1740377","1740377")</f>
        <v>1740377</v>
      </c>
      <c r="D662">
        <v>2</v>
      </c>
      <c r="E662" t="s">
        <v>910</v>
      </c>
      <c r="F662" t="s">
        <v>13</v>
      </c>
    </row>
    <row r="663" spans="1:6" x14ac:dyDescent="0.3">
      <c r="A663" t="s">
        <v>908</v>
      </c>
      <c r="B663" t="s">
        <v>909</v>
      </c>
      <c r="C663" t="str">
        <f>HYPERLINK("http://service.sap.com/sap/support/notes/1843641","1843641")</f>
        <v>1843641</v>
      </c>
      <c r="D663">
        <v>3</v>
      </c>
      <c r="E663" t="s">
        <v>911</v>
      </c>
      <c r="F663" t="s">
        <v>13</v>
      </c>
    </row>
    <row r="664" spans="1:6" x14ac:dyDescent="0.3">
      <c r="A664" t="s">
        <v>908</v>
      </c>
      <c r="B664" t="s">
        <v>909</v>
      </c>
      <c r="C664" t="str">
        <f>HYPERLINK("http://service.sap.com/sap/support/notes/1861035","1861035")</f>
        <v>1861035</v>
      </c>
      <c r="D664">
        <v>3</v>
      </c>
      <c r="E664" t="s">
        <v>912</v>
      </c>
      <c r="F664" t="s">
        <v>17</v>
      </c>
    </row>
    <row r="665" spans="1:6" x14ac:dyDescent="0.3">
      <c r="A665" t="s">
        <v>908</v>
      </c>
      <c r="B665" t="s">
        <v>909</v>
      </c>
      <c r="C665" t="str">
        <f>HYPERLINK("http://service.sap.com/sap/support/notes/1863875","1863875")</f>
        <v>1863875</v>
      </c>
      <c r="D665">
        <v>1</v>
      </c>
      <c r="E665" t="s">
        <v>913</v>
      </c>
      <c r="F665" t="s">
        <v>13</v>
      </c>
    </row>
    <row r="666" spans="1:6" x14ac:dyDescent="0.3">
      <c r="A666" t="s">
        <v>908</v>
      </c>
      <c r="B666" t="s">
        <v>909</v>
      </c>
      <c r="C666" t="str">
        <f>HYPERLINK("http://service.sap.com/sap/support/notes/1864049","1864049")</f>
        <v>1864049</v>
      </c>
      <c r="D666">
        <v>2</v>
      </c>
      <c r="E666" t="s">
        <v>914</v>
      </c>
      <c r="F666" t="s">
        <v>17</v>
      </c>
    </row>
    <row r="667" spans="1:6" x14ac:dyDescent="0.3">
      <c r="A667" t="s">
        <v>908</v>
      </c>
      <c r="B667" t="s">
        <v>909</v>
      </c>
      <c r="C667" t="str">
        <f>HYPERLINK("http://service.sap.com/sap/support/notes/1867862","1867862")</f>
        <v>1867862</v>
      </c>
      <c r="D667">
        <v>1</v>
      </c>
      <c r="E667" t="s">
        <v>915</v>
      </c>
      <c r="F667" t="s">
        <v>13</v>
      </c>
    </row>
    <row r="668" spans="1:6" x14ac:dyDescent="0.3">
      <c r="A668" t="s">
        <v>908</v>
      </c>
      <c r="B668" t="s">
        <v>909</v>
      </c>
      <c r="C668" t="str">
        <f>HYPERLINK("http://service.sap.com/sap/support/notes/1868510","1868510")</f>
        <v>1868510</v>
      </c>
      <c r="D668">
        <v>8</v>
      </c>
      <c r="E668" t="s">
        <v>916</v>
      </c>
      <c r="F668" t="s">
        <v>17</v>
      </c>
    </row>
    <row r="669" spans="1:6" x14ac:dyDescent="0.3">
      <c r="A669" t="s">
        <v>908</v>
      </c>
      <c r="B669" t="s">
        <v>909</v>
      </c>
      <c r="C669" t="str">
        <f>HYPERLINK("http://service.sap.com/sap/support/notes/1869725","1869725")</f>
        <v>1869725</v>
      </c>
      <c r="D669">
        <v>2</v>
      </c>
      <c r="E669" t="s">
        <v>917</v>
      </c>
      <c r="F669" t="s">
        <v>17</v>
      </c>
    </row>
    <row r="670" spans="1:6" x14ac:dyDescent="0.3">
      <c r="A670" t="s">
        <v>908</v>
      </c>
      <c r="B670" t="s">
        <v>909</v>
      </c>
      <c r="C670" t="str">
        <f>HYPERLINK("http://service.sap.com/sap/support/notes/1870487","1870487")</f>
        <v>1870487</v>
      </c>
      <c r="D670">
        <v>1</v>
      </c>
      <c r="E670" t="s">
        <v>918</v>
      </c>
      <c r="F670" t="s">
        <v>13</v>
      </c>
    </row>
    <row r="671" spans="1:6" x14ac:dyDescent="0.3">
      <c r="A671" t="s">
        <v>908</v>
      </c>
      <c r="B671" t="s">
        <v>909</v>
      </c>
      <c r="C671" t="str">
        <f>HYPERLINK("http://service.sap.com/sap/support/notes/1872345","1872345")</f>
        <v>1872345</v>
      </c>
      <c r="D671">
        <v>2</v>
      </c>
      <c r="E671" t="s">
        <v>919</v>
      </c>
      <c r="F671" t="s">
        <v>13</v>
      </c>
    </row>
    <row r="672" spans="1:6" x14ac:dyDescent="0.3">
      <c r="A672" t="s">
        <v>908</v>
      </c>
      <c r="B672" t="s">
        <v>909</v>
      </c>
      <c r="C672" t="str">
        <f>HYPERLINK("http://service.sap.com/sap/support/notes/1879688","1879688")</f>
        <v>1879688</v>
      </c>
      <c r="D672">
        <v>1</v>
      </c>
      <c r="E672" t="s">
        <v>920</v>
      </c>
      <c r="F672" t="s">
        <v>13</v>
      </c>
    </row>
    <row r="673" spans="1:6" x14ac:dyDescent="0.3">
      <c r="A673" t="s">
        <v>908</v>
      </c>
      <c r="B673" t="s">
        <v>909</v>
      </c>
      <c r="C673" t="str">
        <f>HYPERLINK("http://service.sap.com/sap/support/notes/1880267","1880267")</f>
        <v>1880267</v>
      </c>
      <c r="D673">
        <v>2</v>
      </c>
      <c r="E673" t="s">
        <v>921</v>
      </c>
      <c r="F673" t="s">
        <v>13</v>
      </c>
    </row>
    <row r="674" spans="1:6" x14ac:dyDescent="0.3">
      <c r="A674" t="s">
        <v>908</v>
      </c>
      <c r="B674" t="s">
        <v>909</v>
      </c>
      <c r="C674" t="str">
        <f>HYPERLINK("http://service.sap.com/sap/support/notes/1880304","1880304")</f>
        <v>1880304</v>
      </c>
      <c r="D674">
        <v>3</v>
      </c>
      <c r="E674" t="s">
        <v>922</v>
      </c>
      <c r="F674" t="s">
        <v>13</v>
      </c>
    </row>
    <row r="675" spans="1:6" x14ac:dyDescent="0.3">
      <c r="A675" t="s">
        <v>908</v>
      </c>
      <c r="B675" t="s">
        <v>909</v>
      </c>
      <c r="C675" t="str">
        <f>HYPERLINK("http://service.sap.com/sap/support/notes/1880311","1880311")</f>
        <v>1880311</v>
      </c>
      <c r="D675">
        <v>4</v>
      </c>
      <c r="E675" t="s">
        <v>923</v>
      </c>
      <c r="F675" t="s">
        <v>13</v>
      </c>
    </row>
    <row r="676" spans="1:6" x14ac:dyDescent="0.3">
      <c r="A676" t="s">
        <v>908</v>
      </c>
      <c r="B676" t="s">
        <v>909</v>
      </c>
      <c r="C676" t="str">
        <f>HYPERLINK("http://service.sap.com/sap/support/notes/1881570","1881570")</f>
        <v>1881570</v>
      </c>
      <c r="D676">
        <v>1</v>
      </c>
      <c r="E676" t="s">
        <v>924</v>
      </c>
      <c r="F676" t="s">
        <v>17</v>
      </c>
    </row>
    <row r="677" spans="1:6" x14ac:dyDescent="0.3">
      <c r="A677" t="s">
        <v>908</v>
      </c>
      <c r="B677" t="s">
        <v>909</v>
      </c>
      <c r="C677" t="str">
        <f>HYPERLINK("http://service.sap.com/sap/support/notes/1897667","1897667")</f>
        <v>1897667</v>
      </c>
      <c r="D677">
        <v>1</v>
      </c>
      <c r="E677" t="s">
        <v>925</v>
      </c>
      <c r="F677" t="s">
        <v>17</v>
      </c>
    </row>
    <row r="678" spans="1:6" x14ac:dyDescent="0.3">
      <c r="A678" t="s">
        <v>908</v>
      </c>
      <c r="B678" t="s">
        <v>909</v>
      </c>
      <c r="C678" t="str">
        <f>HYPERLINK("http://service.sap.com/sap/support/notes/1902511","1902511")</f>
        <v>1902511</v>
      </c>
      <c r="D678">
        <v>1</v>
      </c>
      <c r="E678" t="s">
        <v>926</v>
      </c>
      <c r="F678" t="s">
        <v>13</v>
      </c>
    </row>
    <row r="679" spans="1:6" x14ac:dyDescent="0.3">
      <c r="A679" t="s">
        <v>908</v>
      </c>
      <c r="B679" t="s">
        <v>909</v>
      </c>
      <c r="C679" t="str">
        <f>HYPERLINK("http://service.sap.com/sap/support/notes/1905672","1905672")</f>
        <v>1905672</v>
      </c>
      <c r="D679">
        <v>1</v>
      </c>
      <c r="E679" t="s">
        <v>927</v>
      </c>
      <c r="F679" t="s">
        <v>13</v>
      </c>
    </row>
    <row r="680" spans="1:6" x14ac:dyDescent="0.3">
      <c r="A680" t="s">
        <v>908</v>
      </c>
      <c r="B680" t="s">
        <v>909</v>
      </c>
      <c r="C680" t="str">
        <f>HYPERLINK("http://service.sap.com/sap/support/notes/1910022","1910022")</f>
        <v>1910022</v>
      </c>
      <c r="D680">
        <v>1</v>
      </c>
      <c r="E680" t="s">
        <v>928</v>
      </c>
      <c r="F680" t="s">
        <v>17</v>
      </c>
    </row>
    <row r="681" spans="1:6" x14ac:dyDescent="0.3">
      <c r="A681" t="s">
        <v>929</v>
      </c>
      <c r="B681" t="s">
        <v>930</v>
      </c>
      <c r="C681" t="str">
        <f>HYPERLINK("http://service.sap.com/sap/support/notes/1833424","1833424")</f>
        <v>1833424</v>
      </c>
      <c r="D681">
        <v>3</v>
      </c>
      <c r="E681" t="s">
        <v>931</v>
      </c>
      <c r="F681" t="s">
        <v>17</v>
      </c>
    </row>
    <row r="682" spans="1:6" x14ac:dyDescent="0.3">
      <c r="A682" t="s">
        <v>929</v>
      </c>
      <c r="B682" t="s">
        <v>930</v>
      </c>
      <c r="C682" t="str">
        <f>HYPERLINK("http://service.sap.com/sap/support/notes/1859503","1859503")</f>
        <v>1859503</v>
      </c>
      <c r="D682">
        <v>1</v>
      </c>
      <c r="E682" t="s">
        <v>931</v>
      </c>
      <c r="F682" t="s">
        <v>17</v>
      </c>
    </row>
    <row r="683" spans="1:6" x14ac:dyDescent="0.3">
      <c r="A683" t="s">
        <v>929</v>
      </c>
      <c r="B683" t="s">
        <v>930</v>
      </c>
      <c r="C683" t="str">
        <f>HYPERLINK("http://service.sap.com/sap/support/notes/1916103","1916103")</f>
        <v>1916103</v>
      </c>
      <c r="D683">
        <v>2</v>
      </c>
      <c r="E683" t="s">
        <v>932</v>
      </c>
      <c r="F683" t="s">
        <v>17</v>
      </c>
    </row>
    <row r="684" spans="1:6" x14ac:dyDescent="0.3">
      <c r="A684" t="s">
        <v>933</v>
      </c>
      <c r="B684" t="s">
        <v>733</v>
      </c>
      <c r="C684" t="str">
        <f>HYPERLINK("http://service.sap.com/sap/support/notes/1857140","1857140")</f>
        <v>1857140</v>
      </c>
      <c r="D684">
        <v>2</v>
      </c>
      <c r="E684" t="s">
        <v>934</v>
      </c>
      <c r="F684" t="s">
        <v>17</v>
      </c>
    </row>
    <row r="685" spans="1:6" x14ac:dyDescent="0.3">
      <c r="A685" t="s">
        <v>933</v>
      </c>
      <c r="B685" t="s">
        <v>733</v>
      </c>
      <c r="C685" t="str">
        <f>HYPERLINK("http://service.sap.com/sap/support/notes/1857145","1857145")</f>
        <v>1857145</v>
      </c>
      <c r="D685">
        <v>2</v>
      </c>
      <c r="E685" t="s">
        <v>935</v>
      </c>
      <c r="F685" t="s">
        <v>13</v>
      </c>
    </row>
    <row r="686" spans="1:6" x14ac:dyDescent="0.3">
      <c r="A686" t="s">
        <v>933</v>
      </c>
      <c r="B686" t="s">
        <v>733</v>
      </c>
      <c r="C686" t="str">
        <f>HYPERLINK("http://service.sap.com/sap/support/notes/1874219","1874219")</f>
        <v>1874219</v>
      </c>
      <c r="D686">
        <v>1</v>
      </c>
      <c r="E686" t="s">
        <v>936</v>
      </c>
      <c r="F686" t="s">
        <v>13</v>
      </c>
    </row>
    <row r="687" spans="1:6" x14ac:dyDescent="0.3">
      <c r="A687" t="s">
        <v>933</v>
      </c>
      <c r="B687" t="s">
        <v>733</v>
      </c>
      <c r="C687" t="str">
        <f>HYPERLINK("http://service.sap.com/sap/support/notes/1875681","1875681")</f>
        <v>1875681</v>
      </c>
      <c r="D687">
        <v>1</v>
      </c>
      <c r="E687" t="s">
        <v>937</v>
      </c>
      <c r="F687" t="s">
        <v>13</v>
      </c>
    </row>
    <row r="688" spans="1:6" x14ac:dyDescent="0.3">
      <c r="A688" t="s">
        <v>933</v>
      </c>
      <c r="B688" t="s">
        <v>733</v>
      </c>
      <c r="C688" t="str">
        <f>HYPERLINK("http://service.sap.com/sap/support/notes/1876483","1876483")</f>
        <v>1876483</v>
      </c>
      <c r="D688">
        <v>2</v>
      </c>
      <c r="E688" t="s">
        <v>938</v>
      </c>
      <c r="F688" t="s">
        <v>13</v>
      </c>
    </row>
    <row r="689" spans="1:6" x14ac:dyDescent="0.3">
      <c r="A689" t="s">
        <v>933</v>
      </c>
      <c r="B689" t="s">
        <v>733</v>
      </c>
      <c r="C689" t="str">
        <f>HYPERLINK("http://service.sap.com/sap/support/notes/1878575","1878575")</f>
        <v>1878575</v>
      </c>
      <c r="D689">
        <v>2</v>
      </c>
      <c r="E689" t="s">
        <v>939</v>
      </c>
      <c r="F689" t="s">
        <v>13</v>
      </c>
    </row>
    <row r="690" spans="1:6" x14ac:dyDescent="0.3">
      <c r="A690" t="s">
        <v>933</v>
      </c>
      <c r="B690" t="s">
        <v>733</v>
      </c>
      <c r="C690" t="str">
        <f>HYPERLINK("http://service.sap.com/sap/support/notes/1879803","1879803")</f>
        <v>1879803</v>
      </c>
      <c r="D690">
        <v>3</v>
      </c>
      <c r="E690" t="s">
        <v>940</v>
      </c>
      <c r="F690" t="s">
        <v>11</v>
      </c>
    </row>
    <row r="691" spans="1:6" x14ac:dyDescent="0.3">
      <c r="A691" t="s">
        <v>933</v>
      </c>
      <c r="B691" t="s">
        <v>733</v>
      </c>
      <c r="C691" t="str">
        <f>HYPERLINK("http://service.sap.com/sap/support/notes/1879807","1879807")</f>
        <v>1879807</v>
      </c>
      <c r="D691">
        <v>3</v>
      </c>
      <c r="E691" t="s">
        <v>940</v>
      </c>
      <c r="F691" t="s">
        <v>11</v>
      </c>
    </row>
    <row r="692" spans="1:6" x14ac:dyDescent="0.3">
      <c r="A692" t="s">
        <v>933</v>
      </c>
      <c r="B692" t="s">
        <v>733</v>
      </c>
      <c r="C692" t="str">
        <f>HYPERLINK("http://service.sap.com/sap/support/notes/1891599","1891599")</f>
        <v>1891599</v>
      </c>
      <c r="D692">
        <v>2</v>
      </c>
      <c r="E692" t="s">
        <v>941</v>
      </c>
      <c r="F692" t="s">
        <v>11</v>
      </c>
    </row>
    <row r="693" spans="1:6" x14ac:dyDescent="0.3">
      <c r="A693" t="s">
        <v>942</v>
      </c>
      <c r="B693" t="s">
        <v>943</v>
      </c>
      <c r="C693" t="str">
        <f>HYPERLINK("http://service.sap.com/sap/support/notes/1778001","1778001")</f>
        <v>1778001</v>
      </c>
      <c r="D693">
        <v>3</v>
      </c>
      <c r="E693" t="s">
        <v>944</v>
      </c>
      <c r="F693" t="s">
        <v>13</v>
      </c>
    </row>
    <row r="694" spans="1:6" x14ac:dyDescent="0.3">
      <c r="A694" t="s">
        <v>942</v>
      </c>
      <c r="B694" t="s">
        <v>943</v>
      </c>
      <c r="C694" t="str">
        <f>HYPERLINK("http://service.sap.com/sap/support/notes/1793362","1793362")</f>
        <v>1793362</v>
      </c>
      <c r="D694">
        <v>2</v>
      </c>
      <c r="E694" t="s">
        <v>945</v>
      </c>
      <c r="F694" t="s">
        <v>13</v>
      </c>
    </row>
    <row r="695" spans="1:6" x14ac:dyDescent="0.3">
      <c r="A695" t="s">
        <v>942</v>
      </c>
      <c r="B695" t="s">
        <v>943</v>
      </c>
      <c r="C695" t="str">
        <f>HYPERLINK("http://service.sap.com/sap/support/notes/1845209","1845209")</f>
        <v>1845209</v>
      </c>
      <c r="D695">
        <v>10</v>
      </c>
      <c r="E695" t="s">
        <v>946</v>
      </c>
      <c r="F695" t="s">
        <v>17</v>
      </c>
    </row>
    <row r="696" spans="1:6" x14ac:dyDescent="0.3">
      <c r="A696" t="s">
        <v>942</v>
      </c>
      <c r="B696" t="s">
        <v>943</v>
      </c>
      <c r="C696" t="str">
        <f>HYPERLINK("http://service.sap.com/sap/support/notes/1845598","1845598")</f>
        <v>1845598</v>
      </c>
      <c r="D696">
        <v>5</v>
      </c>
      <c r="E696" t="s">
        <v>947</v>
      </c>
      <c r="F696" t="s">
        <v>11</v>
      </c>
    </row>
    <row r="697" spans="1:6" x14ac:dyDescent="0.3">
      <c r="A697" t="s">
        <v>942</v>
      </c>
      <c r="B697" t="s">
        <v>943</v>
      </c>
      <c r="C697" t="str">
        <f>HYPERLINK("http://service.sap.com/sap/support/notes/1856376","1856376")</f>
        <v>1856376</v>
      </c>
      <c r="D697">
        <v>3</v>
      </c>
      <c r="E697" t="s">
        <v>948</v>
      </c>
      <c r="F697" t="s">
        <v>11</v>
      </c>
    </row>
    <row r="698" spans="1:6" x14ac:dyDescent="0.3">
      <c r="A698" t="s">
        <v>942</v>
      </c>
      <c r="B698" t="s">
        <v>943</v>
      </c>
      <c r="C698" t="str">
        <f>HYPERLINK("http://service.sap.com/sap/support/notes/1858398","1858398")</f>
        <v>1858398</v>
      </c>
      <c r="D698">
        <v>1</v>
      </c>
      <c r="E698" t="s">
        <v>949</v>
      </c>
      <c r="F698" t="s">
        <v>13</v>
      </c>
    </row>
    <row r="699" spans="1:6" x14ac:dyDescent="0.3">
      <c r="A699" t="s">
        <v>942</v>
      </c>
      <c r="B699" t="s">
        <v>943</v>
      </c>
      <c r="C699" t="str">
        <f>HYPERLINK("http://service.sap.com/sap/support/notes/1861569","1861569")</f>
        <v>1861569</v>
      </c>
      <c r="D699">
        <v>6</v>
      </c>
      <c r="E699" t="s">
        <v>950</v>
      </c>
      <c r="F699" t="s">
        <v>11</v>
      </c>
    </row>
    <row r="700" spans="1:6" x14ac:dyDescent="0.3">
      <c r="A700" t="s">
        <v>942</v>
      </c>
      <c r="B700" t="s">
        <v>943</v>
      </c>
      <c r="C700" t="str">
        <f>HYPERLINK("http://service.sap.com/sap/support/notes/1868787","1868787")</f>
        <v>1868787</v>
      </c>
      <c r="D700">
        <v>2</v>
      </c>
      <c r="E700" t="s">
        <v>951</v>
      </c>
      <c r="F700" t="s">
        <v>17</v>
      </c>
    </row>
    <row r="701" spans="1:6" x14ac:dyDescent="0.3">
      <c r="A701" t="s">
        <v>942</v>
      </c>
      <c r="B701" t="s">
        <v>943</v>
      </c>
      <c r="C701" t="str">
        <f>HYPERLINK("http://service.sap.com/sap/support/notes/1870995","1870995")</f>
        <v>1870995</v>
      </c>
      <c r="D701">
        <v>10</v>
      </c>
      <c r="E701" t="s">
        <v>952</v>
      </c>
      <c r="F701" t="s">
        <v>17</v>
      </c>
    </row>
    <row r="702" spans="1:6" x14ac:dyDescent="0.3">
      <c r="A702" t="s">
        <v>942</v>
      </c>
      <c r="B702" t="s">
        <v>943</v>
      </c>
      <c r="C702" t="str">
        <f>HYPERLINK("http://service.sap.com/sap/support/notes/1871960","1871960")</f>
        <v>1871960</v>
      </c>
      <c r="D702">
        <v>1</v>
      </c>
      <c r="E702" t="s">
        <v>953</v>
      </c>
      <c r="F702" t="s">
        <v>17</v>
      </c>
    </row>
    <row r="703" spans="1:6" x14ac:dyDescent="0.3">
      <c r="A703" t="s">
        <v>942</v>
      </c>
      <c r="B703" t="s">
        <v>943</v>
      </c>
      <c r="C703" t="str">
        <f>HYPERLINK("http://service.sap.com/sap/support/notes/1873680","1873680")</f>
        <v>1873680</v>
      </c>
      <c r="D703">
        <v>1</v>
      </c>
      <c r="E703" t="s">
        <v>954</v>
      </c>
      <c r="F703" t="s">
        <v>17</v>
      </c>
    </row>
    <row r="704" spans="1:6" x14ac:dyDescent="0.3">
      <c r="A704" t="s">
        <v>942</v>
      </c>
      <c r="B704" t="s">
        <v>943</v>
      </c>
      <c r="C704" t="str">
        <f>HYPERLINK("http://service.sap.com/sap/support/notes/1874119","1874119")</f>
        <v>1874119</v>
      </c>
      <c r="D704">
        <v>5</v>
      </c>
      <c r="E704" t="s">
        <v>955</v>
      </c>
      <c r="F704" t="s">
        <v>11</v>
      </c>
    </row>
    <row r="705" spans="1:6" x14ac:dyDescent="0.3">
      <c r="A705" t="s">
        <v>942</v>
      </c>
      <c r="B705" t="s">
        <v>943</v>
      </c>
      <c r="C705" t="str">
        <f>HYPERLINK("http://service.sap.com/sap/support/notes/1874266","1874266")</f>
        <v>1874266</v>
      </c>
      <c r="D705">
        <v>2</v>
      </c>
      <c r="E705" t="s">
        <v>956</v>
      </c>
      <c r="F705" t="s">
        <v>11</v>
      </c>
    </row>
    <row r="706" spans="1:6" x14ac:dyDescent="0.3">
      <c r="A706" t="s">
        <v>942</v>
      </c>
      <c r="B706" t="s">
        <v>943</v>
      </c>
      <c r="C706" t="str">
        <f>HYPERLINK("http://service.sap.com/sap/support/notes/1880631","1880631")</f>
        <v>1880631</v>
      </c>
      <c r="D706">
        <v>4</v>
      </c>
      <c r="E706" t="s">
        <v>957</v>
      </c>
      <c r="F706" t="s">
        <v>11</v>
      </c>
    </row>
    <row r="707" spans="1:6" x14ac:dyDescent="0.3">
      <c r="A707" t="s">
        <v>942</v>
      </c>
      <c r="B707" t="s">
        <v>943</v>
      </c>
      <c r="C707" t="str">
        <f>HYPERLINK("http://service.sap.com/sap/support/notes/1881871","1881871")</f>
        <v>1881871</v>
      </c>
      <c r="D707">
        <v>2</v>
      </c>
      <c r="E707" t="s">
        <v>958</v>
      </c>
      <c r="F707" t="s">
        <v>17</v>
      </c>
    </row>
    <row r="708" spans="1:6" x14ac:dyDescent="0.3">
      <c r="A708" t="s">
        <v>942</v>
      </c>
      <c r="B708" t="s">
        <v>943</v>
      </c>
      <c r="C708" t="str">
        <f>HYPERLINK("http://service.sap.com/sap/support/notes/1885923","1885923")</f>
        <v>1885923</v>
      </c>
      <c r="D708">
        <v>1</v>
      </c>
      <c r="E708" t="s">
        <v>959</v>
      </c>
      <c r="F708" t="s">
        <v>17</v>
      </c>
    </row>
    <row r="709" spans="1:6" x14ac:dyDescent="0.3">
      <c r="A709" t="s">
        <v>942</v>
      </c>
      <c r="B709" t="s">
        <v>943</v>
      </c>
      <c r="C709" t="str">
        <f>HYPERLINK("http://service.sap.com/sap/support/notes/1885933","1885933")</f>
        <v>1885933</v>
      </c>
      <c r="D709">
        <v>3</v>
      </c>
      <c r="E709" t="s">
        <v>960</v>
      </c>
      <c r="F709" t="s">
        <v>17</v>
      </c>
    </row>
    <row r="710" spans="1:6" x14ac:dyDescent="0.3">
      <c r="A710" t="s">
        <v>942</v>
      </c>
      <c r="B710" t="s">
        <v>943</v>
      </c>
      <c r="C710" t="str">
        <f>HYPERLINK("http://service.sap.com/sap/support/notes/1886020","1886020")</f>
        <v>1886020</v>
      </c>
      <c r="D710">
        <v>3</v>
      </c>
      <c r="E710" t="s">
        <v>961</v>
      </c>
      <c r="F710" t="s">
        <v>11</v>
      </c>
    </row>
    <row r="711" spans="1:6" x14ac:dyDescent="0.3">
      <c r="A711" t="s">
        <v>942</v>
      </c>
      <c r="B711" t="s">
        <v>943</v>
      </c>
      <c r="C711" t="str">
        <f>HYPERLINK("http://service.sap.com/sap/support/notes/1886654","1886654")</f>
        <v>1886654</v>
      </c>
      <c r="D711">
        <v>4</v>
      </c>
      <c r="E711" t="s">
        <v>962</v>
      </c>
      <c r="F711" t="s">
        <v>11</v>
      </c>
    </row>
    <row r="712" spans="1:6" x14ac:dyDescent="0.3">
      <c r="A712" t="s">
        <v>942</v>
      </c>
      <c r="B712" t="s">
        <v>943</v>
      </c>
      <c r="C712" t="str">
        <f>HYPERLINK("http://service.sap.com/sap/support/notes/1887284","1887284")</f>
        <v>1887284</v>
      </c>
      <c r="D712">
        <v>3</v>
      </c>
      <c r="E712" t="s">
        <v>963</v>
      </c>
      <c r="F712" t="s">
        <v>11</v>
      </c>
    </row>
    <row r="713" spans="1:6" x14ac:dyDescent="0.3">
      <c r="A713" t="s">
        <v>942</v>
      </c>
      <c r="B713" t="s">
        <v>943</v>
      </c>
      <c r="C713" t="str">
        <f>HYPERLINK("http://service.sap.com/sap/support/notes/1888583","1888583")</f>
        <v>1888583</v>
      </c>
      <c r="D713">
        <v>3</v>
      </c>
      <c r="E713" t="s">
        <v>964</v>
      </c>
      <c r="F713" t="s">
        <v>13</v>
      </c>
    </row>
    <row r="714" spans="1:6" x14ac:dyDescent="0.3">
      <c r="A714" t="s">
        <v>942</v>
      </c>
      <c r="B714" t="s">
        <v>943</v>
      </c>
      <c r="C714" t="str">
        <f>HYPERLINK("http://service.sap.com/sap/support/notes/1890912","1890912")</f>
        <v>1890912</v>
      </c>
      <c r="D714">
        <v>2</v>
      </c>
      <c r="E714" t="s">
        <v>965</v>
      </c>
      <c r="F714" t="s">
        <v>11</v>
      </c>
    </row>
    <row r="715" spans="1:6" x14ac:dyDescent="0.3">
      <c r="A715" t="s">
        <v>942</v>
      </c>
      <c r="B715" t="s">
        <v>943</v>
      </c>
      <c r="C715" t="str">
        <f>HYPERLINK("http://service.sap.com/sap/support/notes/1891896","1891896")</f>
        <v>1891896</v>
      </c>
      <c r="D715">
        <v>2</v>
      </c>
      <c r="E715" t="s">
        <v>966</v>
      </c>
      <c r="F715" t="s">
        <v>13</v>
      </c>
    </row>
    <row r="716" spans="1:6" x14ac:dyDescent="0.3">
      <c r="A716" t="s">
        <v>942</v>
      </c>
      <c r="B716" t="s">
        <v>943</v>
      </c>
      <c r="C716" t="str">
        <f>HYPERLINK("http://service.sap.com/sap/support/notes/1893357","1893357")</f>
        <v>1893357</v>
      </c>
      <c r="D716">
        <v>1</v>
      </c>
      <c r="E716" t="s">
        <v>967</v>
      </c>
      <c r="F716" t="s">
        <v>17</v>
      </c>
    </row>
    <row r="717" spans="1:6" x14ac:dyDescent="0.3">
      <c r="A717" t="s">
        <v>942</v>
      </c>
      <c r="B717" t="s">
        <v>943</v>
      </c>
      <c r="C717" t="str">
        <f>HYPERLINK("http://service.sap.com/sap/support/notes/1893796","1893796")</f>
        <v>1893796</v>
      </c>
      <c r="D717">
        <v>4</v>
      </c>
      <c r="E717" t="s">
        <v>968</v>
      </c>
      <c r="F717" t="s">
        <v>11</v>
      </c>
    </row>
    <row r="718" spans="1:6" x14ac:dyDescent="0.3">
      <c r="A718" t="s">
        <v>942</v>
      </c>
      <c r="B718" t="s">
        <v>943</v>
      </c>
      <c r="C718" t="str">
        <f>HYPERLINK("http://service.sap.com/sap/support/notes/1894018","1894018")</f>
        <v>1894018</v>
      </c>
      <c r="D718">
        <v>5</v>
      </c>
      <c r="E718" t="s">
        <v>969</v>
      </c>
      <c r="F718" t="s">
        <v>13</v>
      </c>
    </row>
    <row r="719" spans="1:6" x14ac:dyDescent="0.3">
      <c r="A719" t="s">
        <v>942</v>
      </c>
      <c r="B719" t="s">
        <v>943</v>
      </c>
      <c r="C719" t="str">
        <f>HYPERLINK("http://service.sap.com/sap/support/notes/1900239","1900239")</f>
        <v>1900239</v>
      </c>
      <c r="D719">
        <v>2</v>
      </c>
      <c r="E719" t="s">
        <v>970</v>
      </c>
      <c r="F719" t="s">
        <v>17</v>
      </c>
    </row>
    <row r="720" spans="1:6" x14ac:dyDescent="0.3">
      <c r="A720" t="s">
        <v>942</v>
      </c>
      <c r="B720" t="s">
        <v>943</v>
      </c>
      <c r="C720" t="str">
        <f>HYPERLINK("http://service.sap.com/sap/support/notes/1900355","1900355")</f>
        <v>1900355</v>
      </c>
      <c r="D720">
        <v>1</v>
      </c>
      <c r="E720" t="s">
        <v>971</v>
      </c>
      <c r="F720" t="s">
        <v>11</v>
      </c>
    </row>
    <row r="721" spans="1:6" x14ac:dyDescent="0.3">
      <c r="A721" t="s">
        <v>942</v>
      </c>
      <c r="B721" t="s">
        <v>943</v>
      </c>
      <c r="C721" t="str">
        <f>HYPERLINK("http://service.sap.com/sap/support/notes/1902325","1902325")</f>
        <v>1902325</v>
      </c>
      <c r="D721">
        <v>1</v>
      </c>
      <c r="E721" t="s">
        <v>972</v>
      </c>
      <c r="F721" t="s">
        <v>11</v>
      </c>
    </row>
    <row r="722" spans="1:6" x14ac:dyDescent="0.3">
      <c r="A722" t="s">
        <v>942</v>
      </c>
      <c r="B722" t="s">
        <v>943</v>
      </c>
      <c r="C722" t="str">
        <f>HYPERLINK("http://service.sap.com/sap/support/notes/1902419","1902419")</f>
        <v>1902419</v>
      </c>
      <c r="D722">
        <v>1</v>
      </c>
      <c r="E722" t="s">
        <v>973</v>
      </c>
      <c r="F722" t="s">
        <v>13</v>
      </c>
    </row>
    <row r="723" spans="1:6" x14ac:dyDescent="0.3">
      <c r="A723" t="s">
        <v>942</v>
      </c>
      <c r="B723" t="s">
        <v>943</v>
      </c>
      <c r="C723" t="str">
        <f>HYPERLINK("http://service.sap.com/sap/support/notes/1908965","1908965")</f>
        <v>1908965</v>
      </c>
      <c r="D723">
        <v>1</v>
      </c>
      <c r="E723" t="s">
        <v>974</v>
      </c>
      <c r="F723" t="s">
        <v>17</v>
      </c>
    </row>
    <row r="724" spans="1:6" x14ac:dyDescent="0.3">
      <c r="A724" t="s">
        <v>942</v>
      </c>
      <c r="B724" t="s">
        <v>943</v>
      </c>
      <c r="C724" t="str">
        <f>HYPERLINK("http://service.sap.com/sap/support/notes/1909504","1909504")</f>
        <v>1909504</v>
      </c>
      <c r="D724">
        <v>1</v>
      </c>
      <c r="E724" t="s">
        <v>975</v>
      </c>
      <c r="F724" t="s">
        <v>11</v>
      </c>
    </row>
    <row r="725" spans="1:6" x14ac:dyDescent="0.3">
      <c r="A725" t="s">
        <v>942</v>
      </c>
      <c r="B725" t="s">
        <v>943</v>
      </c>
      <c r="C725" t="str">
        <f>HYPERLINK("http://service.sap.com/sap/support/notes/1912310","1912310")</f>
        <v>1912310</v>
      </c>
      <c r="D725">
        <v>3</v>
      </c>
      <c r="E725" t="s">
        <v>976</v>
      </c>
      <c r="F725" t="s">
        <v>17</v>
      </c>
    </row>
    <row r="726" spans="1:6" x14ac:dyDescent="0.3">
      <c r="A726" t="s">
        <v>942</v>
      </c>
      <c r="B726" t="s">
        <v>943</v>
      </c>
      <c r="C726" t="str">
        <f>HYPERLINK("http://service.sap.com/sap/support/notes/1912422","1912422")</f>
        <v>1912422</v>
      </c>
      <c r="D726">
        <v>1</v>
      </c>
      <c r="E726" t="s">
        <v>977</v>
      </c>
      <c r="F726" t="s">
        <v>17</v>
      </c>
    </row>
    <row r="727" spans="1:6" x14ac:dyDescent="0.3">
      <c r="A727" t="s">
        <v>978</v>
      </c>
      <c r="B727" t="s">
        <v>979</v>
      </c>
      <c r="C727" t="str">
        <f>HYPERLINK("http://service.sap.com/sap/support/notes/1637986","1637986")</f>
        <v>1637986</v>
      </c>
      <c r="D727">
        <v>12</v>
      </c>
      <c r="E727" t="s">
        <v>980</v>
      </c>
      <c r="F727" t="s">
        <v>17</v>
      </c>
    </row>
    <row r="728" spans="1:6" x14ac:dyDescent="0.3">
      <c r="A728" t="s">
        <v>978</v>
      </c>
      <c r="B728" t="s">
        <v>979</v>
      </c>
      <c r="C728" t="str">
        <f>HYPERLINK("http://service.sap.com/sap/support/notes/1701752","1701752")</f>
        <v>1701752</v>
      </c>
      <c r="D728">
        <v>7</v>
      </c>
      <c r="E728" t="s">
        <v>981</v>
      </c>
      <c r="F728" t="s">
        <v>17</v>
      </c>
    </row>
    <row r="729" spans="1:6" x14ac:dyDescent="0.3">
      <c r="A729" t="s">
        <v>978</v>
      </c>
      <c r="B729" t="s">
        <v>979</v>
      </c>
      <c r="C729" t="str">
        <f>HYPERLINK("http://service.sap.com/sap/support/notes/1730094","1730094")</f>
        <v>1730094</v>
      </c>
      <c r="D729">
        <v>3</v>
      </c>
      <c r="E729" t="s">
        <v>982</v>
      </c>
      <c r="F729" t="s">
        <v>17</v>
      </c>
    </row>
    <row r="730" spans="1:6" x14ac:dyDescent="0.3">
      <c r="A730" t="s">
        <v>978</v>
      </c>
      <c r="B730" t="s">
        <v>979</v>
      </c>
      <c r="C730" t="str">
        <f>HYPERLINK("http://service.sap.com/sap/support/notes/1807277","1807277")</f>
        <v>1807277</v>
      </c>
      <c r="D730">
        <v>6</v>
      </c>
      <c r="E730" t="s">
        <v>983</v>
      </c>
      <c r="F730" t="s">
        <v>11</v>
      </c>
    </row>
    <row r="731" spans="1:6" x14ac:dyDescent="0.3">
      <c r="A731" t="s">
        <v>978</v>
      </c>
      <c r="B731" t="s">
        <v>979</v>
      </c>
      <c r="C731" t="str">
        <f>HYPERLINK("http://service.sap.com/sap/support/notes/1827386","1827386")</f>
        <v>1827386</v>
      </c>
      <c r="D731">
        <v>7</v>
      </c>
      <c r="E731" t="s">
        <v>984</v>
      </c>
      <c r="F731" t="s">
        <v>17</v>
      </c>
    </row>
    <row r="732" spans="1:6" x14ac:dyDescent="0.3">
      <c r="A732" t="s">
        <v>978</v>
      </c>
      <c r="B732" t="s">
        <v>979</v>
      </c>
      <c r="C732" t="str">
        <f>HYPERLINK("http://service.sap.com/sap/support/notes/1830838","1830838")</f>
        <v>1830838</v>
      </c>
      <c r="D732">
        <v>2</v>
      </c>
      <c r="E732" t="s">
        <v>985</v>
      </c>
      <c r="F732" t="s">
        <v>17</v>
      </c>
    </row>
    <row r="733" spans="1:6" x14ac:dyDescent="0.3">
      <c r="A733" t="s">
        <v>978</v>
      </c>
      <c r="B733" t="s">
        <v>979</v>
      </c>
      <c r="C733" t="str">
        <f>HYPERLINK("http://service.sap.com/sap/support/notes/1835583","1835583")</f>
        <v>1835583</v>
      </c>
      <c r="D733">
        <v>2</v>
      </c>
      <c r="E733" t="s">
        <v>986</v>
      </c>
      <c r="F733" t="s">
        <v>17</v>
      </c>
    </row>
    <row r="734" spans="1:6" x14ac:dyDescent="0.3">
      <c r="A734" t="s">
        <v>978</v>
      </c>
      <c r="B734" t="s">
        <v>979</v>
      </c>
      <c r="C734" t="str">
        <f>HYPERLINK("http://service.sap.com/sap/support/notes/1837234","1837234")</f>
        <v>1837234</v>
      </c>
      <c r="D734">
        <v>2</v>
      </c>
      <c r="E734" t="s">
        <v>987</v>
      </c>
      <c r="F734" t="s">
        <v>13</v>
      </c>
    </row>
    <row r="735" spans="1:6" x14ac:dyDescent="0.3">
      <c r="A735" t="s">
        <v>978</v>
      </c>
      <c r="B735" t="s">
        <v>979</v>
      </c>
      <c r="C735" t="str">
        <f>HYPERLINK("http://service.sap.com/sap/support/notes/1851464","1851464")</f>
        <v>1851464</v>
      </c>
      <c r="D735">
        <v>3</v>
      </c>
      <c r="E735" t="s">
        <v>988</v>
      </c>
      <c r="F735" t="s">
        <v>11</v>
      </c>
    </row>
    <row r="736" spans="1:6" x14ac:dyDescent="0.3">
      <c r="A736" t="s">
        <v>978</v>
      </c>
      <c r="B736" t="s">
        <v>979</v>
      </c>
      <c r="C736" t="str">
        <f>HYPERLINK("http://service.sap.com/sap/support/notes/1858320","1858320")</f>
        <v>1858320</v>
      </c>
      <c r="D736">
        <v>4</v>
      </c>
      <c r="E736" t="s">
        <v>989</v>
      </c>
      <c r="F736" t="s">
        <v>17</v>
      </c>
    </row>
    <row r="737" spans="1:6" x14ac:dyDescent="0.3">
      <c r="A737" t="s">
        <v>978</v>
      </c>
      <c r="B737" t="s">
        <v>979</v>
      </c>
      <c r="C737" t="str">
        <f>HYPERLINK("http://service.sap.com/sap/support/notes/1863261","1863261")</f>
        <v>1863261</v>
      </c>
      <c r="D737">
        <v>3</v>
      </c>
      <c r="E737" t="s">
        <v>990</v>
      </c>
      <c r="F737" t="s">
        <v>17</v>
      </c>
    </row>
    <row r="738" spans="1:6" x14ac:dyDescent="0.3">
      <c r="A738" t="s">
        <v>978</v>
      </c>
      <c r="B738" t="s">
        <v>979</v>
      </c>
      <c r="C738" t="str">
        <f>HYPERLINK("http://service.sap.com/sap/support/notes/1865827","1865827")</f>
        <v>1865827</v>
      </c>
      <c r="D738">
        <v>2</v>
      </c>
      <c r="E738" t="s">
        <v>991</v>
      </c>
      <c r="F738" t="s">
        <v>17</v>
      </c>
    </row>
    <row r="739" spans="1:6" x14ac:dyDescent="0.3">
      <c r="A739" t="s">
        <v>978</v>
      </c>
      <c r="B739" t="s">
        <v>979</v>
      </c>
      <c r="C739" t="str">
        <f>HYPERLINK("http://service.sap.com/sap/support/notes/1866233","1866233")</f>
        <v>1866233</v>
      </c>
      <c r="D739">
        <v>1</v>
      </c>
      <c r="E739" t="s">
        <v>992</v>
      </c>
      <c r="F739" t="s">
        <v>17</v>
      </c>
    </row>
    <row r="740" spans="1:6" x14ac:dyDescent="0.3">
      <c r="A740" t="s">
        <v>978</v>
      </c>
      <c r="B740" t="s">
        <v>979</v>
      </c>
      <c r="C740" t="str">
        <f>HYPERLINK("http://service.sap.com/sap/support/notes/1867243","1867243")</f>
        <v>1867243</v>
      </c>
      <c r="D740">
        <v>2</v>
      </c>
      <c r="E740" t="s">
        <v>993</v>
      </c>
      <c r="F740" t="s">
        <v>11</v>
      </c>
    </row>
    <row r="741" spans="1:6" x14ac:dyDescent="0.3">
      <c r="A741" t="s">
        <v>978</v>
      </c>
      <c r="B741" t="s">
        <v>979</v>
      </c>
      <c r="C741" t="str">
        <f>HYPERLINK("http://service.sap.com/sap/support/notes/1868659","1868659")</f>
        <v>1868659</v>
      </c>
      <c r="D741">
        <v>2</v>
      </c>
      <c r="E741" t="s">
        <v>994</v>
      </c>
      <c r="F741" t="s">
        <v>17</v>
      </c>
    </row>
    <row r="742" spans="1:6" x14ac:dyDescent="0.3">
      <c r="A742" t="s">
        <v>978</v>
      </c>
      <c r="B742" t="s">
        <v>979</v>
      </c>
      <c r="C742" t="str">
        <f>HYPERLINK("http://service.sap.com/sap/support/notes/1870876","1870876")</f>
        <v>1870876</v>
      </c>
      <c r="D742">
        <v>3</v>
      </c>
      <c r="E742" t="s">
        <v>995</v>
      </c>
      <c r="F742" t="s">
        <v>17</v>
      </c>
    </row>
    <row r="743" spans="1:6" x14ac:dyDescent="0.3">
      <c r="A743" t="s">
        <v>978</v>
      </c>
      <c r="B743" t="s">
        <v>979</v>
      </c>
      <c r="C743" t="str">
        <f>HYPERLINK("http://service.sap.com/sap/support/notes/1873603","1873603")</f>
        <v>1873603</v>
      </c>
      <c r="D743">
        <v>1</v>
      </c>
      <c r="E743" t="s">
        <v>996</v>
      </c>
      <c r="F743" t="s">
        <v>11</v>
      </c>
    </row>
    <row r="744" spans="1:6" x14ac:dyDescent="0.3">
      <c r="A744" t="s">
        <v>978</v>
      </c>
      <c r="B744" t="s">
        <v>979</v>
      </c>
      <c r="C744" t="str">
        <f>HYPERLINK("http://service.sap.com/sap/support/notes/1873836","1873836")</f>
        <v>1873836</v>
      </c>
      <c r="D744">
        <v>5</v>
      </c>
      <c r="E744" t="s">
        <v>997</v>
      </c>
      <c r="F744" t="s">
        <v>17</v>
      </c>
    </row>
    <row r="745" spans="1:6" x14ac:dyDescent="0.3">
      <c r="A745" t="s">
        <v>978</v>
      </c>
      <c r="B745" t="s">
        <v>979</v>
      </c>
      <c r="C745" t="str">
        <f>HYPERLINK("http://service.sap.com/sap/support/notes/1875941","1875941")</f>
        <v>1875941</v>
      </c>
      <c r="D745">
        <v>2</v>
      </c>
      <c r="E745" t="s">
        <v>998</v>
      </c>
      <c r="F745" t="s">
        <v>17</v>
      </c>
    </row>
    <row r="746" spans="1:6" x14ac:dyDescent="0.3">
      <c r="A746" t="s">
        <v>978</v>
      </c>
      <c r="B746" t="s">
        <v>979</v>
      </c>
      <c r="C746" t="str">
        <f>HYPERLINK("http://service.sap.com/sap/support/notes/1878315","1878315")</f>
        <v>1878315</v>
      </c>
      <c r="D746">
        <v>3</v>
      </c>
      <c r="E746" t="s">
        <v>999</v>
      </c>
      <c r="F746" t="s">
        <v>17</v>
      </c>
    </row>
    <row r="747" spans="1:6" x14ac:dyDescent="0.3">
      <c r="A747" t="s">
        <v>978</v>
      </c>
      <c r="B747" t="s">
        <v>979</v>
      </c>
      <c r="C747" t="str">
        <f>HYPERLINK("http://service.sap.com/sap/support/notes/1879107","1879107")</f>
        <v>1879107</v>
      </c>
      <c r="D747">
        <v>3</v>
      </c>
      <c r="E747" t="s">
        <v>1000</v>
      </c>
      <c r="F747" t="s">
        <v>17</v>
      </c>
    </row>
    <row r="748" spans="1:6" x14ac:dyDescent="0.3">
      <c r="A748" t="s">
        <v>978</v>
      </c>
      <c r="B748" t="s">
        <v>979</v>
      </c>
      <c r="C748" t="str">
        <f>HYPERLINK("http://service.sap.com/sap/support/notes/1881442","1881442")</f>
        <v>1881442</v>
      </c>
      <c r="D748">
        <v>1</v>
      </c>
      <c r="E748" t="s">
        <v>1001</v>
      </c>
      <c r="F748" t="s">
        <v>11</v>
      </c>
    </row>
    <row r="749" spans="1:6" x14ac:dyDescent="0.3">
      <c r="A749" t="s">
        <v>978</v>
      </c>
      <c r="B749" t="s">
        <v>979</v>
      </c>
      <c r="C749" t="str">
        <f>HYPERLINK("http://service.sap.com/sap/support/notes/1883417","1883417")</f>
        <v>1883417</v>
      </c>
      <c r="D749">
        <v>8</v>
      </c>
      <c r="E749" t="s">
        <v>1002</v>
      </c>
      <c r="F749" t="s">
        <v>17</v>
      </c>
    </row>
    <row r="750" spans="1:6" x14ac:dyDescent="0.3">
      <c r="A750" t="s">
        <v>978</v>
      </c>
      <c r="B750" t="s">
        <v>979</v>
      </c>
      <c r="C750" t="str">
        <f>HYPERLINK("http://service.sap.com/sap/support/notes/1883801","1883801")</f>
        <v>1883801</v>
      </c>
      <c r="D750">
        <v>2</v>
      </c>
      <c r="E750" t="s">
        <v>1003</v>
      </c>
      <c r="F750" t="s">
        <v>17</v>
      </c>
    </row>
    <row r="751" spans="1:6" x14ac:dyDescent="0.3">
      <c r="A751" t="s">
        <v>978</v>
      </c>
      <c r="B751" t="s">
        <v>979</v>
      </c>
      <c r="C751" t="str">
        <f>HYPERLINK("http://service.sap.com/sap/support/notes/1888909","1888909")</f>
        <v>1888909</v>
      </c>
      <c r="D751">
        <v>2</v>
      </c>
      <c r="E751" t="s">
        <v>1004</v>
      </c>
      <c r="F751" t="s">
        <v>17</v>
      </c>
    </row>
    <row r="752" spans="1:6" x14ac:dyDescent="0.3">
      <c r="A752" t="s">
        <v>978</v>
      </c>
      <c r="B752" t="s">
        <v>979</v>
      </c>
      <c r="C752" t="str">
        <f>HYPERLINK("http://service.sap.com/sap/support/notes/1890519","1890519")</f>
        <v>1890519</v>
      </c>
      <c r="D752">
        <v>1</v>
      </c>
      <c r="E752" t="s">
        <v>1005</v>
      </c>
      <c r="F752" t="s">
        <v>17</v>
      </c>
    </row>
    <row r="753" spans="1:6" x14ac:dyDescent="0.3">
      <c r="A753" t="s">
        <v>978</v>
      </c>
      <c r="B753" t="s">
        <v>979</v>
      </c>
      <c r="C753" t="str">
        <f>HYPERLINK("http://service.sap.com/sap/support/notes/1896921","1896921")</f>
        <v>1896921</v>
      </c>
      <c r="D753">
        <v>1</v>
      </c>
      <c r="E753" t="s">
        <v>1006</v>
      </c>
      <c r="F753" t="s">
        <v>13</v>
      </c>
    </row>
    <row r="754" spans="1:6" x14ac:dyDescent="0.3">
      <c r="A754" t="s">
        <v>978</v>
      </c>
      <c r="B754" t="s">
        <v>979</v>
      </c>
      <c r="C754" t="str">
        <f>HYPERLINK("http://service.sap.com/sap/support/notes/1900423","1900423")</f>
        <v>1900423</v>
      </c>
      <c r="D754">
        <v>1</v>
      </c>
      <c r="E754" t="s">
        <v>981</v>
      </c>
      <c r="F754" t="s">
        <v>13</v>
      </c>
    </row>
    <row r="755" spans="1:6" x14ac:dyDescent="0.3">
      <c r="A755" t="s">
        <v>978</v>
      </c>
      <c r="B755" t="s">
        <v>979</v>
      </c>
      <c r="C755" t="str">
        <f>HYPERLINK("http://service.sap.com/sap/support/notes/1903820","1903820")</f>
        <v>1903820</v>
      </c>
      <c r="D755">
        <v>1</v>
      </c>
      <c r="E755" t="s">
        <v>1007</v>
      </c>
      <c r="F755" t="s">
        <v>17</v>
      </c>
    </row>
    <row r="756" spans="1:6" x14ac:dyDescent="0.3">
      <c r="A756" t="s">
        <v>978</v>
      </c>
      <c r="B756" t="s">
        <v>979</v>
      </c>
      <c r="C756" t="str">
        <f>HYPERLINK("http://service.sap.com/sap/support/notes/1906102","1906102")</f>
        <v>1906102</v>
      </c>
      <c r="D756">
        <v>1</v>
      </c>
      <c r="E756" t="s">
        <v>1008</v>
      </c>
      <c r="F756" t="s">
        <v>13</v>
      </c>
    </row>
    <row r="757" spans="1:6" x14ac:dyDescent="0.3">
      <c r="A757" t="s">
        <v>978</v>
      </c>
      <c r="B757" t="s">
        <v>979</v>
      </c>
      <c r="C757" t="str">
        <f>HYPERLINK("http://service.sap.com/sap/support/notes/1906110","1906110")</f>
        <v>1906110</v>
      </c>
      <c r="D757">
        <v>1</v>
      </c>
      <c r="E757" t="s">
        <v>1009</v>
      </c>
      <c r="F757" t="s">
        <v>17</v>
      </c>
    </row>
    <row r="758" spans="1:6" x14ac:dyDescent="0.3">
      <c r="A758" t="s">
        <v>978</v>
      </c>
      <c r="B758" t="s">
        <v>979</v>
      </c>
      <c r="C758" t="str">
        <f>HYPERLINK("http://service.sap.com/sap/support/notes/1909106","1909106")</f>
        <v>1909106</v>
      </c>
      <c r="D758">
        <v>1</v>
      </c>
      <c r="E758" t="s">
        <v>1010</v>
      </c>
      <c r="F758" t="s">
        <v>13</v>
      </c>
    </row>
    <row r="759" spans="1:6" x14ac:dyDescent="0.3">
      <c r="A759" t="s">
        <v>978</v>
      </c>
      <c r="B759" t="s">
        <v>979</v>
      </c>
      <c r="C759" t="str">
        <f>HYPERLINK("http://service.sap.com/sap/support/notes/1915154","1915154")</f>
        <v>1915154</v>
      </c>
      <c r="D759">
        <v>1</v>
      </c>
      <c r="E759" t="s">
        <v>1011</v>
      </c>
      <c r="F759" t="s">
        <v>17</v>
      </c>
    </row>
    <row r="760" spans="1:6" x14ac:dyDescent="0.3">
      <c r="A760" t="s">
        <v>1012</v>
      </c>
      <c r="B760" t="s">
        <v>631</v>
      </c>
      <c r="C760" t="str">
        <f>HYPERLINK("http://service.sap.com/sap/support/notes/1479013","1479013")</f>
        <v>1479013</v>
      </c>
      <c r="D760">
        <v>3</v>
      </c>
      <c r="E760" t="s">
        <v>1013</v>
      </c>
      <c r="F760" t="s">
        <v>17</v>
      </c>
    </row>
    <row r="761" spans="1:6" x14ac:dyDescent="0.3">
      <c r="A761" t="s">
        <v>1012</v>
      </c>
      <c r="B761" t="s">
        <v>631</v>
      </c>
      <c r="C761" t="str">
        <f>HYPERLINK("http://service.sap.com/sap/support/notes/1565000","1565000")</f>
        <v>1565000</v>
      </c>
      <c r="D761">
        <v>7</v>
      </c>
      <c r="E761" t="s">
        <v>1014</v>
      </c>
      <c r="F761" t="s">
        <v>17</v>
      </c>
    </row>
    <row r="762" spans="1:6" x14ac:dyDescent="0.3">
      <c r="A762" t="s">
        <v>1012</v>
      </c>
      <c r="B762" t="s">
        <v>631</v>
      </c>
      <c r="C762" t="str">
        <f>HYPERLINK("http://service.sap.com/sap/support/notes/1589421","1589421")</f>
        <v>1589421</v>
      </c>
      <c r="D762">
        <v>8</v>
      </c>
      <c r="E762" t="s">
        <v>1015</v>
      </c>
      <c r="F762" t="s">
        <v>17</v>
      </c>
    </row>
    <row r="763" spans="1:6" x14ac:dyDescent="0.3">
      <c r="A763" t="s">
        <v>1012</v>
      </c>
      <c r="B763" t="s">
        <v>631</v>
      </c>
      <c r="C763" t="str">
        <f>HYPERLINK("http://service.sap.com/sap/support/notes/1611393","1611393")</f>
        <v>1611393</v>
      </c>
      <c r="D763">
        <v>11</v>
      </c>
      <c r="E763" t="s">
        <v>1016</v>
      </c>
      <c r="F763" t="s">
        <v>13</v>
      </c>
    </row>
    <row r="764" spans="1:6" x14ac:dyDescent="0.3">
      <c r="A764" t="s">
        <v>1012</v>
      </c>
      <c r="B764" t="s">
        <v>631</v>
      </c>
      <c r="C764" t="str">
        <f>HYPERLINK("http://service.sap.com/sap/support/notes/1675863","1675863")</f>
        <v>1675863</v>
      </c>
      <c r="D764">
        <v>7</v>
      </c>
      <c r="E764" t="s">
        <v>1017</v>
      </c>
      <c r="F764" t="s">
        <v>13</v>
      </c>
    </row>
    <row r="765" spans="1:6" x14ac:dyDescent="0.3">
      <c r="A765" t="s">
        <v>1012</v>
      </c>
      <c r="B765" t="s">
        <v>631</v>
      </c>
      <c r="C765" t="str">
        <f>HYPERLINK("http://service.sap.com/sap/support/notes/1721718","1721718")</f>
        <v>1721718</v>
      </c>
      <c r="D765">
        <v>3</v>
      </c>
      <c r="E765" t="s">
        <v>1018</v>
      </c>
      <c r="F765" t="s">
        <v>17</v>
      </c>
    </row>
    <row r="766" spans="1:6" x14ac:dyDescent="0.3">
      <c r="A766" t="s">
        <v>1012</v>
      </c>
      <c r="B766" t="s">
        <v>631</v>
      </c>
      <c r="C766" t="str">
        <f>HYPERLINK("http://service.sap.com/sap/support/notes/1732101","1732101")</f>
        <v>1732101</v>
      </c>
      <c r="D766">
        <v>2</v>
      </c>
      <c r="E766" t="s">
        <v>1019</v>
      </c>
      <c r="F766" t="s">
        <v>17</v>
      </c>
    </row>
    <row r="767" spans="1:6" x14ac:dyDescent="0.3">
      <c r="A767" t="s">
        <v>1012</v>
      </c>
      <c r="B767" t="s">
        <v>631</v>
      </c>
      <c r="C767" t="str">
        <f>HYPERLINK("http://service.sap.com/sap/support/notes/1744596","1744596")</f>
        <v>1744596</v>
      </c>
      <c r="D767">
        <v>4</v>
      </c>
      <c r="E767" t="s">
        <v>1020</v>
      </c>
      <c r="F767" t="s">
        <v>17</v>
      </c>
    </row>
    <row r="768" spans="1:6" x14ac:dyDescent="0.3">
      <c r="A768" t="s">
        <v>1012</v>
      </c>
      <c r="B768" t="s">
        <v>631</v>
      </c>
      <c r="C768" t="str">
        <f>HYPERLINK("http://service.sap.com/sap/support/notes/1775134","1775134")</f>
        <v>1775134</v>
      </c>
      <c r="D768">
        <v>5</v>
      </c>
      <c r="E768" t="s">
        <v>1021</v>
      </c>
      <c r="F768" t="s">
        <v>13</v>
      </c>
    </row>
    <row r="769" spans="1:6" x14ac:dyDescent="0.3">
      <c r="A769" t="s">
        <v>1012</v>
      </c>
      <c r="B769" t="s">
        <v>631</v>
      </c>
      <c r="C769" t="str">
        <f>HYPERLINK("http://service.sap.com/sap/support/notes/1787274","1787274")</f>
        <v>1787274</v>
      </c>
      <c r="D769">
        <v>2</v>
      </c>
      <c r="E769" t="s">
        <v>1022</v>
      </c>
      <c r="F769" t="s">
        <v>17</v>
      </c>
    </row>
    <row r="770" spans="1:6" x14ac:dyDescent="0.3">
      <c r="A770" t="s">
        <v>1012</v>
      </c>
      <c r="B770" t="s">
        <v>631</v>
      </c>
      <c r="C770" t="str">
        <f>HYPERLINK("http://service.sap.com/sap/support/notes/1793232","1793232")</f>
        <v>1793232</v>
      </c>
      <c r="D770">
        <v>3</v>
      </c>
      <c r="E770" t="s">
        <v>1023</v>
      </c>
      <c r="F770" t="s">
        <v>17</v>
      </c>
    </row>
    <row r="771" spans="1:6" x14ac:dyDescent="0.3">
      <c r="A771" t="s">
        <v>1012</v>
      </c>
      <c r="B771" t="s">
        <v>631</v>
      </c>
      <c r="C771" t="str">
        <f>HYPERLINK("http://service.sap.com/sap/support/notes/1793490","1793490")</f>
        <v>1793490</v>
      </c>
      <c r="D771">
        <v>2</v>
      </c>
      <c r="E771" t="s">
        <v>1024</v>
      </c>
      <c r="F771" t="s">
        <v>17</v>
      </c>
    </row>
    <row r="772" spans="1:6" x14ac:dyDescent="0.3">
      <c r="A772" t="s">
        <v>1012</v>
      </c>
      <c r="B772" t="s">
        <v>631</v>
      </c>
      <c r="C772" t="str">
        <f>HYPERLINK("http://service.sap.com/sap/support/notes/1795884","1795884")</f>
        <v>1795884</v>
      </c>
      <c r="D772">
        <v>4</v>
      </c>
      <c r="E772" t="s">
        <v>1025</v>
      </c>
      <c r="F772" t="s">
        <v>17</v>
      </c>
    </row>
    <row r="773" spans="1:6" x14ac:dyDescent="0.3">
      <c r="A773" t="s">
        <v>1012</v>
      </c>
      <c r="B773" t="s">
        <v>631</v>
      </c>
      <c r="C773" t="str">
        <f>HYPERLINK("http://service.sap.com/sap/support/notes/1796297","1796297")</f>
        <v>1796297</v>
      </c>
      <c r="D773">
        <v>5</v>
      </c>
      <c r="E773" t="s">
        <v>1026</v>
      </c>
      <c r="F773" t="s">
        <v>17</v>
      </c>
    </row>
    <row r="774" spans="1:6" x14ac:dyDescent="0.3">
      <c r="A774" t="s">
        <v>1012</v>
      </c>
      <c r="B774" t="s">
        <v>631</v>
      </c>
      <c r="C774" t="str">
        <f>HYPERLINK("http://service.sap.com/sap/support/notes/1807661","1807661")</f>
        <v>1807661</v>
      </c>
      <c r="D774">
        <v>5</v>
      </c>
      <c r="E774" t="s">
        <v>1027</v>
      </c>
      <c r="F774" t="s">
        <v>17</v>
      </c>
    </row>
    <row r="775" spans="1:6" x14ac:dyDescent="0.3">
      <c r="A775" t="s">
        <v>1012</v>
      </c>
      <c r="B775" t="s">
        <v>631</v>
      </c>
      <c r="C775" t="str">
        <f>HYPERLINK("http://service.sap.com/sap/support/notes/1808314","1808314")</f>
        <v>1808314</v>
      </c>
      <c r="D775">
        <v>2</v>
      </c>
      <c r="E775" t="s">
        <v>1028</v>
      </c>
      <c r="F775" t="s">
        <v>17</v>
      </c>
    </row>
    <row r="776" spans="1:6" x14ac:dyDescent="0.3">
      <c r="A776" t="s">
        <v>1012</v>
      </c>
      <c r="B776" t="s">
        <v>631</v>
      </c>
      <c r="C776" t="str">
        <f>HYPERLINK("http://service.sap.com/sap/support/notes/1810628","1810628")</f>
        <v>1810628</v>
      </c>
      <c r="D776">
        <v>5</v>
      </c>
      <c r="E776" t="s">
        <v>1029</v>
      </c>
      <c r="F776" t="s">
        <v>13</v>
      </c>
    </row>
    <row r="777" spans="1:6" x14ac:dyDescent="0.3">
      <c r="A777" t="s">
        <v>1012</v>
      </c>
      <c r="B777" t="s">
        <v>631</v>
      </c>
      <c r="C777" t="str">
        <f>HYPERLINK("http://service.sap.com/sap/support/notes/1821168","1821168")</f>
        <v>1821168</v>
      </c>
      <c r="D777">
        <v>18</v>
      </c>
      <c r="E777" t="s">
        <v>1030</v>
      </c>
      <c r="F777" t="s">
        <v>17</v>
      </c>
    </row>
    <row r="778" spans="1:6" x14ac:dyDescent="0.3">
      <c r="A778" t="s">
        <v>1012</v>
      </c>
      <c r="B778" t="s">
        <v>631</v>
      </c>
      <c r="C778" t="str">
        <f>HYPERLINK("http://service.sap.com/sap/support/notes/1821356","1821356")</f>
        <v>1821356</v>
      </c>
      <c r="D778">
        <v>2</v>
      </c>
      <c r="E778" t="s">
        <v>1031</v>
      </c>
      <c r="F778" t="s">
        <v>13</v>
      </c>
    </row>
    <row r="779" spans="1:6" x14ac:dyDescent="0.3">
      <c r="A779" t="s">
        <v>1012</v>
      </c>
      <c r="B779" t="s">
        <v>631</v>
      </c>
      <c r="C779" t="str">
        <f>HYPERLINK("http://service.sap.com/sap/support/notes/1839471","1839471")</f>
        <v>1839471</v>
      </c>
      <c r="D779">
        <v>3</v>
      </c>
      <c r="E779" t="s">
        <v>1032</v>
      </c>
      <c r="F779" t="s">
        <v>13</v>
      </c>
    </row>
    <row r="780" spans="1:6" x14ac:dyDescent="0.3">
      <c r="A780" t="s">
        <v>1012</v>
      </c>
      <c r="B780" t="s">
        <v>631</v>
      </c>
      <c r="C780" t="str">
        <f>HYPERLINK("http://service.sap.com/sap/support/notes/1840683","1840683")</f>
        <v>1840683</v>
      </c>
      <c r="D780">
        <v>1</v>
      </c>
      <c r="E780" t="s">
        <v>1033</v>
      </c>
      <c r="F780" t="s">
        <v>13</v>
      </c>
    </row>
    <row r="781" spans="1:6" x14ac:dyDescent="0.3">
      <c r="A781" t="s">
        <v>1012</v>
      </c>
      <c r="B781" t="s">
        <v>631</v>
      </c>
      <c r="C781" t="str">
        <f>HYPERLINK("http://service.sap.com/sap/support/notes/1844123","1844123")</f>
        <v>1844123</v>
      </c>
      <c r="D781">
        <v>1</v>
      </c>
      <c r="E781" t="s">
        <v>1034</v>
      </c>
      <c r="F781" t="s">
        <v>13</v>
      </c>
    </row>
    <row r="782" spans="1:6" x14ac:dyDescent="0.3">
      <c r="A782" t="s">
        <v>1012</v>
      </c>
      <c r="B782" t="s">
        <v>631</v>
      </c>
      <c r="C782" t="str">
        <f>HYPERLINK("http://service.sap.com/sap/support/notes/1847634","1847634")</f>
        <v>1847634</v>
      </c>
      <c r="D782">
        <v>3</v>
      </c>
      <c r="E782" t="s">
        <v>1035</v>
      </c>
      <c r="F782" t="s">
        <v>17</v>
      </c>
    </row>
    <row r="783" spans="1:6" x14ac:dyDescent="0.3">
      <c r="A783" t="s">
        <v>1012</v>
      </c>
      <c r="B783" t="s">
        <v>631</v>
      </c>
      <c r="C783" t="str">
        <f>HYPERLINK("http://service.sap.com/sap/support/notes/1850812","1850812")</f>
        <v>1850812</v>
      </c>
      <c r="D783">
        <v>1</v>
      </c>
      <c r="E783" t="s">
        <v>1036</v>
      </c>
      <c r="F783" t="s">
        <v>17</v>
      </c>
    </row>
    <row r="784" spans="1:6" x14ac:dyDescent="0.3">
      <c r="A784" t="s">
        <v>1012</v>
      </c>
      <c r="B784" t="s">
        <v>631</v>
      </c>
      <c r="C784" t="str">
        <f>HYPERLINK("http://service.sap.com/sap/support/notes/1852305","1852305")</f>
        <v>1852305</v>
      </c>
      <c r="D784">
        <v>2</v>
      </c>
      <c r="E784" t="s">
        <v>1037</v>
      </c>
      <c r="F784" t="s">
        <v>17</v>
      </c>
    </row>
    <row r="785" spans="1:6" x14ac:dyDescent="0.3">
      <c r="A785" t="s">
        <v>1012</v>
      </c>
      <c r="B785" t="s">
        <v>631</v>
      </c>
      <c r="C785" t="str">
        <f>HYPERLINK("http://service.sap.com/sap/support/notes/1852954","1852954")</f>
        <v>1852954</v>
      </c>
      <c r="D785">
        <v>2</v>
      </c>
      <c r="E785" t="s">
        <v>1038</v>
      </c>
      <c r="F785" t="s">
        <v>17</v>
      </c>
    </row>
    <row r="786" spans="1:6" x14ac:dyDescent="0.3">
      <c r="A786" t="s">
        <v>1012</v>
      </c>
      <c r="B786" t="s">
        <v>631</v>
      </c>
      <c r="C786" t="str">
        <f>HYPERLINK("http://service.sap.com/sap/support/notes/1853134","1853134")</f>
        <v>1853134</v>
      </c>
      <c r="D786">
        <v>1</v>
      </c>
      <c r="E786" t="s">
        <v>1039</v>
      </c>
      <c r="F786" t="s">
        <v>17</v>
      </c>
    </row>
    <row r="787" spans="1:6" x14ac:dyDescent="0.3">
      <c r="A787" t="s">
        <v>1012</v>
      </c>
      <c r="B787" t="s">
        <v>631</v>
      </c>
      <c r="C787" t="str">
        <f>HYPERLINK("http://service.sap.com/sap/support/notes/1853486","1853486")</f>
        <v>1853486</v>
      </c>
      <c r="D787">
        <v>7</v>
      </c>
      <c r="E787" t="s">
        <v>1040</v>
      </c>
      <c r="F787" t="s">
        <v>17</v>
      </c>
    </row>
    <row r="788" spans="1:6" x14ac:dyDescent="0.3">
      <c r="A788" t="s">
        <v>1012</v>
      </c>
      <c r="B788" t="s">
        <v>631</v>
      </c>
      <c r="C788" t="str">
        <f>HYPERLINK("http://service.sap.com/sap/support/notes/1855095","1855095")</f>
        <v>1855095</v>
      </c>
      <c r="D788">
        <v>3</v>
      </c>
      <c r="E788" t="s">
        <v>1041</v>
      </c>
      <c r="F788" t="s">
        <v>17</v>
      </c>
    </row>
    <row r="789" spans="1:6" x14ac:dyDescent="0.3">
      <c r="A789" t="s">
        <v>1012</v>
      </c>
      <c r="B789" t="s">
        <v>631</v>
      </c>
      <c r="C789" t="str">
        <f>HYPERLINK("http://service.sap.com/sap/support/notes/1859950","1859950")</f>
        <v>1859950</v>
      </c>
      <c r="D789">
        <v>2</v>
      </c>
      <c r="E789" t="s">
        <v>1042</v>
      </c>
      <c r="F789" t="s">
        <v>17</v>
      </c>
    </row>
    <row r="790" spans="1:6" x14ac:dyDescent="0.3">
      <c r="A790" t="s">
        <v>1012</v>
      </c>
      <c r="B790" t="s">
        <v>631</v>
      </c>
      <c r="C790" t="str">
        <f>HYPERLINK("http://service.sap.com/sap/support/notes/1861068","1861068")</f>
        <v>1861068</v>
      </c>
      <c r="D790">
        <v>2</v>
      </c>
      <c r="E790" t="s">
        <v>1043</v>
      </c>
      <c r="F790" t="s">
        <v>13</v>
      </c>
    </row>
    <row r="791" spans="1:6" x14ac:dyDescent="0.3">
      <c r="A791" t="s">
        <v>1012</v>
      </c>
      <c r="B791" t="s">
        <v>631</v>
      </c>
      <c r="C791" t="str">
        <f>HYPERLINK("http://service.sap.com/sap/support/notes/1861547","1861547")</f>
        <v>1861547</v>
      </c>
      <c r="D791">
        <v>5</v>
      </c>
      <c r="E791" t="s">
        <v>1044</v>
      </c>
      <c r="F791" t="s">
        <v>17</v>
      </c>
    </row>
    <row r="792" spans="1:6" x14ac:dyDescent="0.3">
      <c r="A792" t="s">
        <v>1012</v>
      </c>
      <c r="B792" t="s">
        <v>631</v>
      </c>
      <c r="C792" t="str">
        <f>HYPERLINK("http://service.sap.com/sap/support/notes/1863966","1863966")</f>
        <v>1863966</v>
      </c>
      <c r="D792">
        <v>3</v>
      </c>
      <c r="E792" t="s">
        <v>1045</v>
      </c>
      <c r="F792" t="s">
        <v>11</v>
      </c>
    </row>
    <row r="793" spans="1:6" x14ac:dyDescent="0.3">
      <c r="A793" t="s">
        <v>1012</v>
      </c>
      <c r="B793" t="s">
        <v>631</v>
      </c>
      <c r="C793" t="str">
        <f>HYPERLINK("http://service.sap.com/sap/support/notes/1865291","1865291")</f>
        <v>1865291</v>
      </c>
      <c r="D793">
        <v>2</v>
      </c>
      <c r="E793" t="s">
        <v>1046</v>
      </c>
      <c r="F793" t="s">
        <v>17</v>
      </c>
    </row>
    <row r="794" spans="1:6" x14ac:dyDescent="0.3">
      <c r="A794" t="s">
        <v>1012</v>
      </c>
      <c r="B794" t="s">
        <v>631</v>
      </c>
      <c r="C794" t="str">
        <f>HYPERLINK("http://service.sap.com/sap/support/notes/1867866","1867866")</f>
        <v>1867866</v>
      </c>
      <c r="D794">
        <v>5</v>
      </c>
      <c r="E794" t="s">
        <v>1047</v>
      </c>
      <c r="F794" t="s">
        <v>17</v>
      </c>
    </row>
    <row r="795" spans="1:6" x14ac:dyDescent="0.3">
      <c r="A795" t="s">
        <v>1012</v>
      </c>
      <c r="B795" t="s">
        <v>631</v>
      </c>
      <c r="C795" t="str">
        <f>HYPERLINK("http://service.sap.com/sap/support/notes/1869437","1869437")</f>
        <v>1869437</v>
      </c>
      <c r="D795">
        <v>2</v>
      </c>
      <c r="E795" t="s">
        <v>1048</v>
      </c>
      <c r="F795" t="s">
        <v>17</v>
      </c>
    </row>
    <row r="796" spans="1:6" x14ac:dyDescent="0.3">
      <c r="A796" t="s">
        <v>1012</v>
      </c>
      <c r="B796" t="s">
        <v>631</v>
      </c>
      <c r="C796" t="str">
        <f>HYPERLINK("http://service.sap.com/sap/support/notes/1873155","1873155")</f>
        <v>1873155</v>
      </c>
      <c r="D796">
        <v>3</v>
      </c>
      <c r="E796" t="s">
        <v>1049</v>
      </c>
      <c r="F796" t="s">
        <v>17</v>
      </c>
    </row>
    <row r="797" spans="1:6" x14ac:dyDescent="0.3">
      <c r="A797" t="s">
        <v>1012</v>
      </c>
      <c r="B797" t="s">
        <v>631</v>
      </c>
      <c r="C797" t="str">
        <f>HYPERLINK("http://service.sap.com/sap/support/notes/1876897","1876897")</f>
        <v>1876897</v>
      </c>
      <c r="D797">
        <v>2</v>
      </c>
      <c r="E797" t="s">
        <v>1050</v>
      </c>
      <c r="F797" t="s">
        <v>13</v>
      </c>
    </row>
    <row r="798" spans="1:6" x14ac:dyDescent="0.3">
      <c r="A798" t="s">
        <v>1012</v>
      </c>
      <c r="B798" t="s">
        <v>631</v>
      </c>
      <c r="C798" t="str">
        <f>HYPERLINK("http://service.sap.com/sap/support/notes/1877606","1877606")</f>
        <v>1877606</v>
      </c>
      <c r="D798">
        <v>1</v>
      </c>
      <c r="E798" t="s">
        <v>1051</v>
      </c>
      <c r="F798" t="s">
        <v>17</v>
      </c>
    </row>
    <row r="799" spans="1:6" x14ac:dyDescent="0.3">
      <c r="A799" t="s">
        <v>1012</v>
      </c>
      <c r="B799" t="s">
        <v>631</v>
      </c>
      <c r="C799" t="str">
        <f>HYPERLINK("http://service.sap.com/sap/support/notes/1877810","1877810")</f>
        <v>1877810</v>
      </c>
      <c r="D799">
        <v>1</v>
      </c>
      <c r="E799" t="s">
        <v>1052</v>
      </c>
      <c r="F799" t="s">
        <v>17</v>
      </c>
    </row>
    <row r="800" spans="1:6" x14ac:dyDescent="0.3">
      <c r="A800" t="s">
        <v>1012</v>
      </c>
      <c r="B800" t="s">
        <v>631</v>
      </c>
      <c r="C800" t="str">
        <f>HYPERLINK("http://service.sap.com/sap/support/notes/1878105","1878105")</f>
        <v>1878105</v>
      </c>
      <c r="D800">
        <v>1</v>
      </c>
      <c r="E800" t="s">
        <v>1053</v>
      </c>
      <c r="F800" t="s">
        <v>17</v>
      </c>
    </row>
    <row r="801" spans="1:6" x14ac:dyDescent="0.3">
      <c r="A801" t="s">
        <v>1012</v>
      </c>
      <c r="B801" t="s">
        <v>631</v>
      </c>
      <c r="C801" t="str">
        <f>HYPERLINK("http://service.sap.com/sap/support/notes/1878644","1878644")</f>
        <v>1878644</v>
      </c>
      <c r="D801">
        <v>2</v>
      </c>
      <c r="E801" t="s">
        <v>1054</v>
      </c>
      <c r="F801" t="s">
        <v>13</v>
      </c>
    </row>
    <row r="802" spans="1:6" x14ac:dyDescent="0.3">
      <c r="A802" t="s">
        <v>1012</v>
      </c>
      <c r="B802" t="s">
        <v>631</v>
      </c>
      <c r="C802" t="str">
        <f>HYPERLINK("http://service.sap.com/sap/support/notes/1878824","1878824")</f>
        <v>1878824</v>
      </c>
      <c r="D802">
        <v>2</v>
      </c>
      <c r="E802" t="s">
        <v>1055</v>
      </c>
      <c r="F802" t="s">
        <v>17</v>
      </c>
    </row>
    <row r="803" spans="1:6" x14ac:dyDescent="0.3">
      <c r="A803" t="s">
        <v>1012</v>
      </c>
      <c r="B803" t="s">
        <v>631</v>
      </c>
      <c r="C803" t="str">
        <f>HYPERLINK("http://service.sap.com/sap/support/notes/1880296","1880296")</f>
        <v>1880296</v>
      </c>
      <c r="D803">
        <v>5</v>
      </c>
      <c r="E803" t="s">
        <v>1056</v>
      </c>
      <c r="F803" t="s">
        <v>11</v>
      </c>
    </row>
    <row r="804" spans="1:6" x14ac:dyDescent="0.3">
      <c r="A804" t="s">
        <v>1012</v>
      </c>
      <c r="B804" t="s">
        <v>631</v>
      </c>
      <c r="C804" t="str">
        <f>HYPERLINK("http://service.sap.com/sap/support/notes/1882720","1882720")</f>
        <v>1882720</v>
      </c>
      <c r="D804">
        <v>2</v>
      </c>
      <c r="E804" t="s">
        <v>1057</v>
      </c>
      <c r="F804" t="s">
        <v>17</v>
      </c>
    </row>
    <row r="805" spans="1:6" x14ac:dyDescent="0.3">
      <c r="A805" t="s">
        <v>1012</v>
      </c>
      <c r="B805" t="s">
        <v>631</v>
      </c>
      <c r="C805" t="str">
        <f>HYPERLINK("http://service.sap.com/sap/support/notes/1883351","1883351")</f>
        <v>1883351</v>
      </c>
      <c r="D805">
        <v>1</v>
      </c>
      <c r="E805" t="s">
        <v>1058</v>
      </c>
      <c r="F805" t="s">
        <v>11</v>
      </c>
    </row>
    <row r="806" spans="1:6" x14ac:dyDescent="0.3">
      <c r="A806" t="s">
        <v>1012</v>
      </c>
      <c r="B806" t="s">
        <v>631</v>
      </c>
      <c r="C806" t="str">
        <f>HYPERLINK("http://service.sap.com/sap/support/notes/1883832","1883832")</f>
        <v>1883832</v>
      </c>
      <c r="D806">
        <v>1</v>
      </c>
      <c r="E806" t="s">
        <v>1059</v>
      </c>
      <c r="F806" t="s">
        <v>13</v>
      </c>
    </row>
    <row r="807" spans="1:6" x14ac:dyDescent="0.3">
      <c r="A807" t="s">
        <v>1012</v>
      </c>
      <c r="B807" t="s">
        <v>631</v>
      </c>
      <c r="C807" t="str">
        <f>HYPERLINK("http://service.sap.com/sap/support/notes/1884443","1884443")</f>
        <v>1884443</v>
      </c>
      <c r="D807">
        <v>3</v>
      </c>
      <c r="E807" t="s">
        <v>1060</v>
      </c>
      <c r="F807" t="s">
        <v>17</v>
      </c>
    </row>
    <row r="808" spans="1:6" x14ac:dyDescent="0.3">
      <c r="A808" t="s">
        <v>1012</v>
      </c>
      <c r="B808" t="s">
        <v>631</v>
      </c>
      <c r="C808" t="str">
        <f>HYPERLINK("http://service.sap.com/sap/support/notes/1886376","1886376")</f>
        <v>1886376</v>
      </c>
      <c r="D808">
        <v>1</v>
      </c>
      <c r="E808" t="s">
        <v>1061</v>
      </c>
      <c r="F808" t="s">
        <v>17</v>
      </c>
    </row>
    <row r="809" spans="1:6" x14ac:dyDescent="0.3">
      <c r="A809" t="s">
        <v>1012</v>
      </c>
      <c r="B809" t="s">
        <v>631</v>
      </c>
      <c r="C809" t="str">
        <f>HYPERLINK("http://service.sap.com/sap/support/notes/1887213","1887213")</f>
        <v>1887213</v>
      </c>
      <c r="D809">
        <v>1</v>
      </c>
      <c r="E809" t="s">
        <v>1062</v>
      </c>
      <c r="F809" t="s">
        <v>17</v>
      </c>
    </row>
    <row r="810" spans="1:6" x14ac:dyDescent="0.3">
      <c r="A810" t="s">
        <v>1012</v>
      </c>
      <c r="B810" t="s">
        <v>631</v>
      </c>
      <c r="C810" t="str">
        <f>HYPERLINK("http://service.sap.com/sap/support/notes/1890276","1890276")</f>
        <v>1890276</v>
      </c>
      <c r="D810">
        <v>3</v>
      </c>
      <c r="E810" t="s">
        <v>1063</v>
      </c>
      <c r="F810" t="s">
        <v>13</v>
      </c>
    </row>
    <row r="811" spans="1:6" x14ac:dyDescent="0.3">
      <c r="A811" t="s">
        <v>1012</v>
      </c>
      <c r="B811" t="s">
        <v>631</v>
      </c>
      <c r="C811" t="str">
        <f>HYPERLINK("http://service.sap.com/sap/support/notes/1891908","1891908")</f>
        <v>1891908</v>
      </c>
      <c r="D811">
        <v>1</v>
      </c>
      <c r="E811" t="s">
        <v>1064</v>
      </c>
      <c r="F811" t="s">
        <v>13</v>
      </c>
    </row>
    <row r="812" spans="1:6" x14ac:dyDescent="0.3">
      <c r="A812" t="s">
        <v>1012</v>
      </c>
      <c r="B812" t="s">
        <v>631</v>
      </c>
      <c r="C812" t="str">
        <f>HYPERLINK("http://service.sap.com/sap/support/notes/1899166","1899166")</f>
        <v>1899166</v>
      </c>
      <c r="D812">
        <v>2</v>
      </c>
      <c r="E812" t="s">
        <v>1065</v>
      </c>
      <c r="F812" t="s">
        <v>17</v>
      </c>
    </row>
    <row r="813" spans="1:6" x14ac:dyDescent="0.3">
      <c r="A813" t="s">
        <v>1012</v>
      </c>
      <c r="B813" t="s">
        <v>631</v>
      </c>
      <c r="C813" t="str">
        <f>HYPERLINK("http://service.sap.com/sap/support/notes/1907653","1907653")</f>
        <v>1907653</v>
      </c>
      <c r="D813">
        <v>2</v>
      </c>
      <c r="E813" t="s">
        <v>1066</v>
      </c>
      <c r="F813" t="s">
        <v>13</v>
      </c>
    </row>
    <row r="814" spans="1:6" x14ac:dyDescent="0.3">
      <c r="A814" t="s">
        <v>1012</v>
      </c>
      <c r="B814" t="s">
        <v>631</v>
      </c>
      <c r="C814" t="str">
        <f>HYPERLINK("http://service.sap.com/sap/support/notes/1910496","1910496")</f>
        <v>1910496</v>
      </c>
      <c r="D814">
        <v>1</v>
      </c>
      <c r="E814" t="s">
        <v>1067</v>
      </c>
      <c r="F814" t="s">
        <v>13</v>
      </c>
    </row>
    <row r="815" spans="1:6" x14ac:dyDescent="0.3">
      <c r="A815" t="s">
        <v>1012</v>
      </c>
      <c r="B815" t="s">
        <v>631</v>
      </c>
      <c r="C815" t="str">
        <f>HYPERLINK("http://service.sap.com/sap/support/notes/1913300","1913300")</f>
        <v>1913300</v>
      </c>
      <c r="D815">
        <v>2</v>
      </c>
      <c r="E815" t="s">
        <v>1068</v>
      </c>
      <c r="F815" t="s">
        <v>17</v>
      </c>
    </row>
    <row r="816" spans="1:6" x14ac:dyDescent="0.3">
      <c r="A816" t="s">
        <v>1012</v>
      </c>
      <c r="B816" t="s">
        <v>631</v>
      </c>
      <c r="C816" t="str">
        <f>HYPERLINK("http://service.sap.com/sap/support/notes/1913609","1913609")</f>
        <v>1913609</v>
      </c>
      <c r="D816">
        <v>1</v>
      </c>
      <c r="E816" t="s">
        <v>1069</v>
      </c>
      <c r="F816" t="s">
        <v>11</v>
      </c>
    </row>
    <row r="817" spans="1:6" x14ac:dyDescent="0.3">
      <c r="A817" t="s">
        <v>1012</v>
      </c>
      <c r="B817" t="s">
        <v>631</v>
      </c>
      <c r="C817" t="str">
        <f>HYPERLINK("http://service.sap.com/sap/support/notes/1915469","1915469")</f>
        <v>1915469</v>
      </c>
      <c r="D817">
        <v>1</v>
      </c>
      <c r="E817" t="s">
        <v>1070</v>
      </c>
      <c r="F817" t="s">
        <v>17</v>
      </c>
    </row>
    <row r="818" spans="1:6" x14ac:dyDescent="0.3">
      <c r="A818" t="s">
        <v>1012</v>
      </c>
      <c r="B818" t="s">
        <v>631</v>
      </c>
      <c r="C818" t="str">
        <f>HYPERLINK("http://service.sap.com/sap/support/notes/1925213","1925213")</f>
        <v>1925213</v>
      </c>
      <c r="D818">
        <v>2</v>
      </c>
      <c r="E818" t="s">
        <v>1071</v>
      </c>
      <c r="F818" t="s">
        <v>13</v>
      </c>
    </row>
    <row r="819" spans="1:6" x14ac:dyDescent="0.3">
      <c r="A819" t="s">
        <v>1072</v>
      </c>
      <c r="B819" t="s">
        <v>1073</v>
      </c>
      <c r="C819" t="str">
        <f>HYPERLINK("http://service.sap.com/sap/support/notes/1847840","1847840")</f>
        <v>1847840</v>
      </c>
      <c r="D819">
        <v>2</v>
      </c>
      <c r="E819" t="s">
        <v>1074</v>
      </c>
      <c r="F819" t="s">
        <v>17</v>
      </c>
    </row>
    <row r="820" spans="1:6" x14ac:dyDescent="0.3">
      <c r="A820" t="s">
        <v>1072</v>
      </c>
      <c r="B820" t="s">
        <v>1073</v>
      </c>
      <c r="C820" t="str">
        <f>HYPERLINK("http://service.sap.com/sap/support/notes/1876263","1876263")</f>
        <v>1876263</v>
      </c>
      <c r="D820">
        <v>1</v>
      </c>
      <c r="E820" t="s">
        <v>1075</v>
      </c>
      <c r="F820" t="s">
        <v>17</v>
      </c>
    </row>
    <row r="821" spans="1:6" x14ac:dyDescent="0.3">
      <c r="A821" t="s">
        <v>1072</v>
      </c>
      <c r="B821" t="s">
        <v>1073</v>
      </c>
      <c r="C821" t="str">
        <f>HYPERLINK("http://service.sap.com/sap/support/notes/1888262","1888262")</f>
        <v>1888262</v>
      </c>
      <c r="D821">
        <v>1</v>
      </c>
      <c r="E821" t="s">
        <v>1076</v>
      </c>
      <c r="F821" t="s">
        <v>17</v>
      </c>
    </row>
    <row r="822" spans="1:6" x14ac:dyDescent="0.3">
      <c r="A822" t="s">
        <v>1077</v>
      </c>
      <c r="B822" t="s">
        <v>635</v>
      </c>
      <c r="C822" t="str">
        <f>HYPERLINK("http://service.sap.com/sap/support/notes/1871423","1871423")</f>
        <v>1871423</v>
      </c>
      <c r="D822">
        <v>1</v>
      </c>
      <c r="E822" t="s">
        <v>1078</v>
      </c>
      <c r="F822" t="s">
        <v>17</v>
      </c>
    </row>
    <row r="823" spans="1:6" x14ac:dyDescent="0.3">
      <c r="A823" t="s">
        <v>1077</v>
      </c>
      <c r="B823" t="s">
        <v>635</v>
      </c>
      <c r="C823" t="str">
        <f>HYPERLINK("http://service.sap.com/sap/support/notes/1876595","1876595")</f>
        <v>1876595</v>
      </c>
      <c r="D823">
        <v>1</v>
      </c>
      <c r="E823" t="s">
        <v>1079</v>
      </c>
      <c r="F823" t="s">
        <v>17</v>
      </c>
    </row>
    <row r="824" spans="1:6" x14ac:dyDescent="0.3">
      <c r="A824" t="s">
        <v>1077</v>
      </c>
      <c r="B824" t="s">
        <v>635</v>
      </c>
      <c r="C824" t="str">
        <f>HYPERLINK("http://service.sap.com/sap/support/notes/1884086","1884086")</f>
        <v>1884086</v>
      </c>
      <c r="D824">
        <v>2</v>
      </c>
      <c r="E824" t="s">
        <v>1080</v>
      </c>
      <c r="F824" t="s">
        <v>13</v>
      </c>
    </row>
    <row r="825" spans="1:6" x14ac:dyDescent="0.3">
      <c r="A825" t="s">
        <v>1077</v>
      </c>
      <c r="B825" t="s">
        <v>635</v>
      </c>
      <c r="C825" t="str">
        <f>HYPERLINK("http://service.sap.com/sap/support/notes/1886619","1886619")</f>
        <v>1886619</v>
      </c>
      <c r="D825">
        <v>1</v>
      </c>
      <c r="E825" t="s">
        <v>1081</v>
      </c>
      <c r="F825" t="s">
        <v>17</v>
      </c>
    </row>
    <row r="826" spans="1:6" x14ac:dyDescent="0.3">
      <c r="A826" t="s">
        <v>1077</v>
      </c>
      <c r="B826" t="s">
        <v>635</v>
      </c>
      <c r="C826" t="str">
        <f>HYPERLINK("http://service.sap.com/sap/support/notes/1896721","1896721")</f>
        <v>1896721</v>
      </c>
      <c r="D826">
        <v>2</v>
      </c>
      <c r="E826" t="s">
        <v>1082</v>
      </c>
      <c r="F826" t="s">
        <v>17</v>
      </c>
    </row>
    <row r="827" spans="1:6" x14ac:dyDescent="0.3">
      <c r="A827" t="s">
        <v>1077</v>
      </c>
      <c r="B827" t="s">
        <v>635</v>
      </c>
      <c r="C827" t="str">
        <f>HYPERLINK("http://service.sap.com/sap/support/notes/1903419","1903419")</f>
        <v>1903419</v>
      </c>
      <c r="D827">
        <v>4</v>
      </c>
      <c r="E827" t="s">
        <v>1083</v>
      </c>
      <c r="F827" t="s">
        <v>13</v>
      </c>
    </row>
    <row r="828" spans="1:6" x14ac:dyDescent="0.3">
      <c r="A828" t="s">
        <v>1077</v>
      </c>
      <c r="B828" t="s">
        <v>635</v>
      </c>
      <c r="C828" t="str">
        <f>HYPERLINK("http://service.sap.com/sap/support/notes/1912416","1912416")</f>
        <v>1912416</v>
      </c>
      <c r="D828">
        <v>3</v>
      </c>
      <c r="E828" t="s">
        <v>1084</v>
      </c>
      <c r="F828" t="s">
        <v>17</v>
      </c>
    </row>
    <row r="829" spans="1:6" x14ac:dyDescent="0.3">
      <c r="A829" t="s">
        <v>1085</v>
      </c>
      <c r="B829" t="s">
        <v>646</v>
      </c>
      <c r="C829" t="str">
        <f>HYPERLINK("http://service.sap.com/sap/support/notes/1884234","1884234")</f>
        <v>1884234</v>
      </c>
      <c r="D829">
        <v>3</v>
      </c>
      <c r="E829" t="s">
        <v>1086</v>
      </c>
      <c r="F829" t="s">
        <v>17</v>
      </c>
    </row>
    <row r="830" spans="1:6" x14ac:dyDescent="0.3">
      <c r="A830" t="s">
        <v>1085</v>
      </c>
      <c r="B830" t="s">
        <v>646</v>
      </c>
      <c r="C830" t="str">
        <f>HYPERLINK("http://service.sap.com/sap/support/notes/1907804","1907804")</f>
        <v>1907804</v>
      </c>
      <c r="D830">
        <v>2</v>
      </c>
      <c r="E830" t="s">
        <v>1087</v>
      </c>
      <c r="F830" t="s">
        <v>17</v>
      </c>
    </row>
    <row r="831" spans="1:6" x14ac:dyDescent="0.3">
      <c r="A831" t="s">
        <v>1085</v>
      </c>
      <c r="B831" t="s">
        <v>646</v>
      </c>
      <c r="C831" t="str">
        <f>HYPERLINK("http://service.sap.com/sap/support/notes/1913547","1913547")</f>
        <v>1913547</v>
      </c>
      <c r="D831">
        <v>1</v>
      </c>
      <c r="E831" t="s">
        <v>1088</v>
      </c>
      <c r="F831" t="s">
        <v>13</v>
      </c>
    </row>
    <row r="832" spans="1:6" x14ac:dyDescent="0.3">
      <c r="A832" t="s">
        <v>1089</v>
      </c>
      <c r="B832" t="s">
        <v>138</v>
      </c>
      <c r="C832" t="str">
        <f>HYPERLINK("http://service.sap.com/sap/support/notes/1878386","1878386")</f>
        <v>1878386</v>
      </c>
      <c r="D832">
        <v>2</v>
      </c>
      <c r="E832" t="s">
        <v>1090</v>
      </c>
      <c r="F832" t="s">
        <v>13</v>
      </c>
    </row>
    <row r="833" spans="1:6" x14ac:dyDescent="0.3">
      <c r="A833" t="s">
        <v>1091</v>
      </c>
      <c r="B833" t="s">
        <v>684</v>
      </c>
      <c r="C833" t="str">
        <f>HYPERLINK("http://service.sap.com/sap/support/notes/1854481","1854481")</f>
        <v>1854481</v>
      </c>
      <c r="D833">
        <v>1</v>
      </c>
      <c r="E833" t="s">
        <v>1092</v>
      </c>
      <c r="F833" t="s">
        <v>13</v>
      </c>
    </row>
    <row r="834" spans="1:6" x14ac:dyDescent="0.3">
      <c r="A834" t="s">
        <v>1091</v>
      </c>
      <c r="B834" t="s">
        <v>684</v>
      </c>
      <c r="C834" t="str">
        <f>HYPERLINK("http://service.sap.com/sap/support/notes/1879614","1879614")</f>
        <v>1879614</v>
      </c>
      <c r="D834">
        <v>1</v>
      </c>
      <c r="E834" t="s">
        <v>1093</v>
      </c>
      <c r="F834" t="s">
        <v>13</v>
      </c>
    </row>
    <row r="835" spans="1:6" x14ac:dyDescent="0.3">
      <c r="A835" t="s">
        <v>1091</v>
      </c>
      <c r="B835" t="s">
        <v>684</v>
      </c>
      <c r="C835" t="str">
        <f>HYPERLINK("http://service.sap.com/sap/support/notes/1882156","1882156")</f>
        <v>1882156</v>
      </c>
      <c r="D835">
        <v>1</v>
      </c>
      <c r="E835" t="s">
        <v>1094</v>
      </c>
      <c r="F835" t="s">
        <v>13</v>
      </c>
    </row>
    <row r="836" spans="1:6" x14ac:dyDescent="0.3">
      <c r="A836" t="s">
        <v>1091</v>
      </c>
      <c r="B836" t="s">
        <v>684</v>
      </c>
      <c r="C836" t="str">
        <f>HYPERLINK("http://service.sap.com/sap/support/notes/1885708","1885708")</f>
        <v>1885708</v>
      </c>
      <c r="D836">
        <v>10</v>
      </c>
      <c r="E836" t="s">
        <v>1095</v>
      </c>
      <c r="F836" t="s">
        <v>11</v>
      </c>
    </row>
    <row r="837" spans="1:6" x14ac:dyDescent="0.3">
      <c r="A837" t="s">
        <v>1091</v>
      </c>
      <c r="B837" t="s">
        <v>684</v>
      </c>
      <c r="C837" t="str">
        <f>HYPERLINK("http://service.sap.com/sap/support/notes/1902344","1902344")</f>
        <v>1902344</v>
      </c>
      <c r="D837">
        <v>1</v>
      </c>
      <c r="E837" t="s">
        <v>1096</v>
      </c>
      <c r="F837" t="s">
        <v>13</v>
      </c>
    </row>
    <row r="838" spans="1:6" x14ac:dyDescent="0.3">
      <c r="A838" t="s">
        <v>1091</v>
      </c>
      <c r="B838" t="s">
        <v>684</v>
      </c>
      <c r="C838" t="str">
        <f>HYPERLINK("http://service.sap.com/sap/support/notes/1902812","1902812")</f>
        <v>1902812</v>
      </c>
      <c r="D838">
        <v>2</v>
      </c>
      <c r="E838" t="s">
        <v>1097</v>
      </c>
      <c r="F838" t="s">
        <v>13</v>
      </c>
    </row>
    <row r="839" spans="1:6" x14ac:dyDescent="0.3">
      <c r="A839" t="s">
        <v>1098</v>
      </c>
      <c r="B839" t="s">
        <v>1099</v>
      </c>
      <c r="C839" t="str">
        <f>HYPERLINK("http://service.sap.com/sap/support/notes/1868001","1868001")</f>
        <v>1868001</v>
      </c>
      <c r="D839">
        <v>1</v>
      </c>
      <c r="E839" t="s">
        <v>1100</v>
      </c>
      <c r="F839" t="s">
        <v>17</v>
      </c>
    </row>
    <row r="840" spans="1:6" x14ac:dyDescent="0.3">
      <c r="A840" t="s">
        <v>1098</v>
      </c>
      <c r="B840" t="s">
        <v>1099</v>
      </c>
      <c r="C840" t="str">
        <f>HYPERLINK("http://service.sap.com/sap/support/notes/1878854","1878854")</f>
        <v>1878854</v>
      </c>
      <c r="D840">
        <v>4</v>
      </c>
      <c r="E840" t="s">
        <v>1101</v>
      </c>
      <c r="F840" t="s">
        <v>17</v>
      </c>
    </row>
    <row r="841" spans="1:6" x14ac:dyDescent="0.3">
      <c r="A841" t="s">
        <v>1098</v>
      </c>
      <c r="B841" t="s">
        <v>1099</v>
      </c>
      <c r="C841" t="str">
        <f>HYPERLINK("http://service.sap.com/sap/support/notes/1906059","1906059")</f>
        <v>1906059</v>
      </c>
      <c r="D841">
        <v>3</v>
      </c>
      <c r="E841" t="s">
        <v>1102</v>
      </c>
      <c r="F841" t="s">
        <v>17</v>
      </c>
    </row>
    <row r="842" spans="1:6" x14ac:dyDescent="0.3">
      <c r="A842" t="s">
        <v>1103</v>
      </c>
      <c r="B842" t="s">
        <v>243</v>
      </c>
      <c r="C842" t="str">
        <f>HYPERLINK("http://service.sap.com/sap/support/notes/1840118","1840118")</f>
        <v>1840118</v>
      </c>
      <c r="D842">
        <v>3</v>
      </c>
      <c r="E842" t="s">
        <v>1104</v>
      </c>
      <c r="F842" t="s">
        <v>17</v>
      </c>
    </row>
    <row r="843" spans="1:6" x14ac:dyDescent="0.3">
      <c r="A843" t="s">
        <v>1103</v>
      </c>
      <c r="B843" t="s">
        <v>243</v>
      </c>
      <c r="C843" t="str">
        <f>HYPERLINK("http://service.sap.com/sap/support/notes/1841861","1841861")</f>
        <v>1841861</v>
      </c>
      <c r="D843">
        <v>3</v>
      </c>
      <c r="E843" t="s">
        <v>1105</v>
      </c>
      <c r="F843" t="s">
        <v>17</v>
      </c>
    </row>
    <row r="844" spans="1:6" x14ac:dyDescent="0.3">
      <c r="A844" t="s">
        <v>1103</v>
      </c>
      <c r="B844" t="s">
        <v>243</v>
      </c>
      <c r="C844" t="str">
        <f>HYPERLINK("http://service.sap.com/sap/support/notes/1843790","1843790")</f>
        <v>1843790</v>
      </c>
      <c r="D844">
        <v>2</v>
      </c>
      <c r="E844" t="s">
        <v>1106</v>
      </c>
      <c r="F844" t="s">
        <v>13</v>
      </c>
    </row>
    <row r="845" spans="1:6" x14ac:dyDescent="0.3">
      <c r="A845" t="s">
        <v>1103</v>
      </c>
      <c r="B845" t="s">
        <v>243</v>
      </c>
      <c r="C845" t="str">
        <f>HYPERLINK("http://service.sap.com/sap/support/notes/1844231","1844231")</f>
        <v>1844231</v>
      </c>
      <c r="D845">
        <v>2</v>
      </c>
      <c r="E845" t="s">
        <v>1107</v>
      </c>
      <c r="F845" t="s">
        <v>17</v>
      </c>
    </row>
    <row r="846" spans="1:6" x14ac:dyDescent="0.3">
      <c r="A846" t="s">
        <v>1103</v>
      </c>
      <c r="B846" t="s">
        <v>243</v>
      </c>
      <c r="C846" t="str">
        <f>HYPERLINK("http://service.sap.com/sap/support/notes/1850379","1850379")</f>
        <v>1850379</v>
      </c>
      <c r="D846">
        <v>2</v>
      </c>
      <c r="E846" t="s">
        <v>1108</v>
      </c>
      <c r="F846" t="s">
        <v>17</v>
      </c>
    </row>
    <row r="847" spans="1:6" x14ac:dyDescent="0.3">
      <c r="A847" t="s">
        <v>1103</v>
      </c>
      <c r="B847" t="s">
        <v>243</v>
      </c>
      <c r="C847" t="str">
        <f>HYPERLINK("http://service.sap.com/sap/support/notes/1855789","1855789")</f>
        <v>1855789</v>
      </c>
      <c r="D847">
        <v>1</v>
      </c>
      <c r="E847" t="s">
        <v>1109</v>
      </c>
      <c r="F847" t="s">
        <v>13</v>
      </c>
    </row>
    <row r="848" spans="1:6" x14ac:dyDescent="0.3">
      <c r="A848" t="s">
        <v>1103</v>
      </c>
      <c r="B848" t="s">
        <v>243</v>
      </c>
      <c r="C848" t="str">
        <f>HYPERLINK("http://service.sap.com/sap/support/notes/1858033","1858033")</f>
        <v>1858033</v>
      </c>
      <c r="D848">
        <v>2</v>
      </c>
      <c r="E848" t="s">
        <v>1110</v>
      </c>
      <c r="F848" t="s">
        <v>17</v>
      </c>
    </row>
    <row r="849" spans="1:6" x14ac:dyDescent="0.3">
      <c r="A849" t="s">
        <v>1103</v>
      </c>
      <c r="B849" t="s">
        <v>243</v>
      </c>
      <c r="C849" t="str">
        <f>HYPERLINK("http://service.sap.com/sap/support/notes/1861687","1861687")</f>
        <v>1861687</v>
      </c>
      <c r="D849">
        <v>2</v>
      </c>
      <c r="E849" t="s">
        <v>1111</v>
      </c>
      <c r="F849" t="s">
        <v>17</v>
      </c>
    </row>
    <row r="850" spans="1:6" x14ac:dyDescent="0.3">
      <c r="A850" t="s">
        <v>1103</v>
      </c>
      <c r="B850" t="s">
        <v>243</v>
      </c>
      <c r="C850" t="str">
        <f>HYPERLINK("http://service.sap.com/sap/support/notes/1863366","1863366")</f>
        <v>1863366</v>
      </c>
      <c r="D850">
        <v>1</v>
      </c>
      <c r="E850" t="s">
        <v>1112</v>
      </c>
      <c r="F850" t="s">
        <v>17</v>
      </c>
    </row>
    <row r="851" spans="1:6" x14ac:dyDescent="0.3">
      <c r="A851" t="s">
        <v>1103</v>
      </c>
      <c r="B851" t="s">
        <v>243</v>
      </c>
      <c r="C851" t="str">
        <f>HYPERLINK("http://service.sap.com/sap/support/notes/1866611","1866611")</f>
        <v>1866611</v>
      </c>
      <c r="D851">
        <v>1</v>
      </c>
      <c r="E851" t="s">
        <v>1113</v>
      </c>
      <c r="F851" t="s">
        <v>17</v>
      </c>
    </row>
    <row r="852" spans="1:6" x14ac:dyDescent="0.3">
      <c r="A852" t="s">
        <v>1103</v>
      </c>
      <c r="B852" t="s">
        <v>243</v>
      </c>
      <c r="C852" t="str">
        <f>HYPERLINK("http://service.sap.com/sap/support/notes/1869104","1869104")</f>
        <v>1869104</v>
      </c>
      <c r="D852">
        <v>1</v>
      </c>
      <c r="E852" t="s">
        <v>1114</v>
      </c>
      <c r="F852" t="s">
        <v>17</v>
      </c>
    </row>
    <row r="853" spans="1:6" x14ac:dyDescent="0.3">
      <c r="A853" t="s">
        <v>1103</v>
      </c>
      <c r="B853" t="s">
        <v>243</v>
      </c>
      <c r="C853" t="str">
        <f>HYPERLINK("http://service.sap.com/sap/support/notes/1872585","1872585")</f>
        <v>1872585</v>
      </c>
      <c r="D853">
        <v>1</v>
      </c>
      <c r="E853" t="s">
        <v>1115</v>
      </c>
      <c r="F853" t="s">
        <v>17</v>
      </c>
    </row>
    <row r="854" spans="1:6" x14ac:dyDescent="0.3">
      <c r="A854" t="s">
        <v>1103</v>
      </c>
      <c r="B854" t="s">
        <v>243</v>
      </c>
      <c r="C854" t="str">
        <f>HYPERLINK("http://service.sap.com/sap/support/notes/1879197","1879197")</f>
        <v>1879197</v>
      </c>
      <c r="D854">
        <v>1</v>
      </c>
      <c r="E854" t="s">
        <v>1116</v>
      </c>
      <c r="F854" t="s">
        <v>17</v>
      </c>
    </row>
    <row r="855" spans="1:6" x14ac:dyDescent="0.3">
      <c r="A855" t="s">
        <v>1103</v>
      </c>
      <c r="B855" t="s">
        <v>243</v>
      </c>
      <c r="C855" t="str">
        <f>HYPERLINK("http://service.sap.com/sap/support/notes/1881055","1881055")</f>
        <v>1881055</v>
      </c>
      <c r="D855">
        <v>2</v>
      </c>
      <c r="E855" t="s">
        <v>1117</v>
      </c>
      <c r="F855" t="s">
        <v>17</v>
      </c>
    </row>
    <row r="856" spans="1:6" x14ac:dyDescent="0.3">
      <c r="A856" t="s">
        <v>1103</v>
      </c>
      <c r="B856" t="s">
        <v>243</v>
      </c>
      <c r="C856" t="str">
        <f>HYPERLINK("http://service.sap.com/sap/support/notes/1881227","1881227")</f>
        <v>1881227</v>
      </c>
      <c r="D856">
        <v>3</v>
      </c>
      <c r="E856" t="s">
        <v>1118</v>
      </c>
      <c r="F856" t="s">
        <v>17</v>
      </c>
    </row>
    <row r="857" spans="1:6" x14ac:dyDescent="0.3">
      <c r="A857" t="s">
        <v>1103</v>
      </c>
      <c r="B857" t="s">
        <v>243</v>
      </c>
      <c r="C857" t="str">
        <f>HYPERLINK("http://service.sap.com/sap/support/notes/1888853","1888853")</f>
        <v>1888853</v>
      </c>
      <c r="D857">
        <v>1</v>
      </c>
      <c r="E857" t="s">
        <v>1119</v>
      </c>
      <c r="F857" t="s">
        <v>11</v>
      </c>
    </row>
    <row r="858" spans="1:6" x14ac:dyDescent="0.3">
      <c r="A858" t="s">
        <v>1103</v>
      </c>
      <c r="B858" t="s">
        <v>243</v>
      </c>
      <c r="C858" t="str">
        <f>HYPERLINK("http://service.sap.com/sap/support/notes/1888934","1888934")</f>
        <v>1888934</v>
      </c>
      <c r="D858">
        <v>8</v>
      </c>
      <c r="E858" t="s">
        <v>1120</v>
      </c>
      <c r="F858" t="s">
        <v>17</v>
      </c>
    </row>
    <row r="859" spans="1:6" x14ac:dyDescent="0.3">
      <c r="A859" t="s">
        <v>1103</v>
      </c>
      <c r="B859" t="s">
        <v>243</v>
      </c>
      <c r="C859" t="str">
        <f>HYPERLINK("http://service.sap.com/sap/support/notes/1891645","1891645")</f>
        <v>1891645</v>
      </c>
      <c r="D859">
        <v>1</v>
      </c>
      <c r="E859" t="s">
        <v>1121</v>
      </c>
      <c r="F859" t="s">
        <v>11</v>
      </c>
    </row>
    <row r="860" spans="1:6" x14ac:dyDescent="0.3">
      <c r="A860" t="s">
        <v>1103</v>
      </c>
      <c r="B860" t="s">
        <v>243</v>
      </c>
      <c r="C860" t="str">
        <f>HYPERLINK("http://service.sap.com/sap/support/notes/1909559","1909559")</f>
        <v>1909559</v>
      </c>
      <c r="D860">
        <v>1</v>
      </c>
      <c r="E860" t="s">
        <v>1122</v>
      </c>
      <c r="F860" t="s">
        <v>13</v>
      </c>
    </row>
    <row r="861" spans="1:6" x14ac:dyDescent="0.3">
      <c r="A861" t="s">
        <v>1103</v>
      </c>
      <c r="B861" t="s">
        <v>243</v>
      </c>
      <c r="C861" t="str">
        <f>HYPERLINK("http://service.sap.com/sap/support/notes/1909963","1909963")</f>
        <v>1909963</v>
      </c>
      <c r="D861">
        <v>2</v>
      </c>
      <c r="E861" t="s">
        <v>1123</v>
      </c>
      <c r="F861" t="s">
        <v>17</v>
      </c>
    </row>
    <row r="862" spans="1:6" x14ac:dyDescent="0.3">
      <c r="A862" t="s">
        <v>1124</v>
      </c>
      <c r="B862" t="s">
        <v>1125</v>
      </c>
    </row>
    <row r="863" spans="1:6" x14ac:dyDescent="0.3">
      <c r="A863" t="s">
        <v>1126</v>
      </c>
      <c r="B863" t="s">
        <v>1127</v>
      </c>
      <c r="C863" t="str">
        <f>HYPERLINK("http://service.sap.com/sap/support/notes/1842388","1842388")</f>
        <v>1842388</v>
      </c>
      <c r="D863">
        <v>2</v>
      </c>
      <c r="E863" t="s">
        <v>1128</v>
      </c>
      <c r="F863" t="s">
        <v>11</v>
      </c>
    </row>
    <row r="864" spans="1:6" x14ac:dyDescent="0.3">
      <c r="A864" t="s">
        <v>1129</v>
      </c>
      <c r="B864" t="s">
        <v>1130</v>
      </c>
      <c r="C864" t="str">
        <f>HYPERLINK("http://service.sap.com/sap/support/notes/1864097","1864097")</f>
        <v>1864097</v>
      </c>
      <c r="D864">
        <v>3</v>
      </c>
      <c r="E864" t="s">
        <v>1131</v>
      </c>
      <c r="F864" t="s">
        <v>17</v>
      </c>
    </row>
    <row r="865" spans="1:6" x14ac:dyDescent="0.3">
      <c r="A865" t="s">
        <v>1129</v>
      </c>
      <c r="B865" t="s">
        <v>1130</v>
      </c>
      <c r="C865" t="str">
        <f>HYPERLINK("http://service.sap.com/sap/support/notes/1865416","1865416")</f>
        <v>1865416</v>
      </c>
      <c r="D865">
        <v>2</v>
      </c>
      <c r="E865" t="s">
        <v>1132</v>
      </c>
      <c r="F865" t="s">
        <v>17</v>
      </c>
    </row>
    <row r="866" spans="1:6" x14ac:dyDescent="0.3">
      <c r="A866" t="s">
        <v>1129</v>
      </c>
      <c r="B866" t="s">
        <v>1130</v>
      </c>
      <c r="C866" t="str">
        <f>HYPERLINK("http://service.sap.com/sap/support/notes/1869445","1869445")</f>
        <v>1869445</v>
      </c>
      <c r="D866">
        <v>4</v>
      </c>
      <c r="E866" t="s">
        <v>1133</v>
      </c>
      <c r="F866" t="s">
        <v>17</v>
      </c>
    </row>
    <row r="867" spans="1:6" x14ac:dyDescent="0.3">
      <c r="A867" t="s">
        <v>1129</v>
      </c>
      <c r="B867" t="s">
        <v>1130</v>
      </c>
      <c r="C867" t="str">
        <f>HYPERLINK("http://service.sap.com/sap/support/notes/1880282","1880282")</f>
        <v>1880282</v>
      </c>
      <c r="D867">
        <v>1</v>
      </c>
      <c r="E867" t="s">
        <v>1134</v>
      </c>
      <c r="F867" t="s">
        <v>17</v>
      </c>
    </row>
    <row r="868" spans="1:6" x14ac:dyDescent="0.3">
      <c r="A868" t="s">
        <v>1129</v>
      </c>
      <c r="B868" t="s">
        <v>1130</v>
      </c>
      <c r="C868" t="str">
        <f>HYPERLINK("http://service.sap.com/sap/support/notes/1881515","1881515")</f>
        <v>1881515</v>
      </c>
      <c r="D868">
        <v>6</v>
      </c>
      <c r="E868" t="s">
        <v>1135</v>
      </c>
      <c r="F868" t="s">
        <v>17</v>
      </c>
    </row>
    <row r="869" spans="1:6" x14ac:dyDescent="0.3">
      <c r="A869" t="s">
        <v>1129</v>
      </c>
      <c r="B869" t="s">
        <v>1130</v>
      </c>
      <c r="C869" t="str">
        <f>HYPERLINK("http://service.sap.com/sap/support/notes/1882483","1882483")</f>
        <v>1882483</v>
      </c>
      <c r="D869">
        <v>1</v>
      </c>
      <c r="E869" t="s">
        <v>1136</v>
      </c>
      <c r="F869" t="s">
        <v>17</v>
      </c>
    </row>
    <row r="870" spans="1:6" x14ac:dyDescent="0.3">
      <c r="A870" t="s">
        <v>1137</v>
      </c>
      <c r="B870" t="s">
        <v>1138</v>
      </c>
      <c r="C870" t="str">
        <f>HYPERLINK("http://service.sap.com/sap/support/notes/1823868","1823868")</f>
        <v>1823868</v>
      </c>
      <c r="D870">
        <v>2</v>
      </c>
      <c r="E870" t="s">
        <v>1139</v>
      </c>
      <c r="F870" t="s">
        <v>17</v>
      </c>
    </row>
    <row r="871" spans="1:6" x14ac:dyDescent="0.3">
      <c r="A871" t="s">
        <v>1137</v>
      </c>
      <c r="B871" t="s">
        <v>1138</v>
      </c>
      <c r="C871" t="str">
        <f>HYPERLINK("http://service.sap.com/sap/support/notes/1838532","1838532")</f>
        <v>1838532</v>
      </c>
      <c r="D871">
        <v>2</v>
      </c>
      <c r="E871" t="s">
        <v>1140</v>
      </c>
      <c r="F871" t="s">
        <v>13</v>
      </c>
    </row>
    <row r="872" spans="1:6" x14ac:dyDescent="0.3">
      <c r="A872" t="s">
        <v>1137</v>
      </c>
      <c r="B872" t="s">
        <v>1138</v>
      </c>
      <c r="C872" t="str">
        <f>HYPERLINK("http://service.sap.com/sap/support/notes/1875135","1875135")</f>
        <v>1875135</v>
      </c>
      <c r="D872">
        <v>2</v>
      </c>
      <c r="E872" t="s">
        <v>1141</v>
      </c>
      <c r="F872" t="s">
        <v>17</v>
      </c>
    </row>
    <row r="873" spans="1:6" x14ac:dyDescent="0.3">
      <c r="A873" t="s">
        <v>1137</v>
      </c>
      <c r="B873" t="s">
        <v>1138</v>
      </c>
      <c r="C873" t="str">
        <f>HYPERLINK("http://service.sap.com/sap/support/notes/1892275","1892275")</f>
        <v>1892275</v>
      </c>
      <c r="D873">
        <v>1</v>
      </c>
      <c r="E873" t="s">
        <v>1142</v>
      </c>
      <c r="F873" t="s">
        <v>17</v>
      </c>
    </row>
    <row r="874" spans="1:6" x14ac:dyDescent="0.3">
      <c r="A874" t="s">
        <v>1143</v>
      </c>
      <c r="B874" t="s">
        <v>1130</v>
      </c>
      <c r="C874" t="str">
        <f>HYPERLINK("http://service.sap.com/sap/support/notes/1865363","1865363")</f>
        <v>1865363</v>
      </c>
      <c r="D874">
        <v>4</v>
      </c>
      <c r="E874" t="s">
        <v>1144</v>
      </c>
      <c r="F874" t="s">
        <v>17</v>
      </c>
    </row>
    <row r="875" spans="1:6" x14ac:dyDescent="0.3">
      <c r="A875" t="s">
        <v>1145</v>
      </c>
      <c r="B875" t="s">
        <v>1130</v>
      </c>
      <c r="C875" t="str">
        <f>HYPERLINK("http://service.sap.com/sap/support/notes/1870718","1870718")</f>
        <v>1870718</v>
      </c>
      <c r="D875">
        <v>3</v>
      </c>
      <c r="E875" t="s">
        <v>1146</v>
      </c>
      <c r="F875" t="s">
        <v>11</v>
      </c>
    </row>
    <row r="876" spans="1:6" x14ac:dyDescent="0.3">
      <c r="A876" t="s">
        <v>1145</v>
      </c>
      <c r="B876" t="s">
        <v>1130</v>
      </c>
      <c r="C876" t="str">
        <f>HYPERLINK("http://service.sap.com/sap/support/notes/1900735","1900735")</f>
        <v>1900735</v>
      </c>
      <c r="D876">
        <v>2</v>
      </c>
      <c r="E876" t="s">
        <v>1147</v>
      </c>
      <c r="F876" t="s">
        <v>17</v>
      </c>
    </row>
    <row r="877" spans="1:6" x14ac:dyDescent="0.3">
      <c r="A877" t="s">
        <v>1148</v>
      </c>
      <c r="B877" t="s">
        <v>1130</v>
      </c>
      <c r="C877" t="str">
        <f>HYPERLINK("http://service.sap.com/sap/support/notes/1856825","1856825")</f>
        <v>1856825</v>
      </c>
      <c r="D877">
        <v>3</v>
      </c>
      <c r="E877" t="s">
        <v>1149</v>
      </c>
      <c r="F877" t="s">
        <v>17</v>
      </c>
    </row>
    <row r="878" spans="1:6" x14ac:dyDescent="0.3">
      <c r="A878" t="s">
        <v>1148</v>
      </c>
      <c r="B878" t="s">
        <v>1130</v>
      </c>
      <c r="C878" t="str">
        <f>HYPERLINK("http://service.sap.com/sap/support/notes/1863575","1863575")</f>
        <v>1863575</v>
      </c>
      <c r="D878">
        <v>3</v>
      </c>
      <c r="E878" t="s">
        <v>1149</v>
      </c>
      <c r="F878" t="s">
        <v>17</v>
      </c>
    </row>
    <row r="879" spans="1:6" x14ac:dyDescent="0.3">
      <c r="A879" t="s">
        <v>1148</v>
      </c>
      <c r="B879" t="s">
        <v>1130</v>
      </c>
      <c r="C879" t="str">
        <f>HYPERLINK("http://service.sap.com/sap/support/notes/1864855","1864855")</f>
        <v>1864855</v>
      </c>
      <c r="D879">
        <v>3</v>
      </c>
      <c r="E879" t="s">
        <v>1150</v>
      </c>
      <c r="F879" t="s">
        <v>17</v>
      </c>
    </row>
    <row r="880" spans="1:6" x14ac:dyDescent="0.3">
      <c r="A880" t="s">
        <v>1148</v>
      </c>
      <c r="B880" t="s">
        <v>1130</v>
      </c>
      <c r="C880" t="str">
        <f>HYPERLINK("http://service.sap.com/sap/support/notes/1869309","1869309")</f>
        <v>1869309</v>
      </c>
      <c r="D880">
        <v>13</v>
      </c>
      <c r="E880" t="s">
        <v>1151</v>
      </c>
      <c r="F880" t="s">
        <v>17</v>
      </c>
    </row>
    <row r="881" spans="1:6" x14ac:dyDescent="0.3">
      <c r="A881" t="s">
        <v>1148</v>
      </c>
      <c r="B881" t="s">
        <v>1130</v>
      </c>
      <c r="C881" t="str">
        <f>HYPERLINK("http://service.sap.com/sap/support/notes/1872614","1872614")</f>
        <v>1872614</v>
      </c>
      <c r="D881">
        <v>2</v>
      </c>
      <c r="E881" t="s">
        <v>1152</v>
      </c>
      <c r="F881" t="s">
        <v>17</v>
      </c>
    </row>
    <row r="882" spans="1:6" x14ac:dyDescent="0.3">
      <c r="A882" t="s">
        <v>1148</v>
      </c>
      <c r="B882" t="s">
        <v>1130</v>
      </c>
      <c r="C882" t="str">
        <f>HYPERLINK("http://service.sap.com/sap/support/notes/1880655","1880655")</f>
        <v>1880655</v>
      </c>
      <c r="D882">
        <v>5</v>
      </c>
      <c r="E882" t="s">
        <v>1153</v>
      </c>
      <c r="F882" t="s">
        <v>17</v>
      </c>
    </row>
    <row r="883" spans="1:6" x14ac:dyDescent="0.3">
      <c r="A883" t="s">
        <v>1148</v>
      </c>
      <c r="B883" t="s">
        <v>1130</v>
      </c>
      <c r="C883" t="str">
        <f>HYPERLINK("http://service.sap.com/sap/support/notes/1885761","1885761")</f>
        <v>1885761</v>
      </c>
      <c r="D883">
        <v>8</v>
      </c>
      <c r="E883" t="s">
        <v>1154</v>
      </c>
      <c r="F883" t="s">
        <v>17</v>
      </c>
    </row>
    <row r="884" spans="1:6" x14ac:dyDescent="0.3">
      <c r="A884" t="s">
        <v>1148</v>
      </c>
      <c r="B884" t="s">
        <v>1130</v>
      </c>
      <c r="C884" t="str">
        <f>HYPERLINK("http://service.sap.com/sap/support/notes/1889169","1889169")</f>
        <v>1889169</v>
      </c>
      <c r="D884">
        <v>3</v>
      </c>
      <c r="E884" t="s">
        <v>1155</v>
      </c>
      <c r="F884" t="s">
        <v>17</v>
      </c>
    </row>
    <row r="885" spans="1:6" x14ac:dyDescent="0.3">
      <c r="A885" t="s">
        <v>1148</v>
      </c>
      <c r="B885" t="s">
        <v>1130</v>
      </c>
      <c r="C885" t="str">
        <f>HYPERLINK("http://service.sap.com/sap/support/notes/1903491","1903491")</f>
        <v>1903491</v>
      </c>
      <c r="D885">
        <v>4</v>
      </c>
      <c r="E885" t="s">
        <v>1156</v>
      </c>
      <c r="F885" t="s">
        <v>17</v>
      </c>
    </row>
    <row r="886" spans="1:6" x14ac:dyDescent="0.3">
      <c r="A886" t="s">
        <v>1148</v>
      </c>
      <c r="B886" t="s">
        <v>1130</v>
      </c>
      <c r="C886" t="str">
        <f>HYPERLINK("http://service.sap.com/sap/support/notes/1907741","1907741")</f>
        <v>1907741</v>
      </c>
      <c r="D886">
        <v>5</v>
      </c>
      <c r="E886" t="s">
        <v>1157</v>
      </c>
      <c r="F886" t="s">
        <v>17</v>
      </c>
    </row>
    <row r="887" spans="1:6" x14ac:dyDescent="0.3">
      <c r="A887" t="s">
        <v>1148</v>
      </c>
      <c r="B887" t="s">
        <v>1130</v>
      </c>
      <c r="C887" t="str">
        <f>HYPERLINK("http://service.sap.com/sap/support/notes/1911623","1911623")</f>
        <v>1911623</v>
      </c>
      <c r="D887">
        <v>4</v>
      </c>
      <c r="E887" t="s">
        <v>1158</v>
      </c>
      <c r="F887" t="s">
        <v>17</v>
      </c>
    </row>
    <row r="888" spans="1:6" x14ac:dyDescent="0.3">
      <c r="A888" t="s">
        <v>1159</v>
      </c>
      <c r="B888" t="s">
        <v>1130</v>
      </c>
      <c r="C888" t="str">
        <f>HYPERLINK("http://service.sap.com/sap/support/notes/1869269","1869269")</f>
        <v>1869269</v>
      </c>
      <c r="D888">
        <v>1</v>
      </c>
      <c r="E888" t="s">
        <v>1160</v>
      </c>
      <c r="F888" t="s">
        <v>17</v>
      </c>
    </row>
    <row r="889" spans="1:6" x14ac:dyDescent="0.3">
      <c r="A889" t="s">
        <v>1161</v>
      </c>
      <c r="B889" t="s">
        <v>77</v>
      </c>
      <c r="C889" t="str">
        <f>HYPERLINK("http://service.sap.com/sap/support/notes/1872904","1872904")</f>
        <v>1872904</v>
      </c>
      <c r="D889">
        <v>3</v>
      </c>
      <c r="E889" t="s">
        <v>1162</v>
      </c>
      <c r="F889" t="s">
        <v>13</v>
      </c>
    </row>
    <row r="890" spans="1:6" x14ac:dyDescent="0.3">
      <c r="A890" t="s">
        <v>1161</v>
      </c>
      <c r="B890" t="s">
        <v>77</v>
      </c>
      <c r="C890" t="str">
        <f>HYPERLINK("http://service.sap.com/sap/support/notes/1881206","1881206")</f>
        <v>1881206</v>
      </c>
      <c r="D890">
        <v>1</v>
      </c>
      <c r="E890" t="s">
        <v>1163</v>
      </c>
      <c r="F890" t="s">
        <v>13</v>
      </c>
    </row>
    <row r="891" spans="1:6" x14ac:dyDescent="0.3">
      <c r="A891" t="s">
        <v>1164</v>
      </c>
      <c r="B891" t="s">
        <v>243</v>
      </c>
    </row>
    <row r="892" spans="1:6" x14ac:dyDescent="0.3">
      <c r="A892" t="s">
        <v>1165</v>
      </c>
      <c r="B892" t="s">
        <v>1166</v>
      </c>
      <c r="C892" t="str">
        <f>HYPERLINK("http://service.sap.com/sap/support/notes/959492","959492")</f>
        <v>959492</v>
      </c>
      <c r="D892">
        <v>4</v>
      </c>
      <c r="E892" t="s">
        <v>1167</v>
      </c>
      <c r="F892" t="s">
        <v>13</v>
      </c>
    </row>
    <row r="893" spans="1:6" x14ac:dyDescent="0.3">
      <c r="A893" t="s">
        <v>1165</v>
      </c>
      <c r="B893" t="s">
        <v>1166</v>
      </c>
      <c r="C893" t="str">
        <f>HYPERLINK("http://service.sap.com/sap/support/notes/1043284","1043284")</f>
        <v>1043284</v>
      </c>
      <c r="D893">
        <v>7</v>
      </c>
      <c r="E893" t="s">
        <v>1168</v>
      </c>
      <c r="F893" t="s">
        <v>13</v>
      </c>
    </row>
    <row r="894" spans="1:6" x14ac:dyDescent="0.3">
      <c r="A894" t="s">
        <v>1165</v>
      </c>
      <c r="B894" t="s">
        <v>1166</v>
      </c>
      <c r="C894" t="str">
        <f>HYPERLINK("http://service.sap.com/sap/support/notes/1602319","1602319")</f>
        <v>1602319</v>
      </c>
      <c r="D894">
        <v>4</v>
      </c>
      <c r="E894" t="s">
        <v>1169</v>
      </c>
      <c r="F894" t="s">
        <v>17</v>
      </c>
    </row>
    <row r="895" spans="1:6" x14ac:dyDescent="0.3">
      <c r="A895" t="s">
        <v>1165</v>
      </c>
      <c r="B895" t="s">
        <v>1166</v>
      </c>
      <c r="C895" t="str">
        <f>HYPERLINK("http://service.sap.com/sap/support/notes/1834797","1834797")</f>
        <v>1834797</v>
      </c>
      <c r="D895">
        <v>1</v>
      </c>
      <c r="E895" t="s">
        <v>1170</v>
      </c>
      <c r="F895" t="s">
        <v>17</v>
      </c>
    </row>
    <row r="896" spans="1:6" x14ac:dyDescent="0.3">
      <c r="A896" t="s">
        <v>1165</v>
      </c>
      <c r="B896" t="s">
        <v>1166</v>
      </c>
      <c r="C896" t="str">
        <f>HYPERLINK("http://service.sap.com/sap/support/notes/1838927","1838927")</f>
        <v>1838927</v>
      </c>
      <c r="D896">
        <v>3</v>
      </c>
      <c r="E896" t="s">
        <v>1171</v>
      </c>
      <c r="F896" t="s">
        <v>13</v>
      </c>
    </row>
    <row r="897" spans="1:6" x14ac:dyDescent="0.3">
      <c r="A897" t="s">
        <v>1165</v>
      </c>
      <c r="B897" t="s">
        <v>1166</v>
      </c>
      <c r="C897" t="str">
        <f>HYPERLINK("http://service.sap.com/sap/support/notes/1862588","1862588")</f>
        <v>1862588</v>
      </c>
      <c r="D897">
        <v>2</v>
      </c>
      <c r="E897" t="s">
        <v>1172</v>
      </c>
      <c r="F897" t="s">
        <v>17</v>
      </c>
    </row>
    <row r="898" spans="1:6" x14ac:dyDescent="0.3">
      <c r="A898" t="s">
        <v>1165</v>
      </c>
      <c r="B898" t="s">
        <v>1166</v>
      </c>
      <c r="C898" t="str">
        <f>HYPERLINK("http://service.sap.com/sap/support/notes/1869404","1869404")</f>
        <v>1869404</v>
      </c>
      <c r="D898">
        <v>4</v>
      </c>
      <c r="E898" t="s">
        <v>1173</v>
      </c>
      <c r="F898" t="s">
        <v>13</v>
      </c>
    </row>
    <row r="899" spans="1:6" x14ac:dyDescent="0.3">
      <c r="A899" t="s">
        <v>1165</v>
      </c>
      <c r="B899" t="s">
        <v>1166</v>
      </c>
      <c r="C899" t="str">
        <f>HYPERLINK("http://service.sap.com/sap/support/notes/1880723","1880723")</f>
        <v>1880723</v>
      </c>
      <c r="D899">
        <v>1</v>
      </c>
      <c r="E899" t="s">
        <v>1174</v>
      </c>
      <c r="F899" t="s">
        <v>17</v>
      </c>
    </row>
    <row r="900" spans="1:6" x14ac:dyDescent="0.3">
      <c r="A900" t="s">
        <v>1165</v>
      </c>
      <c r="B900" t="s">
        <v>1166</v>
      </c>
      <c r="C900" t="str">
        <f>HYPERLINK("http://service.sap.com/sap/support/notes/1883608","1883608")</f>
        <v>1883608</v>
      </c>
      <c r="D900">
        <v>7</v>
      </c>
      <c r="E900" t="s">
        <v>1175</v>
      </c>
      <c r="F900" t="s">
        <v>13</v>
      </c>
    </row>
    <row r="901" spans="1:6" x14ac:dyDescent="0.3">
      <c r="A901" t="s">
        <v>1176</v>
      </c>
      <c r="B901" t="s">
        <v>346</v>
      </c>
      <c r="C901" t="str">
        <f>HYPERLINK("http://service.sap.com/sap/support/notes/1908076","1908076")</f>
        <v>1908076</v>
      </c>
      <c r="D901">
        <v>1</v>
      </c>
      <c r="E901" t="s">
        <v>1177</v>
      </c>
      <c r="F901" t="s">
        <v>17</v>
      </c>
    </row>
    <row r="902" spans="1:6" x14ac:dyDescent="0.3">
      <c r="A902" t="s">
        <v>1178</v>
      </c>
      <c r="B902" t="s">
        <v>909</v>
      </c>
      <c r="C902" t="str">
        <f>HYPERLINK("http://service.sap.com/sap/support/notes/1862686","1862686")</f>
        <v>1862686</v>
      </c>
      <c r="D902">
        <v>1</v>
      </c>
      <c r="E902" t="s">
        <v>1179</v>
      </c>
      <c r="F902" t="s">
        <v>13</v>
      </c>
    </row>
    <row r="903" spans="1:6" x14ac:dyDescent="0.3">
      <c r="A903" t="s">
        <v>1180</v>
      </c>
      <c r="B903" t="s">
        <v>1181</v>
      </c>
      <c r="C903" t="str">
        <f>HYPERLINK("http://service.sap.com/sap/support/notes/1873679","1873679")</f>
        <v>1873679</v>
      </c>
      <c r="D903">
        <v>2</v>
      </c>
      <c r="E903" t="s">
        <v>1182</v>
      </c>
      <c r="F903" t="s">
        <v>13</v>
      </c>
    </row>
    <row r="904" spans="1:6" x14ac:dyDescent="0.3">
      <c r="A904" t="s">
        <v>1180</v>
      </c>
      <c r="B904" t="s">
        <v>1181</v>
      </c>
      <c r="C904" t="str">
        <f>HYPERLINK("http://service.sap.com/sap/support/notes/1912818","1912818")</f>
        <v>1912818</v>
      </c>
      <c r="D904">
        <v>1</v>
      </c>
      <c r="E904" t="s">
        <v>1183</v>
      </c>
      <c r="F904" t="s">
        <v>17</v>
      </c>
    </row>
    <row r="905" spans="1:6" x14ac:dyDescent="0.3">
      <c r="A905" t="s">
        <v>1184</v>
      </c>
      <c r="B905" t="s">
        <v>1185</v>
      </c>
      <c r="C905" t="str">
        <f>HYPERLINK("http://service.sap.com/sap/support/notes/1892216","1892216")</f>
        <v>1892216</v>
      </c>
      <c r="D905">
        <v>2</v>
      </c>
      <c r="E905" t="s">
        <v>1186</v>
      </c>
      <c r="F905" t="s">
        <v>17</v>
      </c>
    </row>
    <row r="906" spans="1:6" x14ac:dyDescent="0.3">
      <c r="A906" t="s">
        <v>1187</v>
      </c>
      <c r="B906" t="s">
        <v>1073</v>
      </c>
      <c r="C906" t="str">
        <f>HYPERLINK("http://service.sap.com/sap/support/notes/1887135","1887135")</f>
        <v>1887135</v>
      </c>
      <c r="D906">
        <v>1</v>
      </c>
      <c r="E906" t="s">
        <v>1188</v>
      </c>
      <c r="F906" t="s">
        <v>17</v>
      </c>
    </row>
    <row r="907" spans="1:6" x14ac:dyDescent="0.3">
      <c r="A907" t="s">
        <v>1189</v>
      </c>
      <c r="B907" t="s">
        <v>153</v>
      </c>
      <c r="C907" t="str">
        <f>HYPERLINK("http://service.sap.com/sap/support/notes/1717512","1717512")</f>
        <v>1717512</v>
      </c>
      <c r="D907">
        <v>2</v>
      </c>
      <c r="E907" t="s">
        <v>1190</v>
      </c>
      <c r="F907" t="s">
        <v>17</v>
      </c>
    </row>
    <row r="908" spans="1:6" x14ac:dyDescent="0.3">
      <c r="A908" t="s">
        <v>1189</v>
      </c>
      <c r="B908" t="s">
        <v>153</v>
      </c>
      <c r="C908" t="str">
        <f>HYPERLINK("http://service.sap.com/sap/support/notes/1806095","1806095")</f>
        <v>1806095</v>
      </c>
      <c r="D908">
        <v>3</v>
      </c>
      <c r="E908" t="s">
        <v>1191</v>
      </c>
      <c r="F908" t="s">
        <v>17</v>
      </c>
    </row>
    <row r="909" spans="1:6" x14ac:dyDescent="0.3">
      <c r="A909" t="s">
        <v>1189</v>
      </c>
      <c r="B909" t="s">
        <v>153</v>
      </c>
      <c r="C909" t="str">
        <f>HYPERLINK("http://service.sap.com/sap/support/notes/1914680","1914680")</f>
        <v>1914680</v>
      </c>
      <c r="D909">
        <v>1</v>
      </c>
      <c r="E909" t="s">
        <v>1192</v>
      </c>
      <c r="F909" t="s">
        <v>13</v>
      </c>
    </row>
    <row r="910" spans="1:6" x14ac:dyDescent="0.3">
      <c r="A910" t="s">
        <v>1193</v>
      </c>
      <c r="B910" t="s">
        <v>1194</v>
      </c>
      <c r="C910" t="str">
        <f>HYPERLINK("http://service.sap.com/sap/support/notes/1903517","1903517")</f>
        <v>1903517</v>
      </c>
      <c r="D910">
        <v>2</v>
      </c>
      <c r="E910" t="s">
        <v>1195</v>
      </c>
      <c r="F910" t="s">
        <v>17</v>
      </c>
    </row>
    <row r="911" spans="1:6" x14ac:dyDescent="0.3">
      <c r="A911" t="s">
        <v>1196</v>
      </c>
      <c r="B911" t="s">
        <v>646</v>
      </c>
      <c r="C911" t="str">
        <f>HYPERLINK("http://service.sap.com/sap/support/notes/1907654","1907654")</f>
        <v>1907654</v>
      </c>
      <c r="D911">
        <v>2</v>
      </c>
      <c r="E911" t="s">
        <v>1197</v>
      </c>
      <c r="F911" t="s">
        <v>17</v>
      </c>
    </row>
    <row r="912" spans="1:6" x14ac:dyDescent="0.3">
      <c r="A912" t="s">
        <v>1198</v>
      </c>
      <c r="B912" t="s">
        <v>1199</v>
      </c>
      <c r="C912" t="str">
        <f>HYPERLINK("http://service.sap.com/sap/support/notes/1902169","1902169")</f>
        <v>1902169</v>
      </c>
      <c r="D912">
        <v>1</v>
      </c>
      <c r="E912" t="s">
        <v>1200</v>
      </c>
      <c r="F912" t="s">
        <v>13</v>
      </c>
    </row>
    <row r="913" spans="1:6" x14ac:dyDescent="0.3">
      <c r="A913" t="s">
        <v>1201</v>
      </c>
      <c r="B913" t="s">
        <v>1202</v>
      </c>
    </row>
    <row r="914" spans="1:6" x14ac:dyDescent="0.3">
      <c r="A914" t="s">
        <v>1203</v>
      </c>
      <c r="B914" t="s">
        <v>1204</v>
      </c>
      <c r="C914" t="str">
        <f>HYPERLINK("http://service.sap.com/sap/support/notes/1849748","1849748")</f>
        <v>1849748</v>
      </c>
      <c r="D914">
        <v>1</v>
      </c>
      <c r="E914" t="s">
        <v>1205</v>
      </c>
      <c r="F914" t="s">
        <v>13</v>
      </c>
    </row>
    <row r="915" spans="1:6" x14ac:dyDescent="0.3">
      <c r="A915" t="s">
        <v>1206</v>
      </c>
      <c r="B915" t="s">
        <v>1207</v>
      </c>
    </row>
    <row r="916" spans="1:6" x14ac:dyDescent="0.3">
      <c r="A916" t="s">
        <v>1208</v>
      </c>
      <c r="B916" t="s">
        <v>1209</v>
      </c>
    </row>
    <row r="917" spans="1:6" x14ac:dyDescent="0.3">
      <c r="A917" t="s">
        <v>1210</v>
      </c>
      <c r="B917" t="s">
        <v>1211</v>
      </c>
      <c r="C917" t="str">
        <f>HYPERLINK("http://service.sap.com/sap/support/notes/1847875","1847875")</f>
        <v>1847875</v>
      </c>
      <c r="D917">
        <v>3</v>
      </c>
      <c r="E917" t="s">
        <v>1212</v>
      </c>
      <c r="F917" t="s">
        <v>11</v>
      </c>
    </row>
    <row r="918" spans="1:6" x14ac:dyDescent="0.3">
      <c r="A918" t="s">
        <v>1210</v>
      </c>
      <c r="B918" t="s">
        <v>1211</v>
      </c>
      <c r="C918" t="str">
        <f>HYPERLINK("http://service.sap.com/sap/support/notes/1847915","1847915")</f>
        <v>1847915</v>
      </c>
      <c r="D918">
        <v>2</v>
      </c>
      <c r="E918" t="s">
        <v>1213</v>
      </c>
      <c r="F918" t="s">
        <v>11</v>
      </c>
    </row>
    <row r="919" spans="1:6" x14ac:dyDescent="0.3">
      <c r="A919" t="s">
        <v>1210</v>
      </c>
      <c r="B919" t="s">
        <v>1211</v>
      </c>
      <c r="C919" t="str">
        <f>HYPERLINK("http://service.sap.com/sap/support/notes/1863437","1863437")</f>
        <v>1863437</v>
      </c>
      <c r="D919">
        <v>2</v>
      </c>
      <c r="E919" t="s">
        <v>1214</v>
      </c>
      <c r="F919" t="s">
        <v>11</v>
      </c>
    </row>
    <row r="920" spans="1:6" x14ac:dyDescent="0.3">
      <c r="A920" t="s">
        <v>1210</v>
      </c>
      <c r="B920" t="s">
        <v>1211</v>
      </c>
      <c r="C920" t="str">
        <f>HYPERLINK("http://service.sap.com/sap/support/notes/1876400","1876400")</f>
        <v>1876400</v>
      </c>
      <c r="D920">
        <v>1</v>
      </c>
      <c r="E920" t="s">
        <v>1215</v>
      </c>
      <c r="F920" t="s">
        <v>11</v>
      </c>
    </row>
    <row r="921" spans="1:6" x14ac:dyDescent="0.3">
      <c r="A921" t="s">
        <v>1210</v>
      </c>
      <c r="B921" t="s">
        <v>1211</v>
      </c>
      <c r="C921" t="str">
        <f>HYPERLINK("http://service.sap.com/sap/support/notes/1877390","1877390")</f>
        <v>1877390</v>
      </c>
      <c r="D921">
        <v>4</v>
      </c>
      <c r="E921" t="s">
        <v>1216</v>
      </c>
      <c r="F921" t="s">
        <v>11</v>
      </c>
    </row>
    <row r="922" spans="1:6" x14ac:dyDescent="0.3">
      <c r="A922" t="s">
        <v>1210</v>
      </c>
      <c r="B922" t="s">
        <v>1211</v>
      </c>
      <c r="C922" t="str">
        <f>HYPERLINK("http://service.sap.com/sap/support/notes/1881181","1881181")</f>
        <v>1881181</v>
      </c>
      <c r="D922">
        <v>3</v>
      </c>
      <c r="E922" t="s">
        <v>1217</v>
      </c>
      <c r="F922" t="s">
        <v>11</v>
      </c>
    </row>
    <row r="923" spans="1:6" x14ac:dyDescent="0.3">
      <c r="A923" t="s">
        <v>1210</v>
      </c>
      <c r="B923" t="s">
        <v>1211</v>
      </c>
      <c r="C923" t="str">
        <f>HYPERLINK("http://service.sap.com/sap/support/notes/1898035","1898035")</f>
        <v>1898035</v>
      </c>
      <c r="D923">
        <v>2</v>
      </c>
      <c r="E923" t="s">
        <v>1218</v>
      </c>
      <c r="F923" t="s">
        <v>11</v>
      </c>
    </row>
    <row r="924" spans="1:6" x14ac:dyDescent="0.3">
      <c r="A924" t="s">
        <v>1210</v>
      </c>
      <c r="B924" t="s">
        <v>1211</v>
      </c>
      <c r="C924" t="str">
        <f>HYPERLINK("http://service.sap.com/sap/support/notes/1905816","1905816")</f>
        <v>1905816</v>
      </c>
      <c r="D924">
        <v>2</v>
      </c>
      <c r="E924" t="s">
        <v>1219</v>
      </c>
      <c r="F924" t="s">
        <v>11</v>
      </c>
    </row>
    <row r="925" spans="1:6" x14ac:dyDescent="0.3">
      <c r="A925" t="s">
        <v>1210</v>
      </c>
      <c r="B925" t="s">
        <v>1211</v>
      </c>
      <c r="C925" t="str">
        <f>HYPERLINK("http://service.sap.com/sap/support/notes/1907698","1907698")</f>
        <v>1907698</v>
      </c>
      <c r="D925">
        <v>1</v>
      </c>
      <c r="E925" t="s">
        <v>1220</v>
      </c>
      <c r="F925" t="s">
        <v>11</v>
      </c>
    </row>
    <row r="926" spans="1:6" x14ac:dyDescent="0.3">
      <c r="A926" t="s">
        <v>1210</v>
      </c>
      <c r="B926" t="s">
        <v>1211</v>
      </c>
      <c r="C926" t="str">
        <f>HYPERLINK("http://service.sap.com/sap/support/notes/1907745","1907745")</f>
        <v>1907745</v>
      </c>
      <c r="D926">
        <v>1</v>
      </c>
      <c r="E926" t="s">
        <v>1221</v>
      </c>
      <c r="F926" t="s">
        <v>11</v>
      </c>
    </row>
    <row r="927" spans="1:6" x14ac:dyDescent="0.3">
      <c r="A927" t="s">
        <v>1222</v>
      </c>
      <c r="B927" t="s">
        <v>1223</v>
      </c>
      <c r="C927" t="str">
        <f>HYPERLINK("http://service.sap.com/sap/support/notes/1899438","1899438")</f>
        <v>1899438</v>
      </c>
      <c r="D927">
        <v>2</v>
      </c>
      <c r="E927" t="s">
        <v>1224</v>
      </c>
      <c r="F927" t="s">
        <v>11</v>
      </c>
    </row>
    <row r="928" spans="1:6" x14ac:dyDescent="0.3">
      <c r="A928" t="s">
        <v>1225</v>
      </c>
      <c r="B928" t="s">
        <v>1226</v>
      </c>
      <c r="C928" t="str">
        <f>HYPERLINK("http://service.sap.com/sap/support/notes/1762262","1762262")</f>
        <v>1762262</v>
      </c>
      <c r="D928">
        <v>2</v>
      </c>
      <c r="E928" t="s">
        <v>1227</v>
      </c>
      <c r="F928" t="s">
        <v>17</v>
      </c>
    </row>
    <row r="929" spans="1:6" x14ac:dyDescent="0.3">
      <c r="A929" t="s">
        <v>1225</v>
      </c>
      <c r="B929" t="s">
        <v>1226</v>
      </c>
      <c r="C929" t="str">
        <f>HYPERLINK("http://service.sap.com/sap/support/notes/1836541","1836541")</f>
        <v>1836541</v>
      </c>
      <c r="D929">
        <v>5</v>
      </c>
      <c r="E929" t="s">
        <v>1228</v>
      </c>
      <c r="F929" t="s">
        <v>17</v>
      </c>
    </row>
    <row r="930" spans="1:6" x14ac:dyDescent="0.3">
      <c r="A930" t="s">
        <v>1225</v>
      </c>
      <c r="B930" t="s">
        <v>1226</v>
      </c>
      <c r="C930" t="str">
        <f>HYPERLINK("http://service.sap.com/sap/support/notes/1838437","1838437")</f>
        <v>1838437</v>
      </c>
      <c r="D930">
        <v>3</v>
      </c>
      <c r="E930" t="s">
        <v>1229</v>
      </c>
      <c r="F930" t="s">
        <v>13</v>
      </c>
    </row>
    <row r="931" spans="1:6" x14ac:dyDescent="0.3">
      <c r="A931" t="s">
        <v>1225</v>
      </c>
      <c r="B931" t="s">
        <v>1226</v>
      </c>
      <c r="C931" t="str">
        <f>HYPERLINK("http://service.sap.com/sap/support/notes/1844855","1844855")</f>
        <v>1844855</v>
      </c>
      <c r="D931">
        <v>3</v>
      </c>
      <c r="E931" t="s">
        <v>1230</v>
      </c>
      <c r="F931" t="s">
        <v>17</v>
      </c>
    </row>
    <row r="932" spans="1:6" x14ac:dyDescent="0.3">
      <c r="A932" t="s">
        <v>1225</v>
      </c>
      <c r="B932" t="s">
        <v>1226</v>
      </c>
      <c r="C932" t="str">
        <f>HYPERLINK("http://service.sap.com/sap/support/notes/1847028","1847028")</f>
        <v>1847028</v>
      </c>
      <c r="D932">
        <v>1</v>
      </c>
      <c r="E932" t="s">
        <v>1231</v>
      </c>
      <c r="F932" t="s">
        <v>17</v>
      </c>
    </row>
    <row r="933" spans="1:6" x14ac:dyDescent="0.3">
      <c r="A933" t="s">
        <v>1225</v>
      </c>
      <c r="B933" t="s">
        <v>1226</v>
      </c>
      <c r="C933" t="str">
        <f>HYPERLINK("http://service.sap.com/sap/support/notes/1855084","1855084")</f>
        <v>1855084</v>
      </c>
      <c r="D933">
        <v>3</v>
      </c>
      <c r="E933" t="s">
        <v>1232</v>
      </c>
      <c r="F933" t="s">
        <v>11</v>
      </c>
    </row>
    <row r="934" spans="1:6" x14ac:dyDescent="0.3">
      <c r="A934" t="s">
        <v>1225</v>
      </c>
      <c r="B934" t="s">
        <v>1226</v>
      </c>
      <c r="C934" t="str">
        <f>HYPERLINK("http://service.sap.com/sap/support/notes/1873677","1873677")</f>
        <v>1873677</v>
      </c>
      <c r="D934">
        <v>1</v>
      </c>
      <c r="E934" t="s">
        <v>1233</v>
      </c>
      <c r="F934" t="s">
        <v>17</v>
      </c>
    </row>
    <row r="935" spans="1:6" x14ac:dyDescent="0.3">
      <c r="A935" t="s">
        <v>1225</v>
      </c>
      <c r="B935" t="s">
        <v>1226</v>
      </c>
      <c r="C935" t="str">
        <f>HYPERLINK("http://service.sap.com/sap/support/notes/1876093","1876093")</f>
        <v>1876093</v>
      </c>
      <c r="D935">
        <v>2</v>
      </c>
      <c r="E935" t="s">
        <v>1234</v>
      </c>
      <c r="F935" t="s">
        <v>13</v>
      </c>
    </row>
    <row r="936" spans="1:6" x14ac:dyDescent="0.3">
      <c r="A936" t="s">
        <v>1225</v>
      </c>
      <c r="B936" t="s">
        <v>1226</v>
      </c>
      <c r="C936" t="str">
        <f>HYPERLINK("http://service.sap.com/sap/support/notes/1879033","1879033")</f>
        <v>1879033</v>
      </c>
      <c r="D936">
        <v>2</v>
      </c>
      <c r="E936" t="s">
        <v>1235</v>
      </c>
      <c r="F936" t="s">
        <v>13</v>
      </c>
    </row>
    <row r="937" spans="1:6" x14ac:dyDescent="0.3">
      <c r="A937" t="s">
        <v>1225</v>
      </c>
      <c r="B937" t="s">
        <v>1226</v>
      </c>
      <c r="C937" t="str">
        <f>HYPERLINK("http://service.sap.com/sap/support/notes/1887724","1887724")</f>
        <v>1887724</v>
      </c>
      <c r="D937">
        <v>6</v>
      </c>
      <c r="E937" t="s">
        <v>1236</v>
      </c>
      <c r="F937" t="s">
        <v>17</v>
      </c>
    </row>
    <row r="938" spans="1:6" x14ac:dyDescent="0.3">
      <c r="A938" t="s">
        <v>1225</v>
      </c>
      <c r="B938" t="s">
        <v>1226</v>
      </c>
      <c r="C938" t="str">
        <f>HYPERLINK("http://service.sap.com/sap/support/notes/1892712","1892712")</f>
        <v>1892712</v>
      </c>
      <c r="D938">
        <v>1</v>
      </c>
      <c r="E938" t="s">
        <v>1237</v>
      </c>
      <c r="F938" t="s">
        <v>13</v>
      </c>
    </row>
    <row r="939" spans="1:6" x14ac:dyDescent="0.3">
      <c r="A939" t="s">
        <v>1225</v>
      </c>
      <c r="B939" t="s">
        <v>1226</v>
      </c>
      <c r="C939" t="str">
        <f>HYPERLINK("http://service.sap.com/sap/support/notes/1894327","1894327")</f>
        <v>1894327</v>
      </c>
      <c r="D939">
        <v>1</v>
      </c>
      <c r="E939" t="s">
        <v>1238</v>
      </c>
      <c r="F939" t="s">
        <v>17</v>
      </c>
    </row>
    <row r="940" spans="1:6" x14ac:dyDescent="0.3">
      <c r="A940" t="s">
        <v>1225</v>
      </c>
      <c r="B940" t="s">
        <v>1226</v>
      </c>
      <c r="C940" t="str">
        <f>HYPERLINK("http://service.sap.com/sap/support/notes/1905586","1905586")</f>
        <v>1905586</v>
      </c>
      <c r="D940">
        <v>1</v>
      </c>
      <c r="E940" t="s">
        <v>1239</v>
      </c>
      <c r="F940" t="s">
        <v>17</v>
      </c>
    </row>
    <row r="941" spans="1:6" x14ac:dyDescent="0.3">
      <c r="A941" t="s">
        <v>1225</v>
      </c>
      <c r="B941" t="s">
        <v>1226</v>
      </c>
      <c r="C941" t="str">
        <f>HYPERLINK("http://service.sap.com/sap/support/notes/1919621","1919621")</f>
        <v>1919621</v>
      </c>
      <c r="D941">
        <v>1</v>
      </c>
      <c r="E941" t="s">
        <v>1240</v>
      </c>
      <c r="F941" t="s">
        <v>17</v>
      </c>
    </row>
    <row r="942" spans="1:6" x14ac:dyDescent="0.3">
      <c r="A942" t="s">
        <v>1241</v>
      </c>
      <c r="B942" t="s">
        <v>1242</v>
      </c>
      <c r="C942" t="str">
        <f>HYPERLINK("http://service.sap.com/sap/support/notes/1893252","1893252")</f>
        <v>1893252</v>
      </c>
      <c r="D942">
        <v>1</v>
      </c>
      <c r="E942" t="s">
        <v>1243</v>
      </c>
      <c r="F942" t="s">
        <v>17</v>
      </c>
    </row>
    <row r="943" spans="1:6" x14ac:dyDescent="0.3">
      <c r="A943" t="s">
        <v>1244</v>
      </c>
      <c r="B943" t="s">
        <v>346</v>
      </c>
      <c r="C943" t="str">
        <f>HYPERLINK("http://service.sap.com/sap/support/notes/1846503","1846503")</f>
        <v>1846503</v>
      </c>
      <c r="D943">
        <v>4</v>
      </c>
      <c r="E943" t="s">
        <v>1245</v>
      </c>
      <c r="F943" t="s">
        <v>17</v>
      </c>
    </row>
    <row r="944" spans="1:6" x14ac:dyDescent="0.3">
      <c r="A944" t="s">
        <v>1244</v>
      </c>
      <c r="B944" t="s">
        <v>346</v>
      </c>
      <c r="C944" t="str">
        <f>HYPERLINK("http://service.sap.com/sap/support/notes/1867370","1867370")</f>
        <v>1867370</v>
      </c>
      <c r="D944">
        <v>5</v>
      </c>
      <c r="E944" t="s">
        <v>1246</v>
      </c>
      <c r="F944" t="s">
        <v>17</v>
      </c>
    </row>
    <row r="945" spans="1:6" x14ac:dyDescent="0.3">
      <c r="A945" t="s">
        <v>1244</v>
      </c>
      <c r="B945" t="s">
        <v>346</v>
      </c>
      <c r="C945" t="str">
        <f>HYPERLINK("http://service.sap.com/sap/support/notes/1882002","1882002")</f>
        <v>1882002</v>
      </c>
      <c r="D945">
        <v>1</v>
      </c>
      <c r="E945" t="s">
        <v>1247</v>
      </c>
      <c r="F945" t="s">
        <v>17</v>
      </c>
    </row>
    <row r="946" spans="1:6" x14ac:dyDescent="0.3">
      <c r="A946" t="s">
        <v>1244</v>
      </c>
      <c r="B946" t="s">
        <v>346</v>
      </c>
      <c r="C946" t="str">
        <f>HYPERLINK("http://service.sap.com/sap/support/notes/1894998","1894998")</f>
        <v>1894998</v>
      </c>
      <c r="D946">
        <v>2</v>
      </c>
      <c r="E946" t="s">
        <v>1248</v>
      </c>
      <c r="F946" t="s">
        <v>17</v>
      </c>
    </row>
    <row r="947" spans="1:6" x14ac:dyDescent="0.3">
      <c r="A947" t="s">
        <v>1244</v>
      </c>
      <c r="B947" t="s">
        <v>346</v>
      </c>
      <c r="C947" t="str">
        <f>HYPERLINK("http://service.sap.com/sap/support/notes/1911103","1911103")</f>
        <v>1911103</v>
      </c>
      <c r="D947">
        <v>1</v>
      </c>
      <c r="E947" t="s">
        <v>1249</v>
      </c>
      <c r="F947" t="s">
        <v>17</v>
      </c>
    </row>
    <row r="948" spans="1:6" x14ac:dyDescent="0.3">
      <c r="A948" t="s">
        <v>1250</v>
      </c>
      <c r="B948" t="s">
        <v>1251</v>
      </c>
      <c r="C948" t="str">
        <f>HYPERLINK("http://service.sap.com/sap/support/notes/1823874","1823874")</f>
        <v>1823874</v>
      </c>
      <c r="D948">
        <v>4</v>
      </c>
      <c r="E948" t="s">
        <v>1252</v>
      </c>
      <c r="F948" t="s">
        <v>17</v>
      </c>
    </row>
    <row r="949" spans="1:6" x14ac:dyDescent="0.3">
      <c r="A949" t="s">
        <v>1250</v>
      </c>
      <c r="B949" t="s">
        <v>1251</v>
      </c>
      <c r="C949" t="str">
        <f>HYPERLINK("http://service.sap.com/sap/support/notes/1848335","1848335")</f>
        <v>1848335</v>
      </c>
      <c r="D949">
        <v>4</v>
      </c>
      <c r="E949" t="s">
        <v>1253</v>
      </c>
      <c r="F949" t="s">
        <v>17</v>
      </c>
    </row>
    <row r="950" spans="1:6" x14ac:dyDescent="0.3">
      <c r="A950" t="s">
        <v>1250</v>
      </c>
      <c r="B950" t="s">
        <v>1251</v>
      </c>
      <c r="C950" t="str">
        <f>HYPERLINK("http://service.sap.com/sap/support/notes/1849785","1849785")</f>
        <v>1849785</v>
      </c>
      <c r="D950">
        <v>3</v>
      </c>
      <c r="E950" t="s">
        <v>1254</v>
      </c>
      <c r="F950" t="s">
        <v>17</v>
      </c>
    </row>
    <row r="951" spans="1:6" x14ac:dyDescent="0.3">
      <c r="A951" t="s">
        <v>1250</v>
      </c>
      <c r="B951" t="s">
        <v>1251</v>
      </c>
      <c r="C951" t="str">
        <f>HYPERLINK("http://service.sap.com/sap/support/notes/1873127","1873127")</f>
        <v>1873127</v>
      </c>
      <c r="D951">
        <v>2</v>
      </c>
      <c r="E951" t="s">
        <v>1255</v>
      </c>
      <c r="F951" t="s">
        <v>17</v>
      </c>
    </row>
    <row r="952" spans="1:6" x14ac:dyDescent="0.3">
      <c r="A952" t="s">
        <v>1250</v>
      </c>
      <c r="B952" t="s">
        <v>1251</v>
      </c>
      <c r="C952" t="str">
        <f>HYPERLINK("http://service.sap.com/sap/support/notes/1874170","1874170")</f>
        <v>1874170</v>
      </c>
      <c r="D952">
        <v>2</v>
      </c>
      <c r="E952" t="s">
        <v>1256</v>
      </c>
      <c r="F952" t="s">
        <v>17</v>
      </c>
    </row>
    <row r="953" spans="1:6" x14ac:dyDescent="0.3">
      <c r="A953" t="s">
        <v>1250</v>
      </c>
      <c r="B953" t="s">
        <v>1251</v>
      </c>
      <c r="C953" t="str">
        <f>HYPERLINK("http://service.sap.com/sap/support/notes/1875417","1875417")</f>
        <v>1875417</v>
      </c>
      <c r="D953">
        <v>1</v>
      </c>
      <c r="E953" t="s">
        <v>1257</v>
      </c>
      <c r="F953" t="s">
        <v>13</v>
      </c>
    </row>
    <row r="954" spans="1:6" x14ac:dyDescent="0.3">
      <c r="A954" t="s">
        <v>1250</v>
      </c>
      <c r="B954" t="s">
        <v>1251</v>
      </c>
      <c r="C954" t="str">
        <f>HYPERLINK("http://service.sap.com/sap/support/notes/1885719","1885719")</f>
        <v>1885719</v>
      </c>
      <c r="D954">
        <v>1</v>
      </c>
      <c r="E954" t="s">
        <v>1258</v>
      </c>
      <c r="F954" t="s">
        <v>17</v>
      </c>
    </row>
    <row r="955" spans="1:6" x14ac:dyDescent="0.3">
      <c r="A955" t="s">
        <v>1250</v>
      </c>
      <c r="B955" t="s">
        <v>1251</v>
      </c>
      <c r="C955" t="str">
        <f>HYPERLINK("http://service.sap.com/sap/support/notes/1909519","1909519")</f>
        <v>1909519</v>
      </c>
      <c r="D955">
        <v>1</v>
      </c>
      <c r="E955" t="s">
        <v>1259</v>
      </c>
      <c r="F955" t="s">
        <v>17</v>
      </c>
    </row>
    <row r="956" spans="1:6" x14ac:dyDescent="0.3">
      <c r="A956" t="s">
        <v>1260</v>
      </c>
      <c r="B956" t="s">
        <v>1261</v>
      </c>
      <c r="C956" t="str">
        <f>HYPERLINK("http://service.sap.com/sap/support/notes/1785330","1785330")</f>
        <v>1785330</v>
      </c>
      <c r="D956">
        <v>4</v>
      </c>
      <c r="E956" t="s">
        <v>1262</v>
      </c>
      <c r="F956" t="s">
        <v>17</v>
      </c>
    </row>
    <row r="957" spans="1:6" x14ac:dyDescent="0.3">
      <c r="A957" t="s">
        <v>1260</v>
      </c>
      <c r="B957" t="s">
        <v>1261</v>
      </c>
      <c r="C957" t="str">
        <f>HYPERLINK("http://service.sap.com/sap/support/notes/1820824","1820824")</f>
        <v>1820824</v>
      </c>
      <c r="D957">
        <v>3</v>
      </c>
      <c r="E957" t="s">
        <v>1263</v>
      </c>
      <c r="F957" t="s">
        <v>13</v>
      </c>
    </row>
    <row r="958" spans="1:6" x14ac:dyDescent="0.3">
      <c r="A958" t="s">
        <v>1260</v>
      </c>
      <c r="B958" t="s">
        <v>1261</v>
      </c>
      <c r="C958" t="str">
        <f>HYPERLINK("http://service.sap.com/sap/support/notes/1844978","1844978")</f>
        <v>1844978</v>
      </c>
      <c r="D958">
        <v>2</v>
      </c>
      <c r="E958" t="s">
        <v>1264</v>
      </c>
      <c r="F958" t="s">
        <v>11</v>
      </c>
    </row>
    <row r="959" spans="1:6" x14ac:dyDescent="0.3">
      <c r="A959" t="s">
        <v>1260</v>
      </c>
      <c r="B959" t="s">
        <v>1261</v>
      </c>
      <c r="C959" t="str">
        <f>HYPERLINK("http://service.sap.com/sap/support/notes/1852392","1852392")</f>
        <v>1852392</v>
      </c>
      <c r="D959">
        <v>1</v>
      </c>
      <c r="E959" t="s">
        <v>1265</v>
      </c>
      <c r="F959" t="s">
        <v>17</v>
      </c>
    </row>
    <row r="960" spans="1:6" x14ac:dyDescent="0.3">
      <c r="A960" t="s">
        <v>1260</v>
      </c>
      <c r="B960" t="s">
        <v>1261</v>
      </c>
      <c r="C960" t="str">
        <f>HYPERLINK("http://service.sap.com/sap/support/notes/1893268","1893268")</f>
        <v>1893268</v>
      </c>
      <c r="D960">
        <v>1</v>
      </c>
      <c r="E960" t="s">
        <v>1266</v>
      </c>
      <c r="F960" t="s">
        <v>11</v>
      </c>
    </row>
    <row r="961" spans="1:6" x14ac:dyDescent="0.3">
      <c r="A961" t="s">
        <v>1267</v>
      </c>
      <c r="B961" t="s">
        <v>1268</v>
      </c>
      <c r="C961" t="str">
        <f>HYPERLINK("http://service.sap.com/sap/support/notes/1860919","1860919")</f>
        <v>1860919</v>
      </c>
      <c r="D961">
        <v>3</v>
      </c>
      <c r="E961" t="s">
        <v>1269</v>
      </c>
      <c r="F961" t="s">
        <v>11</v>
      </c>
    </row>
    <row r="962" spans="1:6" x14ac:dyDescent="0.3">
      <c r="A962" t="s">
        <v>1270</v>
      </c>
      <c r="B962" t="s">
        <v>1271</v>
      </c>
      <c r="C962" t="str">
        <f>HYPERLINK("http://service.sap.com/sap/support/notes/1801431","1801431")</f>
        <v>1801431</v>
      </c>
      <c r="D962">
        <v>2</v>
      </c>
      <c r="E962" t="s">
        <v>1272</v>
      </c>
      <c r="F962" t="s">
        <v>17</v>
      </c>
    </row>
    <row r="963" spans="1:6" x14ac:dyDescent="0.3">
      <c r="A963" t="s">
        <v>1270</v>
      </c>
      <c r="B963" t="s">
        <v>1271</v>
      </c>
      <c r="C963" t="str">
        <f>HYPERLINK("http://service.sap.com/sap/support/notes/1856812","1856812")</f>
        <v>1856812</v>
      </c>
      <c r="D963">
        <v>1</v>
      </c>
      <c r="E963" t="s">
        <v>1273</v>
      </c>
      <c r="F963" t="s">
        <v>17</v>
      </c>
    </row>
    <row r="964" spans="1:6" x14ac:dyDescent="0.3">
      <c r="A964" t="s">
        <v>1270</v>
      </c>
      <c r="B964" t="s">
        <v>1271</v>
      </c>
      <c r="C964" t="str">
        <f>HYPERLINK("http://service.sap.com/sap/support/notes/1872826","1872826")</f>
        <v>1872826</v>
      </c>
      <c r="D964">
        <v>1</v>
      </c>
      <c r="E964" t="s">
        <v>1274</v>
      </c>
      <c r="F964" t="s">
        <v>17</v>
      </c>
    </row>
    <row r="965" spans="1:6" x14ac:dyDescent="0.3">
      <c r="A965" t="s">
        <v>1270</v>
      </c>
      <c r="B965" t="s">
        <v>1271</v>
      </c>
      <c r="C965" t="str">
        <f>HYPERLINK("http://service.sap.com/sap/support/notes/1882635","1882635")</f>
        <v>1882635</v>
      </c>
      <c r="D965">
        <v>1</v>
      </c>
      <c r="E965" t="s">
        <v>1275</v>
      </c>
      <c r="F965" t="s">
        <v>11</v>
      </c>
    </row>
    <row r="966" spans="1:6" x14ac:dyDescent="0.3">
      <c r="A966" t="s">
        <v>1270</v>
      </c>
      <c r="B966" t="s">
        <v>1271</v>
      </c>
      <c r="C966" t="str">
        <f>HYPERLINK("http://service.sap.com/sap/support/notes/1891212","1891212")</f>
        <v>1891212</v>
      </c>
      <c r="D966">
        <v>1</v>
      </c>
      <c r="E966" t="s">
        <v>1276</v>
      </c>
      <c r="F966" t="s">
        <v>17</v>
      </c>
    </row>
    <row r="967" spans="1:6" x14ac:dyDescent="0.3">
      <c r="A967" t="s">
        <v>1270</v>
      </c>
      <c r="B967" t="s">
        <v>1271</v>
      </c>
      <c r="C967" t="str">
        <f>HYPERLINK("http://service.sap.com/sap/support/notes/1906194","1906194")</f>
        <v>1906194</v>
      </c>
      <c r="D967">
        <v>2</v>
      </c>
      <c r="E967" t="s">
        <v>1277</v>
      </c>
      <c r="F967" t="s">
        <v>11</v>
      </c>
    </row>
    <row r="968" spans="1:6" x14ac:dyDescent="0.3">
      <c r="A968" t="s">
        <v>1278</v>
      </c>
      <c r="B968" t="s">
        <v>1279</v>
      </c>
    </row>
    <row r="969" spans="1:6" x14ac:dyDescent="0.3">
      <c r="A969" t="s">
        <v>1280</v>
      </c>
      <c r="B969" t="s">
        <v>1281</v>
      </c>
      <c r="C969" t="str">
        <f>HYPERLINK("http://service.sap.com/sap/support/notes/1896110","1896110")</f>
        <v>1896110</v>
      </c>
      <c r="D969">
        <v>2</v>
      </c>
      <c r="E969" t="s">
        <v>1282</v>
      </c>
      <c r="F969" t="s">
        <v>13</v>
      </c>
    </row>
    <row r="970" spans="1:6" x14ac:dyDescent="0.3">
      <c r="A970" t="s">
        <v>1283</v>
      </c>
      <c r="B970" t="s">
        <v>1284</v>
      </c>
    </row>
    <row r="971" spans="1:6" x14ac:dyDescent="0.3">
      <c r="A971" t="s">
        <v>1285</v>
      </c>
      <c r="B971" t="s">
        <v>1286</v>
      </c>
      <c r="C971" t="str">
        <f>HYPERLINK("http://service.sap.com/sap/support/notes/1858756","1858756")</f>
        <v>1858756</v>
      </c>
      <c r="D971">
        <v>1</v>
      </c>
      <c r="E971" t="s">
        <v>1287</v>
      </c>
      <c r="F971" t="s">
        <v>94</v>
      </c>
    </row>
    <row r="972" spans="1:6" x14ac:dyDescent="0.3">
      <c r="A972" t="s">
        <v>1288</v>
      </c>
      <c r="B972" t="s">
        <v>1289</v>
      </c>
    </row>
    <row r="973" spans="1:6" x14ac:dyDescent="0.3">
      <c r="A973" t="s">
        <v>1290</v>
      </c>
      <c r="B973" t="s">
        <v>1291</v>
      </c>
      <c r="C973" t="str">
        <f>HYPERLINK("http://service.sap.com/sap/support/notes/1847749","1847749")</f>
        <v>1847749</v>
      </c>
      <c r="D973">
        <v>1</v>
      </c>
      <c r="E973" t="s">
        <v>1292</v>
      </c>
      <c r="F973" t="s">
        <v>13</v>
      </c>
    </row>
    <row r="974" spans="1:6" x14ac:dyDescent="0.3">
      <c r="A974" t="s">
        <v>1293</v>
      </c>
      <c r="B974" t="s">
        <v>1294</v>
      </c>
      <c r="C974" t="str">
        <f>HYPERLINK("http://service.sap.com/sap/support/notes/1878114","1878114")</f>
        <v>1878114</v>
      </c>
      <c r="D974">
        <v>1</v>
      </c>
      <c r="E974" t="s">
        <v>1295</v>
      </c>
      <c r="F974" t="s">
        <v>13</v>
      </c>
    </row>
    <row r="975" spans="1:6" x14ac:dyDescent="0.3">
      <c r="A975" t="s">
        <v>1293</v>
      </c>
      <c r="B975" t="s">
        <v>1294</v>
      </c>
      <c r="C975" t="str">
        <f>HYPERLINK("http://service.sap.com/sap/support/notes/1884400","1884400")</f>
        <v>1884400</v>
      </c>
      <c r="D975">
        <v>1</v>
      </c>
      <c r="E975" t="s">
        <v>1296</v>
      </c>
      <c r="F975" t="s">
        <v>13</v>
      </c>
    </row>
    <row r="976" spans="1:6" x14ac:dyDescent="0.3">
      <c r="A976" t="s">
        <v>1293</v>
      </c>
      <c r="B976" t="s">
        <v>1294</v>
      </c>
      <c r="C976" t="str">
        <f>HYPERLINK("http://service.sap.com/sap/support/notes/1887075","1887075")</f>
        <v>1887075</v>
      </c>
      <c r="D976">
        <v>1</v>
      </c>
      <c r="E976" t="s">
        <v>1297</v>
      </c>
      <c r="F976" t="s">
        <v>11</v>
      </c>
    </row>
    <row r="977" spans="1:6" x14ac:dyDescent="0.3">
      <c r="A977" t="s">
        <v>1293</v>
      </c>
      <c r="B977" t="s">
        <v>1294</v>
      </c>
      <c r="C977" t="str">
        <f>HYPERLINK("http://service.sap.com/sap/support/notes/1898565","1898565")</f>
        <v>1898565</v>
      </c>
      <c r="D977">
        <v>2</v>
      </c>
      <c r="E977" t="s">
        <v>1298</v>
      </c>
      <c r="F977" t="s">
        <v>17</v>
      </c>
    </row>
    <row r="978" spans="1:6" x14ac:dyDescent="0.3">
      <c r="A978" t="s">
        <v>1293</v>
      </c>
      <c r="B978" t="s">
        <v>1294</v>
      </c>
      <c r="C978" t="str">
        <f>HYPERLINK("http://service.sap.com/sap/support/notes/1908278","1908278")</f>
        <v>1908278</v>
      </c>
      <c r="D978">
        <v>1</v>
      </c>
      <c r="E978" t="s">
        <v>1299</v>
      </c>
      <c r="F978" t="s">
        <v>11</v>
      </c>
    </row>
    <row r="979" spans="1:6" x14ac:dyDescent="0.3">
      <c r="A979" t="s">
        <v>1300</v>
      </c>
      <c r="B979" t="s">
        <v>1301</v>
      </c>
      <c r="C979" t="str">
        <f>HYPERLINK("http://service.sap.com/sap/support/notes/971073","971073")</f>
        <v>971073</v>
      </c>
      <c r="D979">
        <v>7</v>
      </c>
      <c r="E979" t="s">
        <v>1302</v>
      </c>
      <c r="F979" t="s">
        <v>17</v>
      </c>
    </row>
    <row r="980" spans="1:6" x14ac:dyDescent="0.3">
      <c r="A980" t="s">
        <v>1300</v>
      </c>
      <c r="B980" t="s">
        <v>1301</v>
      </c>
      <c r="C980" t="str">
        <f>HYPERLINK("http://service.sap.com/sap/support/notes/1872959","1872959")</f>
        <v>1872959</v>
      </c>
      <c r="D980">
        <v>1</v>
      </c>
      <c r="E980" t="s">
        <v>1303</v>
      </c>
      <c r="F980" t="s">
        <v>13</v>
      </c>
    </row>
    <row r="981" spans="1:6" x14ac:dyDescent="0.3">
      <c r="A981" t="s">
        <v>1300</v>
      </c>
      <c r="B981" t="s">
        <v>1301</v>
      </c>
      <c r="C981" t="str">
        <f>HYPERLINK("http://service.sap.com/sap/support/notes/1889974","1889974")</f>
        <v>1889974</v>
      </c>
      <c r="D981">
        <v>1</v>
      </c>
      <c r="E981" t="s">
        <v>1304</v>
      </c>
      <c r="F981" t="s">
        <v>13</v>
      </c>
    </row>
    <row r="982" spans="1:6" x14ac:dyDescent="0.3">
      <c r="A982" t="s">
        <v>1300</v>
      </c>
      <c r="B982" t="s">
        <v>1301</v>
      </c>
      <c r="C982" t="str">
        <f>HYPERLINK("http://service.sap.com/sap/support/notes/1910577","1910577")</f>
        <v>1910577</v>
      </c>
      <c r="D982">
        <v>1</v>
      </c>
      <c r="E982" t="s">
        <v>1305</v>
      </c>
      <c r="F982" t="s">
        <v>13</v>
      </c>
    </row>
    <row r="983" spans="1:6" x14ac:dyDescent="0.3">
      <c r="A983" t="s">
        <v>1306</v>
      </c>
      <c r="B983" t="s">
        <v>1307</v>
      </c>
    </row>
    <row r="984" spans="1:6" x14ac:dyDescent="0.3">
      <c r="A984" t="s">
        <v>1308</v>
      </c>
      <c r="B984" t="s">
        <v>1309</v>
      </c>
    </row>
    <row r="985" spans="1:6" x14ac:dyDescent="0.3">
      <c r="A985" t="s">
        <v>1310</v>
      </c>
      <c r="B985" t="s">
        <v>1311</v>
      </c>
      <c r="C985" t="str">
        <f>HYPERLINK("http://service.sap.com/sap/support/notes/1909751","1909751")</f>
        <v>1909751</v>
      </c>
      <c r="D985">
        <v>3</v>
      </c>
      <c r="E985" t="s">
        <v>1312</v>
      </c>
      <c r="F985" t="s">
        <v>17</v>
      </c>
    </row>
    <row r="986" spans="1:6" x14ac:dyDescent="0.3">
      <c r="A986" t="s">
        <v>1310</v>
      </c>
      <c r="B986" t="s">
        <v>1311</v>
      </c>
      <c r="C986" t="str">
        <f>HYPERLINK("http://service.sap.com/sap/support/notes/1914107","1914107")</f>
        <v>1914107</v>
      </c>
      <c r="D986">
        <v>1</v>
      </c>
      <c r="E986" t="s">
        <v>1313</v>
      </c>
      <c r="F986" t="s">
        <v>17</v>
      </c>
    </row>
    <row r="987" spans="1:6" x14ac:dyDescent="0.3">
      <c r="A987" t="s">
        <v>1310</v>
      </c>
      <c r="B987" t="s">
        <v>1311</v>
      </c>
      <c r="C987" t="str">
        <f>HYPERLINK("http://service.sap.com/sap/support/notes/1919018","1919018")</f>
        <v>1919018</v>
      </c>
      <c r="D987">
        <v>2</v>
      </c>
      <c r="E987" t="s">
        <v>1314</v>
      </c>
      <c r="F987" t="s">
        <v>17</v>
      </c>
    </row>
    <row r="988" spans="1:6" x14ac:dyDescent="0.3">
      <c r="A988" t="s">
        <v>1315</v>
      </c>
      <c r="B988" t="s">
        <v>1316</v>
      </c>
      <c r="C988" t="str">
        <f>HYPERLINK("http://service.sap.com/sap/support/notes/1770436","1770436")</f>
        <v>1770436</v>
      </c>
      <c r="D988">
        <v>4</v>
      </c>
      <c r="E988" t="s">
        <v>1317</v>
      </c>
      <c r="F988" t="s">
        <v>17</v>
      </c>
    </row>
    <row r="989" spans="1:6" x14ac:dyDescent="0.3">
      <c r="A989" t="s">
        <v>1318</v>
      </c>
      <c r="B989" t="s">
        <v>1319</v>
      </c>
    </row>
    <row r="990" spans="1:6" x14ac:dyDescent="0.3">
      <c r="A990" t="s">
        <v>1320</v>
      </c>
      <c r="B990" t="s">
        <v>1321</v>
      </c>
    </row>
    <row r="991" spans="1:6" x14ac:dyDescent="0.3">
      <c r="A991" t="s">
        <v>1322</v>
      </c>
      <c r="B991" t="s">
        <v>1323</v>
      </c>
    </row>
    <row r="992" spans="1:6" x14ac:dyDescent="0.3">
      <c r="A992" t="s">
        <v>1324</v>
      </c>
      <c r="B992" t="s">
        <v>1323</v>
      </c>
      <c r="C992" t="str">
        <f>HYPERLINK("http://service.sap.com/sap/support/notes/1875061","1875061")</f>
        <v>1875061</v>
      </c>
      <c r="D992">
        <v>2</v>
      </c>
      <c r="E992" t="s">
        <v>1325</v>
      </c>
      <c r="F992" t="s">
        <v>13</v>
      </c>
    </row>
    <row r="993" spans="1:6" x14ac:dyDescent="0.3">
      <c r="A993" t="s">
        <v>1326</v>
      </c>
      <c r="B993" t="s">
        <v>1327</v>
      </c>
    </row>
    <row r="994" spans="1:6" x14ac:dyDescent="0.3">
      <c r="A994" t="s">
        <v>1328</v>
      </c>
      <c r="B994" t="s">
        <v>1329</v>
      </c>
    </row>
    <row r="995" spans="1:6" x14ac:dyDescent="0.3">
      <c r="A995" t="s">
        <v>1330</v>
      </c>
      <c r="B995" t="s">
        <v>346</v>
      </c>
    </row>
    <row r="996" spans="1:6" x14ac:dyDescent="0.3">
      <c r="A996" t="s">
        <v>1331</v>
      </c>
      <c r="B996" t="s">
        <v>1332</v>
      </c>
      <c r="C996" t="str">
        <f>HYPERLINK("http://service.sap.com/sap/support/notes/1889678","1889678")</f>
        <v>1889678</v>
      </c>
      <c r="D996">
        <v>2</v>
      </c>
      <c r="E996" t="s">
        <v>1333</v>
      </c>
      <c r="F996" t="s">
        <v>17</v>
      </c>
    </row>
    <row r="997" spans="1:6" x14ac:dyDescent="0.3">
      <c r="A997" t="s">
        <v>1334</v>
      </c>
      <c r="B997" t="s">
        <v>1335</v>
      </c>
      <c r="C997" t="str">
        <f>HYPERLINK("http://service.sap.com/sap/support/notes/1857233","1857233")</f>
        <v>1857233</v>
      </c>
      <c r="D997">
        <v>1</v>
      </c>
      <c r="E997" t="s">
        <v>1336</v>
      </c>
      <c r="F997" t="s">
        <v>13</v>
      </c>
    </row>
    <row r="998" spans="1:6" x14ac:dyDescent="0.3">
      <c r="A998" t="s">
        <v>1334</v>
      </c>
      <c r="B998" t="s">
        <v>1335</v>
      </c>
      <c r="C998" t="str">
        <f>HYPERLINK("http://service.sap.com/sap/support/notes/1872482","1872482")</f>
        <v>1872482</v>
      </c>
      <c r="D998">
        <v>1</v>
      </c>
      <c r="E998" t="s">
        <v>1337</v>
      </c>
      <c r="F998" t="s">
        <v>17</v>
      </c>
    </row>
    <row r="999" spans="1:6" x14ac:dyDescent="0.3">
      <c r="A999" t="s">
        <v>1334</v>
      </c>
      <c r="B999" t="s">
        <v>1335</v>
      </c>
      <c r="C999" t="str">
        <f>HYPERLINK("http://service.sap.com/sap/support/notes/1876930","1876930")</f>
        <v>1876930</v>
      </c>
      <c r="D999">
        <v>2</v>
      </c>
      <c r="E999" t="s">
        <v>1338</v>
      </c>
      <c r="F999" t="s">
        <v>17</v>
      </c>
    </row>
    <row r="1000" spans="1:6" x14ac:dyDescent="0.3">
      <c r="A1000" t="s">
        <v>1334</v>
      </c>
      <c r="B1000" t="s">
        <v>1335</v>
      </c>
      <c r="C1000" t="str">
        <f>HYPERLINK("http://service.sap.com/sap/support/notes/1883944","1883944")</f>
        <v>1883944</v>
      </c>
      <c r="D1000">
        <v>1</v>
      </c>
      <c r="E1000" t="s">
        <v>1339</v>
      </c>
      <c r="F1000" t="s">
        <v>13</v>
      </c>
    </row>
    <row r="1001" spans="1:6" x14ac:dyDescent="0.3">
      <c r="A1001" t="s">
        <v>1334</v>
      </c>
      <c r="B1001" t="s">
        <v>1335</v>
      </c>
      <c r="C1001" t="str">
        <f>HYPERLINK("http://service.sap.com/sap/support/notes/1888249","1888249")</f>
        <v>1888249</v>
      </c>
      <c r="D1001">
        <v>1</v>
      </c>
      <c r="E1001" t="s">
        <v>1340</v>
      </c>
      <c r="F1001" t="s">
        <v>17</v>
      </c>
    </row>
    <row r="1002" spans="1:6" x14ac:dyDescent="0.3">
      <c r="A1002" t="s">
        <v>1334</v>
      </c>
      <c r="B1002" t="s">
        <v>1335</v>
      </c>
      <c r="C1002" t="str">
        <f>HYPERLINK("http://service.sap.com/sap/support/notes/1890793","1890793")</f>
        <v>1890793</v>
      </c>
      <c r="D1002">
        <v>1</v>
      </c>
      <c r="E1002" t="s">
        <v>1341</v>
      </c>
      <c r="F1002" t="s">
        <v>17</v>
      </c>
    </row>
    <row r="1003" spans="1:6" x14ac:dyDescent="0.3">
      <c r="A1003" t="s">
        <v>1334</v>
      </c>
      <c r="B1003" t="s">
        <v>1335</v>
      </c>
      <c r="C1003" t="str">
        <f>HYPERLINK("http://service.sap.com/sap/support/notes/1906441","1906441")</f>
        <v>1906441</v>
      </c>
      <c r="D1003">
        <v>1</v>
      </c>
      <c r="E1003" t="s">
        <v>1342</v>
      </c>
      <c r="F1003" t="s">
        <v>13</v>
      </c>
    </row>
    <row r="1004" spans="1:6" x14ac:dyDescent="0.3">
      <c r="A1004" t="s">
        <v>1343</v>
      </c>
      <c r="B1004" t="s">
        <v>1344</v>
      </c>
    </row>
    <row r="1005" spans="1:6" x14ac:dyDescent="0.3">
      <c r="A1005" t="s">
        <v>1345</v>
      </c>
      <c r="B1005" t="s">
        <v>1346</v>
      </c>
    </row>
    <row r="1006" spans="1:6" x14ac:dyDescent="0.3">
      <c r="A1006" t="s">
        <v>1347</v>
      </c>
      <c r="B1006" t="s">
        <v>1348</v>
      </c>
      <c r="C1006" t="str">
        <f>HYPERLINK("http://service.sap.com/sap/support/notes/1860343","1860343")</f>
        <v>1860343</v>
      </c>
      <c r="D1006">
        <v>4</v>
      </c>
      <c r="E1006" t="s">
        <v>1349</v>
      </c>
      <c r="F1006" t="s">
        <v>11</v>
      </c>
    </row>
    <row r="1007" spans="1:6" x14ac:dyDescent="0.3">
      <c r="A1007" t="s">
        <v>1350</v>
      </c>
      <c r="B1007" t="s">
        <v>1351</v>
      </c>
    </row>
    <row r="1008" spans="1:6" x14ac:dyDescent="0.3">
      <c r="A1008" t="s">
        <v>1352</v>
      </c>
      <c r="B1008" t="s">
        <v>1353</v>
      </c>
    </row>
    <row r="1009" spans="1:6" x14ac:dyDescent="0.3">
      <c r="A1009" t="s">
        <v>1354</v>
      </c>
      <c r="B1009" t="s">
        <v>1355</v>
      </c>
      <c r="C1009" t="str">
        <f>HYPERLINK("http://service.sap.com/sap/support/notes/1803117","1803117")</f>
        <v>1803117</v>
      </c>
      <c r="D1009">
        <v>3</v>
      </c>
      <c r="E1009" t="s">
        <v>1356</v>
      </c>
      <c r="F1009" t="s">
        <v>13</v>
      </c>
    </row>
    <row r="1010" spans="1:6" x14ac:dyDescent="0.3">
      <c r="A1010" t="s">
        <v>1357</v>
      </c>
      <c r="B1010" t="s">
        <v>1358</v>
      </c>
    </row>
    <row r="1011" spans="1:6" x14ac:dyDescent="0.3">
      <c r="A1011" t="s">
        <v>1359</v>
      </c>
      <c r="B1011" t="s">
        <v>1360</v>
      </c>
    </row>
    <row r="1012" spans="1:6" x14ac:dyDescent="0.3">
      <c r="A1012" t="s">
        <v>1361</v>
      </c>
      <c r="B1012" t="s">
        <v>1362</v>
      </c>
      <c r="C1012" t="str">
        <f>HYPERLINK("http://service.sap.com/sap/support/notes/1869745","1869745")</f>
        <v>1869745</v>
      </c>
      <c r="D1012">
        <v>2</v>
      </c>
      <c r="E1012" t="s">
        <v>1363</v>
      </c>
      <c r="F1012" t="s">
        <v>17</v>
      </c>
    </row>
    <row r="1013" spans="1:6" x14ac:dyDescent="0.3">
      <c r="A1013" t="s">
        <v>1364</v>
      </c>
      <c r="B1013" t="s">
        <v>1365</v>
      </c>
    </row>
    <row r="1014" spans="1:6" x14ac:dyDescent="0.3">
      <c r="A1014" t="s">
        <v>1366</v>
      </c>
      <c r="B1014" t="s">
        <v>1367</v>
      </c>
    </row>
    <row r="1015" spans="1:6" x14ac:dyDescent="0.3">
      <c r="A1015" t="s">
        <v>1368</v>
      </c>
      <c r="B1015" t="s">
        <v>1369</v>
      </c>
      <c r="C1015" t="str">
        <f>HYPERLINK("http://service.sap.com/sap/support/notes/1882098","1882098")</f>
        <v>1882098</v>
      </c>
      <c r="D1015">
        <v>2</v>
      </c>
      <c r="E1015" t="s">
        <v>1370</v>
      </c>
      <c r="F1015" t="s">
        <v>13</v>
      </c>
    </row>
    <row r="1016" spans="1:6" x14ac:dyDescent="0.3">
      <c r="A1016" t="s">
        <v>1371</v>
      </c>
      <c r="B1016" t="s">
        <v>1367</v>
      </c>
    </row>
    <row r="1017" spans="1:6" x14ac:dyDescent="0.3">
      <c r="A1017" t="s">
        <v>1372</v>
      </c>
      <c r="B1017" t="s">
        <v>1373</v>
      </c>
      <c r="C1017" t="str">
        <f>HYPERLINK("http://service.sap.com/sap/support/notes/1885351","1885351")</f>
        <v>1885351</v>
      </c>
      <c r="D1017">
        <v>2</v>
      </c>
      <c r="E1017" t="s">
        <v>1374</v>
      </c>
      <c r="F1017" t="s">
        <v>13</v>
      </c>
    </row>
    <row r="1018" spans="1:6" x14ac:dyDescent="0.3">
      <c r="A1018" t="s">
        <v>1375</v>
      </c>
      <c r="B1018" t="s">
        <v>1376</v>
      </c>
    </row>
    <row r="1019" spans="1:6" x14ac:dyDescent="0.3">
      <c r="A1019" t="s">
        <v>1377</v>
      </c>
      <c r="B1019" t="s">
        <v>1378</v>
      </c>
      <c r="C1019" t="str">
        <f>HYPERLINK("http://service.sap.com/sap/support/notes/1883316","1883316")</f>
        <v>1883316</v>
      </c>
      <c r="D1019">
        <v>6</v>
      </c>
      <c r="E1019" t="s">
        <v>1379</v>
      </c>
      <c r="F1019" t="s">
        <v>11</v>
      </c>
    </row>
    <row r="1020" spans="1:6" x14ac:dyDescent="0.3">
      <c r="A1020" t="s">
        <v>1380</v>
      </c>
      <c r="B1020" t="s">
        <v>1381</v>
      </c>
    </row>
    <row r="1021" spans="1:6" x14ac:dyDescent="0.3">
      <c r="A1021" t="s">
        <v>1382</v>
      </c>
      <c r="B1021" t="s">
        <v>1383</v>
      </c>
      <c r="C1021" t="str">
        <f>HYPERLINK("http://service.sap.com/sap/support/notes/1851860","1851860")</f>
        <v>1851860</v>
      </c>
      <c r="D1021">
        <v>3</v>
      </c>
      <c r="E1021" t="s">
        <v>1384</v>
      </c>
      <c r="F1021" t="s">
        <v>17</v>
      </c>
    </row>
    <row r="1022" spans="1:6" x14ac:dyDescent="0.3">
      <c r="A1022" t="s">
        <v>1385</v>
      </c>
      <c r="B1022" t="s">
        <v>845</v>
      </c>
      <c r="C1022" t="str">
        <f>HYPERLINK("http://service.sap.com/sap/support/notes/1871321","1871321")</f>
        <v>1871321</v>
      </c>
      <c r="D1022">
        <v>2</v>
      </c>
      <c r="E1022" t="s">
        <v>1386</v>
      </c>
      <c r="F1022" t="s">
        <v>11</v>
      </c>
    </row>
    <row r="1023" spans="1:6" x14ac:dyDescent="0.3">
      <c r="A1023" t="s">
        <v>1385</v>
      </c>
      <c r="B1023" t="s">
        <v>845</v>
      </c>
      <c r="C1023" t="str">
        <f>HYPERLINK("http://service.sap.com/sap/support/notes/1881309","1881309")</f>
        <v>1881309</v>
      </c>
      <c r="D1023">
        <v>2</v>
      </c>
      <c r="E1023" t="s">
        <v>1387</v>
      </c>
      <c r="F1023" t="s">
        <v>11</v>
      </c>
    </row>
    <row r="1024" spans="1:6" x14ac:dyDescent="0.3">
      <c r="A1024" t="s">
        <v>1385</v>
      </c>
      <c r="B1024" t="s">
        <v>845</v>
      </c>
      <c r="C1024" t="str">
        <f>HYPERLINK("http://service.sap.com/sap/support/notes/1886009","1886009")</f>
        <v>1886009</v>
      </c>
      <c r="D1024">
        <v>3</v>
      </c>
      <c r="E1024" t="s">
        <v>1388</v>
      </c>
      <c r="F1024" t="s">
        <v>11</v>
      </c>
    </row>
    <row r="1025" spans="1:6" x14ac:dyDescent="0.3">
      <c r="A1025" t="s">
        <v>1389</v>
      </c>
      <c r="B1025" t="s">
        <v>1390</v>
      </c>
    </row>
    <row r="1026" spans="1:6" x14ac:dyDescent="0.3">
      <c r="A1026" t="s">
        <v>1391</v>
      </c>
      <c r="B1026" t="s">
        <v>198</v>
      </c>
      <c r="C1026" t="str">
        <f>HYPERLINK("http://service.sap.com/sap/support/notes/1906083","1906083")</f>
        <v>1906083</v>
      </c>
      <c r="D1026">
        <v>2</v>
      </c>
      <c r="E1026" t="s">
        <v>1392</v>
      </c>
      <c r="F1026" t="s">
        <v>17</v>
      </c>
    </row>
    <row r="1027" spans="1:6" x14ac:dyDescent="0.3">
      <c r="A1027" t="s">
        <v>1391</v>
      </c>
      <c r="B1027" t="s">
        <v>198</v>
      </c>
      <c r="C1027" t="str">
        <f>HYPERLINK("http://service.sap.com/sap/support/notes/1907659","1907659")</f>
        <v>1907659</v>
      </c>
      <c r="D1027">
        <v>2</v>
      </c>
      <c r="E1027" t="s">
        <v>1393</v>
      </c>
      <c r="F1027" t="s">
        <v>17</v>
      </c>
    </row>
    <row r="1028" spans="1:6" x14ac:dyDescent="0.3">
      <c r="A1028" t="s">
        <v>1394</v>
      </c>
      <c r="B1028" t="s">
        <v>1395</v>
      </c>
    </row>
    <row r="1029" spans="1:6" x14ac:dyDescent="0.3">
      <c r="A1029" t="s">
        <v>1396</v>
      </c>
      <c r="B1029" t="s">
        <v>1397</v>
      </c>
      <c r="C1029" t="str">
        <f>HYPERLINK("http://service.sap.com/sap/support/notes/1745554","1745554")</f>
        <v>1745554</v>
      </c>
      <c r="D1029">
        <v>2</v>
      </c>
      <c r="E1029" t="s">
        <v>1398</v>
      </c>
      <c r="F1029" t="s">
        <v>13</v>
      </c>
    </row>
    <row r="1030" spans="1:6" x14ac:dyDescent="0.3">
      <c r="A1030" t="s">
        <v>1396</v>
      </c>
      <c r="B1030" t="s">
        <v>1397</v>
      </c>
      <c r="C1030" t="str">
        <f>HYPERLINK("http://service.sap.com/sap/support/notes/1838512","1838512")</f>
        <v>1838512</v>
      </c>
      <c r="D1030">
        <v>2</v>
      </c>
      <c r="E1030" t="s">
        <v>1399</v>
      </c>
      <c r="F1030" t="s">
        <v>17</v>
      </c>
    </row>
    <row r="1031" spans="1:6" x14ac:dyDescent="0.3">
      <c r="A1031" t="s">
        <v>1400</v>
      </c>
      <c r="B1031" t="s">
        <v>1401</v>
      </c>
    </row>
    <row r="1032" spans="1:6" x14ac:dyDescent="0.3">
      <c r="A1032" t="s">
        <v>1402</v>
      </c>
      <c r="B1032" t="s">
        <v>1403</v>
      </c>
    </row>
    <row r="1033" spans="1:6" x14ac:dyDescent="0.3">
      <c r="A1033" t="s">
        <v>1404</v>
      </c>
      <c r="B1033" t="s">
        <v>1405</v>
      </c>
      <c r="C1033" t="str">
        <f>HYPERLINK("http://service.sap.com/sap/support/notes/1803402","1803402")</f>
        <v>1803402</v>
      </c>
      <c r="D1033">
        <v>10</v>
      </c>
      <c r="E1033" t="s">
        <v>1406</v>
      </c>
      <c r="F1033" t="s">
        <v>11</v>
      </c>
    </row>
    <row r="1034" spans="1:6" x14ac:dyDescent="0.3">
      <c r="A1034" t="s">
        <v>1404</v>
      </c>
      <c r="B1034" t="s">
        <v>1405</v>
      </c>
      <c r="C1034" t="str">
        <f>HYPERLINK("http://service.sap.com/sap/support/notes/1881202","1881202")</f>
        <v>1881202</v>
      </c>
      <c r="D1034">
        <v>1</v>
      </c>
      <c r="E1034" t="s">
        <v>1407</v>
      </c>
      <c r="F1034" t="s">
        <v>17</v>
      </c>
    </row>
    <row r="1035" spans="1:6" x14ac:dyDescent="0.3">
      <c r="A1035" t="s">
        <v>1404</v>
      </c>
      <c r="B1035" t="s">
        <v>1405</v>
      </c>
      <c r="C1035" t="str">
        <f>HYPERLINK("http://service.sap.com/sap/support/notes/1881209","1881209")</f>
        <v>1881209</v>
      </c>
      <c r="D1035">
        <v>1</v>
      </c>
      <c r="E1035" t="s">
        <v>1408</v>
      </c>
      <c r="F1035" t="s">
        <v>17</v>
      </c>
    </row>
    <row r="1036" spans="1:6" x14ac:dyDescent="0.3">
      <c r="A1036" t="s">
        <v>1404</v>
      </c>
      <c r="B1036" t="s">
        <v>1405</v>
      </c>
      <c r="C1036" t="str">
        <f>HYPERLINK("http://service.sap.com/sap/support/notes/1909836","1909836")</f>
        <v>1909836</v>
      </c>
      <c r="D1036">
        <v>2</v>
      </c>
      <c r="E1036" t="s">
        <v>1409</v>
      </c>
      <c r="F1036" t="s">
        <v>17</v>
      </c>
    </row>
    <row r="1037" spans="1:6" x14ac:dyDescent="0.3">
      <c r="A1037" t="s">
        <v>1404</v>
      </c>
      <c r="B1037" t="s">
        <v>1405</v>
      </c>
      <c r="C1037" t="str">
        <f>HYPERLINK("http://service.sap.com/sap/support/notes/1926452","1926452")</f>
        <v>1926452</v>
      </c>
      <c r="D1037">
        <v>2</v>
      </c>
      <c r="E1037" t="s">
        <v>1410</v>
      </c>
      <c r="F1037" t="s">
        <v>17</v>
      </c>
    </row>
    <row r="1038" spans="1:6" x14ac:dyDescent="0.3">
      <c r="A1038" t="s">
        <v>1411</v>
      </c>
      <c r="B1038" t="s">
        <v>1412</v>
      </c>
      <c r="C1038" t="str">
        <f>HYPERLINK("http://service.sap.com/sap/support/notes/1364504","1364504")</f>
        <v>1364504</v>
      </c>
      <c r="D1038">
        <v>4</v>
      </c>
      <c r="E1038" t="s">
        <v>1413</v>
      </c>
      <c r="F1038" t="s">
        <v>17</v>
      </c>
    </row>
    <row r="1039" spans="1:6" x14ac:dyDescent="0.3">
      <c r="A1039" t="s">
        <v>1411</v>
      </c>
      <c r="B1039" t="s">
        <v>1412</v>
      </c>
      <c r="C1039" t="str">
        <f>HYPERLINK("http://service.sap.com/sap/support/notes/1456088","1456088")</f>
        <v>1456088</v>
      </c>
      <c r="D1039">
        <v>4</v>
      </c>
      <c r="E1039" t="s">
        <v>1414</v>
      </c>
      <c r="F1039" t="s">
        <v>17</v>
      </c>
    </row>
    <row r="1040" spans="1:6" x14ac:dyDescent="0.3">
      <c r="A1040" t="s">
        <v>1411</v>
      </c>
      <c r="B1040" t="s">
        <v>1412</v>
      </c>
      <c r="C1040" t="str">
        <f>HYPERLINK("http://service.sap.com/sap/support/notes/1869224","1869224")</f>
        <v>1869224</v>
      </c>
      <c r="D1040">
        <v>3</v>
      </c>
      <c r="E1040" t="s">
        <v>1415</v>
      </c>
      <c r="F1040" t="s">
        <v>11</v>
      </c>
    </row>
    <row r="1041" spans="1:6" x14ac:dyDescent="0.3">
      <c r="A1041" t="s">
        <v>1411</v>
      </c>
      <c r="B1041" t="s">
        <v>1412</v>
      </c>
      <c r="C1041" t="str">
        <f>HYPERLINK("http://service.sap.com/sap/support/notes/1882395","1882395")</f>
        <v>1882395</v>
      </c>
      <c r="D1041">
        <v>3</v>
      </c>
      <c r="E1041" t="s">
        <v>1416</v>
      </c>
      <c r="F1041" t="s">
        <v>11</v>
      </c>
    </row>
    <row r="1042" spans="1:6" x14ac:dyDescent="0.3">
      <c r="A1042" t="s">
        <v>1411</v>
      </c>
      <c r="B1042" t="s">
        <v>1412</v>
      </c>
      <c r="C1042" t="str">
        <f>HYPERLINK("http://service.sap.com/sap/support/notes/1888368","1888368")</f>
        <v>1888368</v>
      </c>
      <c r="D1042">
        <v>1</v>
      </c>
      <c r="E1042" t="s">
        <v>1417</v>
      </c>
      <c r="F1042" t="s">
        <v>17</v>
      </c>
    </row>
    <row r="1043" spans="1:6" x14ac:dyDescent="0.3">
      <c r="A1043" t="s">
        <v>1411</v>
      </c>
      <c r="B1043" t="s">
        <v>1412</v>
      </c>
      <c r="C1043" t="str">
        <f>HYPERLINK("http://service.sap.com/sap/support/notes/1897028","1897028")</f>
        <v>1897028</v>
      </c>
      <c r="D1043">
        <v>4</v>
      </c>
      <c r="E1043" t="s">
        <v>1418</v>
      </c>
      <c r="F1043" t="s">
        <v>11</v>
      </c>
    </row>
    <row r="1044" spans="1:6" x14ac:dyDescent="0.3">
      <c r="A1044" t="s">
        <v>1411</v>
      </c>
      <c r="B1044" t="s">
        <v>1412</v>
      </c>
      <c r="C1044" t="str">
        <f>HYPERLINK("http://service.sap.com/sap/support/notes/1899829","1899829")</f>
        <v>1899829</v>
      </c>
      <c r="D1044">
        <v>4</v>
      </c>
      <c r="E1044" t="s">
        <v>1419</v>
      </c>
      <c r="F1044" t="s">
        <v>17</v>
      </c>
    </row>
    <row r="1045" spans="1:6" x14ac:dyDescent="0.3">
      <c r="A1045" t="s">
        <v>1420</v>
      </c>
      <c r="B1045" t="s">
        <v>1421</v>
      </c>
    </row>
    <row r="1046" spans="1:6" x14ac:dyDescent="0.3">
      <c r="A1046" t="s">
        <v>1422</v>
      </c>
      <c r="B1046" t="s">
        <v>1423</v>
      </c>
      <c r="C1046" t="str">
        <f>HYPERLINK("http://service.sap.com/sap/support/notes/1803029","1803029")</f>
        <v>1803029</v>
      </c>
      <c r="D1046">
        <v>9</v>
      </c>
      <c r="E1046" t="s">
        <v>1424</v>
      </c>
      <c r="F1046" t="s">
        <v>13</v>
      </c>
    </row>
    <row r="1047" spans="1:6" x14ac:dyDescent="0.3">
      <c r="A1047" t="s">
        <v>1422</v>
      </c>
      <c r="B1047" t="s">
        <v>1423</v>
      </c>
      <c r="C1047" t="str">
        <f>HYPERLINK("http://service.sap.com/sap/support/notes/1868610","1868610")</f>
        <v>1868610</v>
      </c>
      <c r="D1047">
        <v>2</v>
      </c>
      <c r="E1047" t="s">
        <v>1425</v>
      </c>
      <c r="F1047" t="s">
        <v>17</v>
      </c>
    </row>
    <row r="1048" spans="1:6" x14ac:dyDescent="0.3">
      <c r="A1048" t="s">
        <v>1426</v>
      </c>
      <c r="B1048" t="s">
        <v>157</v>
      </c>
      <c r="C1048" t="str">
        <f>HYPERLINK("http://service.sap.com/sap/support/notes/1879989","1879989")</f>
        <v>1879989</v>
      </c>
      <c r="D1048">
        <v>4</v>
      </c>
      <c r="E1048" t="s">
        <v>1427</v>
      </c>
      <c r="F1048" t="s">
        <v>13</v>
      </c>
    </row>
    <row r="1049" spans="1:6" x14ac:dyDescent="0.3">
      <c r="A1049" t="s">
        <v>1428</v>
      </c>
      <c r="B1049" t="s">
        <v>1429</v>
      </c>
      <c r="C1049" t="str">
        <f>HYPERLINK("http://service.sap.com/sap/support/notes/1865662","1865662")</f>
        <v>1865662</v>
      </c>
      <c r="D1049">
        <v>2</v>
      </c>
      <c r="E1049" t="s">
        <v>1430</v>
      </c>
      <c r="F1049" t="s">
        <v>17</v>
      </c>
    </row>
    <row r="1050" spans="1:6" x14ac:dyDescent="0.3">
      <c r="A1050" t="s">
        <v>1428</v>
      </c>
      <c r="B1050" t="s">
        <v>1429</v>
      </c>
      <c r="C1050" t="str">
        <f>HYPERLINK("http://service.sap.com/sap/support/notes/1893213","1893213")</f>
        <v>1893213</v>
      </c>
      <c r="D1050">
        <v>3</v>
      </c>
      <c r="E1050" t="s">
        <v>1431</v>
      </c>
      <c r="F1050" t="s">
        <v>11</v>
      </c>
    </row>
    <row r="1051" spans="1:6" x14ac:dyDescent="0.3">
      <c r="A1051" t="s">
        <v>1432</v>
      </c>
      <c r="B1051" t="s">
        <v>1433</v>
      </c>
    </row>
    <row r="1052" spans="1:6" x14ac:dyDescent="0.3">
      <c r="A1052" t="s">
        <v>1434</v>
      </c>
      <c r="B1052" t="s">
        <v>1435</v>
      </c>
    </row>
    <row r="1053" spans="1:6" x14ac:dyDescent="0.3">
      <c r="A1053" t="s">
        <v>1436</v>
      </c>
      <c r="B1053" t="s">
        <v>1437</v>
      </c>
      <c r="C1053" t="str">
        <f>HYPERLINK("http://service.sap.com/sap/support/notes/1850829","1850829")</f>
        <v>1850829</v>
      </c>
      <c r="D1053">
        <v>1</v>
      </c>
      <c r="E1053" t="s">
        <v>1438</v>
      </c>
      <c r="F1053" t="s">
        <v>94</v>
      </c>
    </row>
    <row r="1054" spans="1:6" x14ac:dyDescent="0.3">
      <c r="A1054" t="s">
        <v>1436</v>
      </c>
      <c r="B1054" t="s">
        <v>1437</v>
      </c>
      <c r="C1054" t="str">
        <f>HYPERLINK("http://service.sap.com/sap/support/notes/1908632","1908632")</f>
        <v>1908632</v>
      </c>
      <c r="D1054">
        <v>1</v>
      </c>
      <c r="E1054" t="s">
        <v>1439</v>
      </c>
      <c r="F1054" t="s">
        <v>17</v>
      </c>
    </row>
    <row r="1055" spans="1:6" x14ac:dyDescent="0.3">
      <c r="A1055" t="s">
        <v>1440</v>
      </c>
      <c r="B1055" t="s">
        <v>243</v>
      </c>
      <c r="C1055" t="str">
        <f>HYPERLINK("http://service.sap.com/sap/support/notes/1893932","1893932")</f>
        <v>1893932</v>
      </c>
      <c r="D1055">
        <v>3</v>
      </c>
      <c r="E1055" t="s">
        <v>1441</v>
      </c>
      <c r="F1055" t="s">
        <v>17</v>
      </c>
    </row>
    <row r="1056" spans="1:6" x14ac:dyDescent="0.3">
      <c r="A1056" t="s">
        <v>1440</v>
      </c>
      <c r="B1056" t="s">
        <v>243</v>
      </c>
      <c r="C1056" t="str">
        <f>HYPERLINK("http://service.sap.com/sap/support/notes/1910300","1910300")</f>
        <v>1910300</v>
      </c>
      <c r="D1056">
        <v>1</v>
      </c>
      <c r="E1056" t="s">
        <v>1442</v>
      </c>
      <c r="F1056" t="s">
        <v>13</v>
      </c>
    </row>
    <row r="1057" spans="1:6" x14ac:dyDescent="0.3">
      <c r="A1057" t="s">
        <v>1443</v>
      </c>
      <c r="B1057" t="s">
        <v>1444</v>
      </c>
    </row>
    <row r="1058" spans="1:6" x14ac:dyDescent="0.3">
      <c r="A1058" t="s">
        <v>1445</v>
      </c>
      <c r="B1058" t="s">
        <v>1446</v>
      </c>
      <c r="C1058" t="str">
        <f>HYPERLINK("http://service.sap.com/sap/support/notes/1871777","1871777")</f>
        <v>1871777</v>
      </c>
      <c r="D1058">
        <v>1</v>
      </c>
      <c r="E1058" t="s">
        <v>1447</v>
      </c>
      <c r="F1058" t="s">
        <v>13</v>
      </c>
    </row>
    <row r="1059" spans="1:6" x14ac:dyDescent="0.3">
      <c r="A1059" t="s">
        <v>1448</v>
      </c>
      <c r="B1059" t="s">
        <v>1449</v>
      </c>
      <c r="C1059" t="str">
        <f>HYPERLINK("http://service.sap.com/sap/support/notes/1869711","1869711")</f>
        <v>1869711</v>
      </c>
      <c r="D1059">
        <v>1</v>
      </c>
      <c r="E1059" t="s">
        <v>1450</v>
      </c>
      <c r="F1059" t="s">
        <v>17</v>
      </c>
    </row>
    <row r="1060" spans="1:6" x14ac:dyDescent="0.3">
      <c r="A1060" t="s">
        <v>1451</v>
      </c>
      <c r="B1060" t="s">
        <v>1452</v>
      </c>
      <c r="C1060" t="str">
        <f>HYPERLINK("http://service.sap.com/sap/support/notes/1883191","1883191")</f>
        <v>1883191</v>
      </c>
      <c r="D1060">
        <v>1</v>
      </c>
      <c r="E1060" t="s">
        <v>1453</v>
      </c>
      <c r="F1060" t="s">
        <v>17</v>
      </c>
    </row>
    <row r="1061" spans="1:6" x14ac:dyDescent="0.3">
      <c r="A1061" t="s">
        <v>1454</v>
      </c>
      <c r="B1061" t="s">
        <v>1455</v>
      </c>
      <c r="C1061" t="str">
        <f>HYPERLINK("http://service.sap.com/sap/support/notes/1887183","1887183")</f>
        <v>1887183</v>
      </c>
      <c r="D1061">
        <v>2</v>
      </c>
      <c r="E1061" t="s">
        <v>1456</v>
      </c>
      <c r="F1061" t="s">
        <v>13</v>
      </c>
    </row>
    <row r="1062" spans="1:6" x14ac:dyDescent="0.3">
      <c r="A1062" t="s">
        <v>1454</v>
      </c>
      <c r="B1062" t="s">
        <v>1455</v>
      </c>
      <c r="C1062" t="str">
        <f>HYPERLINK("http://service.sap.com/sap/support/notes/1899256","1899256")</f>
        <v>1899256</v>
      </c>
      <c r="D1062">
        <v>1</v>
      </c>
      <c r="E1062" t="s">
        <v>1457</v>
      </c>
      <c r="F1062" t="s">
        <v>13</v>
      </c>
    </row>
    <row r="1063" spans="1:6" x14ac:dyDescent="0.3">
      <c r="A1063" t="s">
        <v>1458</v>
      </c>
      <c r="B1063" t="s">
        <v>1459</v>
      </c>
      <c r="C1063" t="str">
        <f>HYPERLINK("http://service.sap.com/sap/support/notes/1868788","1868788")</f>
        <v>1868788</v>
      </c>
      <c r="D1063">
        <v>1</v>
      </c>
      <c r="E1063" t="s">
        <v>1460</v>
      </c>
      <c r="F1063" t="s">
        <v>17</v>
      </c>
    </row>
    <row r="1064" spans="1:6" x14ac:dyDescent="0.3">
      <c r="A1064" t="s">
        <v>1458</v>
      </c>
      <c r="B1064" t="s">
        <v>1459</v>
      </c>
      <c r="C1064" t="str">
        <f>HYPERLINK("http://service.sap.com/sap/support/notes/1914721","1914721")</f>
        <v>1914721</v>
      </c>
      <c r="D1064">
        <v>2</v>
      </c>
      <c r="E1064" t="s">
        <v>1461</v>
      </c>
      <c r="F1064" t="s">
        <v>13</v>
      </c>
    </row>
    <row r="1065" spans="1:6" x14ac:dyDescent="0.3">
      <c r="A1065" t="s">
        <v>1462</v>
      </c>
      <c r="B1065" t="s">
        <v>1463</v>
      </c>
      <c r="C1065" t="str">
        <f>HYPERLINK("http://service.sap.com/sap/support/notes/1888858","1888858")</f>
        <v>1888858</v>
      </c>
      <c r="D1065">
        <v>1</v>
      </c>
      <c r="E1065" t="s">
        <v>1464</v>
      </c>
      <c r="F1065" t="s">
        <v>13</v>
      </c>
    </row>
    <row r="1066" spans="1:6" x14ac:dyDescent="0.3">
      <c r="A1066" t="s">
        <v>1465</v>
      </c>
      <c r="B1066" t="s">
        <v>1466</v>
      </c>
    </row>
    <row r="1067" spans="1:6" x14ac:dyDescent="0.3">
      <c r="A1067" t="s">
        <v>1467</v>
      </c>
      <c r="B1067" t="s">
        <v>1468</v>
      </c>
    </row>
    <row r="1068" spans="1:6" x14ac:dyDescent="0.3">
      <c r="A1068" t="s">
        <v>1469</v>
      </c>
      <c r="B1068" t="s">
        <v>1470</v>
      </c>
      <c r="C1068" t="str">
        <f>HYPERLINK("http://service.sap.com/sap/support/notes/1344872","1344872")</f>
        <v>1344872</v>
      </c>
      <c r="D1068">
        <v>1</v>
      </c>
      <c r="E1068" t="s">
        <v>1471</v>
      </c>
      <c r="F1068" t="s">
        <v>17</v>
      </c>
    </row>
    <row r="1069" spans="1:6" x14ac:dyDescent="0.3">
      <c r="A1069" t="s">
        <v>1469</v>
      </c>
      <c r="B1069" t="s">
        <v>1470</v>
      </c>
      <c r="C1069" t="str">
        <f>HYPERLINK("http://service.sap.com/sap/support/notes/1910950","1910950")</f>
        <v>1910950</v>
      </c>
      <c r="D1069">
        <v>1</v>
      </c>
      <c r="E1069" t="s">
        <v>1472</v>
      </c>
      <c r="F1069" t="s">
        <v>17</v>
      </c>
    </row>
    <row r="1070" spans="1:6" x14ac:dyDescent="0.3">
      <c r="A1070" t="s">
        <v>1473</v>
      </c>
      <c r="B1070" t="s">
        <v>1474</v>
      </c>
      <c r="C1070" t="str">
        <f>HYPERLINK("http://service.sap.com/sap/support/notes/1907598","1907598")</f>
        <v>1907598</v>
      </c>
      <c r="D1070">
        <v>2</v>
      </c>
      <c r="E1070" t="s">
        <v>1475</v>
      </c>
      <c r="F1070" t="s">
        <v>17</v>
      </c>
    </row>
    <row r="1071" spans="1:6" x14ac:dyDescent="0.3">
      <c r="A1071" t="s">
        <v>1476</v>
      </c>
      <c r="B1071" t="s">
        <v>1477</v>
      </c>
      <c r="C1071" t="str">
        <f>HYPERLINK("http://service.sap.com/sap/support/notes/1910716","1910716")</f>
        <v>1910716</v>
      </c>
      <c r="D1071">
        <v>1</v>
      </c>
      <c r="E1071" t="s">
        <v>1478</v>
      </c>
      <c r="F1071" t="s">
        <v>13</v>
      </c>
    </row>
    <row r="1072" spans="1:6" x14ac:dyDescent="0.3">
      <c r="A1072" t="s">
        <v>1479</v>
      </c>
      <c r="B1072" t="s">
        <v>1480</v>
      </c>
      <c r="C1072" t="str">
        <f>HYPERLINK("http://service.sap.com/sap/support/notes/1897475","1897475")</f>
        <v>1897475</v>
      </c>
      <c r="D1072">
        <v>2</v>
      </c>
      <c r="E1072" t="s">
        <v>1481</v>
      </c>
      <c r="F1072" t="s">
        <v>11</v>
      </c>
    </row>
    <row r="1073" spans="1:6" x14ac:dyDescent="0.3">
      <c r="A1073" t="s">
        <v>1479</v>
      </c>
      <c r="B1073" t="s">
        <v>1480</v>
      </c>
      <c r="C1073" t="str">
        <f>HYPERLINK("http://service.sap.com/sap/support/notes/1906766","1906766")</f>
        <v>1906766</v>
      </c>
      <c r="D1073">
        <v>2</v>
      </c>
      <c r="E1073" t="s">
        <v>1482</v>
      </c>
      <c r="F1073" t="s">
        <v>11</v>
      </c>
    </row>
    <row r="1074" spans="1:6" x14ac:dyDescent="0.3">
      <c r="A1074" t="s">
        <v>1483</v>
      </c>
      <c r="B1074" t="s">
        <v>1484</v>
      </c>
      <c r="C1074" t="str">
        <f>HYPERLINK("http://service.sap.com/sap/support/notes/1869554","1869554")</f>
        <v>1869554</v>
      </c>
      <c r="D1074">
        <v>4</v>
      </c>
      <c r="E1074" t="s">
        <v>1485</v>
      </c>
      <c r="F1074" t="s">
        <v>11</v>
      </c>
    </row>
    <row r="1075" spans="1:6" x14ac:dyDescent="0.3">
      <c r="A1075" t="s">
        <v>1483</v>
      </c>
      <c r="B1075" t="s">
        <v>1484</v>
      </c>
      <c r="C1075" t="str">
        <f>HYPERLINK("http://service.sap.com/sap/support/notes/1869559","1869559")</f>
        <v>1869559</v>
      </c>
      <c r="D1075">
        <v>3</v>
      </c>
      <c r="E1075" t="s">
        <v>1486</v>
      </c>
      <c r="F1075" t="s">
        <v>11</v>
      </c>
    </row>
    <row r="1076" spans="1:6" x14ac:dyDescent="0.3">
      <c r="A1076" t="s">
        <v>1483</v>
      </c>
      <c r="B1076" t="s">
        <v>1484</v>
      </c>
      <c r="C1076" t="str">
        <f>HYPERLINK("http://service.sap.com/sap/support/notes/1873302","1873302")</f>
        <v>1873302</v>
      </c>
      <c r="D1076">
        <v>3</v>
      </c>
      <c r="E1076" t="s">
        <v>1487</v>
      </c>
      <c r="F1076" t="s">
        <v>11</v>
      </c>
    </row>
    <row r="1077" spans="1:6" x14ac:dyDescent="0.3">
      <c r="A1077" t="s">
        <v>1483</v>
      </c>
      <c r="B1077" t="s">
        <v>1484</v>
      </c>
      <c r="C1077" t="str">
        <f>HYPERLINK("http://service.sap.com/sap/support/notes/1894253","1894253")</f>
        <v>1894253</v>
      </c>
      <c r="D1077">
        <v>1</v>
      </c>
      <c r="E1077" t="s">
        <v>1488</v>
      </c>
      <c r="F1077" t="s">
        <v>11</v>
      </c>
    </row>
    <row r="1078" spans="1:6" x14ac:dyDescent="0.3">
      <c r="A1078" t="s">
        <v>1489</v>
      </c>
      <c r="B1078" t="s">
        <v>1327</v>
      </c>
      <c r="C1078" t="str">
        <f>HYPERLINK("http://service.sap.com/sap/support/notes/1900965","1900965")</f>
        <v>1900965</v>
      </c>
      <c r="D1078">
        <v>2</v>
      </c>
      <c r="E1078" t="s">
        <v>1490</v>
      </c>
      <c r="F1078" t="s">
        <v>11</v>
      </c>
    </row>
    <row r="1079" spans="1:6" x14ac:dyDescent="0.3">
      <c r="A1079" t="s">
        <v>1491</v>
      </c>
      <c r="B1079" t="s">
        <v>1492</v>
      </c>
      <c r="C1079" t="str">
        <f>HYPERLINK("http://service.sap.com/sap/support/notes/1907815","1907815")</f>
        <v>1907815</v>
      </c>
      <c r="D1079">
        <v>1</v>
      </c>
      <c r="E1079" t="s">
        <v>1493</v>
      </c>
      <c r="F1079" t="s">
        <v>11</v>
      </c>
    </row>
    <row r="1080" spans="1:6" x14ac:dyDescent="0.3">
      <c r="A1080" t="s">
        <v>1494</v>
      </c>
      <c r="B1080" t="s">
        <v>1495</v>
      </c>
    </row>
    <row r="1081" spans="1:6" x14ac:dyDescent="0.3">
      <c r="A1081" t="s">
        <v>1496</v>
      </c>
      <c r="B1081" t="s">
        <v>61</v>
      </c>
      <c r="C1081" t="str">
        <f>HYPERLINK("http://service.sap.com/sap/support/notes/1747924","1747924")</f>
        <v>1747924</v>
      </c>
      <c r="D1081">
        <v>4</v>
      </c>
      <c r="E1081" t="s">
        <v>1497</v>
      </c>
      <c r="F1081" t="s">
        <v>17</v>
      </c>
    </row>
    <row r="1082" spans="1:6" x14ac:dyDescent="0.3">
      <c r="A1082" t="s">
        <v>1496</v>
      </c>
      <c r="B1082" t="s">
        <v>61</v>
      </c>
      <c r="C1082" t="str">
        <f>HYPERLINK("http://service.sap.com/sap/support/notes/1751198","1751198")</f>
        <v>1751198</v>
      </c>
      <c r="D1082">
        <v>3</v>
      </c>
      <c r="E1082" t="s">
        <v>1498</v>
      </c>
      <c r="F1082" t="s">
        <v>17</v>
      </c>
    </row>
    <row r="1083" spans="1:6" x14ac:dyDescent="0.3">
      <c r="A1083" t="s">
        <v>1496</v>
      </c>
      <c r="B1083" t="s">
        <v>61</v>
      </c>
      <c r="C1083" t="str">
        <f>HYPERLINK("http://service.sap.com/sap/support/notes/1843319","1843319")</f>
        <v>1843319</v>
      </c>
      <c r="D1083">
        <v>5</v>
      </c>
      <c r="E1083" t="s">
        <v>1499</v>
      </c>
      <c r="F1083" t="s">
        <v>17</v>
      </c>
    </row>
    <row r="1084" spans="1:6" x14ac:dyDescent="0.3">
      <c r="A1084" t="s">
        <v>1500</v>
      </c>
      <c r="B1084" t="s">
        <v>1501</v>
      </c>
    </row>
    <row r="1085" spans="1:6" x14ac:dyDescent="0.3">
      <c r="A1085" t="s">
        <v>1502</v>
      </c>
      <c r="B1085" t="s">
        <v>1503</v>
      </c>
      <c r="C1085" t="str">
        <f>HYPERLINK("http://service.sap.com/sap/support/notes/1869017","1869017")</f>
        <v>1869017</v>
      </c>
      <c r="D1085">
        <v>1</v>
      </c>
      <c r="E1085" t="s">
        <v>1504</v>
      </c>
      <c r="F1085" t="s">
        <v>17</v>
      </c>
    </row>
    <row r="1086" spans="1:6" x14ac:dyDescent="0.3">
      <c r="A1086" t="s">
        <v>1505</v>
      </c>
      <c r="B1086" t="s">
        <v>1506</v>
      </c>
      <c r="C1086" t="str">
        <f>HYPERLINK("http://service.sap.com/sap/support/notes/1861506","1861506")</f>
        <v>1861506</v>
      </c>
      <c r="D1086">
        <v>1</v>
      </c>
      <c r="E1086" t="s">
        <v>1507</v>
      </c>
      <c r="F1086" t="s">
        <v>13</v>
      </c>
    </row>
    <row r="1087" spans="1:6" x14ac:dyDescent="0.3">
      <c r="A1087" t="s">
        <v>1505</v>
      </c>
      <c r="B1087" t="s">
        <v>1506</v>
      </c>
      <c r="C1087" t="str">
        <f>HYPERLINK("http://service.sap.com/sap/support/notes/1867748","1867748")</f>
        <v>1867748</v>
      </c>
      <c r="D1087">
        <v>1</v>
      </c>
      <c r="E1087" t="s">
        <v>1508</v>
      </c>
      <c r="F1087" t="s">
        <v>13</v>
      </c>
    </row>
    <row r="1088" spans="1:6" x14ac:dyDescent="0.3">
      <c r="A1088" t="s">
        <v>1505</v>
      </c>
      <c r="B1088" t="s">
        <v>1506</v>
      </c>
      <c r="C1088" t="str">
        <f>HYPERLINK("http://service.sap.com/sap/support/notes/1872954","1872954")</f>
        <v>1872954</v>
      </c>
      <c r="D1088">
        <v>1</v>
      </c>
      <c r="E1088" t="s">
        <v>1509</v>
      </c>
      <c r="F1088" t="s">
        <v>17</v>
      </c>
    </row>
    <row r="1089" spans="1:6" x14ac:dyDescent="0.3">
      <c r="A1089" t="s">
        <v>1505</v>
      </c>
      <c r="B1089" t="s">
        <v>1506</v>
      </c>
      <c r="C1089" t="str">
        <f>HYPERLINK("http://service.sap.com/sap/support/notes/1891414","1891414")</f>
        <v>1891414</v>
      </c>
      <c r="D1089">
        <v>1</v>
      </c>
      <c r="E1089" t="s">
        <v>1510</v>
      </c>
      <c r="F1089" t="s">
        <v>17</v>
      </c>
    </row>
    <row r="1090" spans="1:6" x14ac:dyDescent="0.3">
      <c r="A1090" t="s">
        <v>1505</v>
      </c>
      <c r="B1090" t="s">
        <v>1506</v>
      </c>
      <c r="C1090" t="str">
        <f>HYPERLINK("http://service.sap.com/sap/support/notes/1904395","1904395")</f>
        <v>1904395</v>
      </c>
      <c r="D1090">
        <v>1</v>
      </c>
      <c r="E1090" t="s">
        <v>1511</v>
      </c>
      <c r="F1090" t="s">
        <v>17</v>
      </c>
    </row>
    <row r="1091" spans="1:6" x14ac:dyDescent="0.3">
      <c r="A1091" t="s">
        <v>1505</v>
      </c>
      <c r="B1091" t="s">
        <v>1506</v>
      </c>
      <c r="C1091" t="str">
        <f>HYPERLINK("http://service.sap.com/sap/support/notes/1913790","1913790")</f>
        <v>1913790</v>
      </c>
      <c r="D1091">
        <v>1</v>
      </c>
      <c r="E1091" t="s">
        <v>1512</v>
      </c>
      <c r="F1091" t="s">
        <v>13</v>
      </c>
    </row>
    <row r="1092" spans="1:6" x14ac:dyDescent="0.3">
      <c r="A1092" t="s">
        <v>1513</v>
      </c>
      <c r="B1092" t="s">
        <v>61</v>
      </c>
      <c r="C1092" t="str">
        <f>HYPERLINK("http://service.sap.com/sap/support/notes/1831800","1831800")</f>
        <v>1831800</v>
      </c>
      <c r="D1092">
        <v>7</v>
      </c>
      <c r="E1092" t="s">
        <v>1514</v>
      </c>
      <c r="F1092" t="s">
        <v>17</v>
      </c>
    </row>
    <row r="1093" spans="1:6" x14ac:dyDescent="0.3">
      <c r="A1093" t="s">
        <v>1513</v>
      </c>
      <c r="B1093" t="s">
        <v>61</v>
      </c>
      <c r="C1093" t="str">
        <f>HYPERLINK("http://service.sap.com/sap/support/notes/1840531","1840531")</f>
        <v>1840531</v>
      </c>
      <c r="D1093">
        <v>3</v>
      </c>
      <c r="E1093" t="s">
        <v>1515</v>
      </c>
      <c r="F1093" t="s">
        <v>17</v>
      </c>
    </row>
    <row r="1094" spans="1:6" x14ac:dyDescent="0.3">
      <c r="A1094" t="s">
        <v>1513</v>
      </c>
      <c r="B1094" t="s">
        <v>61</v>
      </c>
      <c r="C1094" t="str">
        <f>HYPERLINK("http://service.sap.com/sap/support/notes/1847033","1847033")</f>
        <v>1847033</v>
      </c>
      <c r="D1094">
        <v>2</v>
      </c>
      <c r="E1094" t="s">
        <v>1516</v>
      </c>
      <c r="F1094" t="s">
        <v>17</v>
      </c>
    </row>
    <row r="1095" spans="1:6" x14ac:dyDescent="0.3">
      <c r="A1095" t="s">
        <v>1513</v>
      </c>
      <c r="B1095" t="s">
        <v>61</v>
      </c>
      <c r="C1095" t="str">
        <f>HYPERLINK("http://service.sap.com/sap/support/notes/1861288","1861288")</f>
        <v>1861288</v>
      </c>
      <c r="D1095">
        <v>1</v>
      </c>
      <c r="E1095" t="s">
        <v>1517</v>
      </c>
      <c r="F1095" t="s">
        <v>17</v>
      </c>
    </row>
    <row r="1096" spans="1:6" x14ac:dyDescent="0.3">
      <c r="A1096" t="s">
        <v>1513</v>
      </c>
      <c r="B1096" t="s">
        <v>61</v>
      </c>
      <c r="C1096" t="str">
        <f>HYPERLINK("http://service.sap.com/sap/support/notes/1865215","1865215")</f>
        <v>1865215</v>
      </c>
      <c r="D1096">
        <v>1</v>
      </c>
      <c r="E1096" t="s">
        <v>1518</v>
      </c>
      <c r="F1096" t="s">
        <v>17</v>
      </c>
    </row>
    <row r="1097" spans="1:6" x14ac:dyDescent="0.3">
      <c r="A1097" t="s">
        <v>1513</v>
      </c>
      <c r="B1097" t="s">
        <v>61</v>
      </c>
      <c r="C1097" t="str">
        <f>HYPERLINK("http://service.sap.com/sap/support/notes/1869609","1869609")</f>
        <v>1869609</v>
      </c>
      <c r="D1097">
        <v>1</v>
      </c>
      <c r="E1097" t="s">
        <v>1519</v>
      </c>
      <c r="F1097" t="s">
        <v>17</v>
      </c>
    </row>
    <row r="1098" spans="1:6" x14ac:dyDescent="0.3">
      <c r="A1098" t="s">
        <v>1513</v>
      </c>
      <c r="B1098" t="s">
        <v>61</v>
      </c>
      <c r="C1098" t="str">
        <f>HYPERLINK("http://service.sap.com/sap/support/notes/1872756","1872756")</f>
        <v>1872756</v>
      </c>
      <c r="D1098">
        <v>1</v>
      </c>
      <c r="E1098" t="s">
        <v>1520</v>
      </c>
      <c r="F1098" t="s">
        <v>17</v>
      </c>
    </row>
    <row r="1099" spans="1:6" x14ac:dyDescent="0.3">
      <c r="A1099" t="s">
        <v>1513</v>
      </c>
      <c r="B1099" t="s">
        <v>61</v>
      </c>
      <c r="C1099" t="str">
        <f>HYPERLINK("http://service.sap.com/sap/support/notes/1887489","1887489")</f>
        <v>1887489</v>
      </c>
      <c r="D1099">
        <v>1</v>
      </c>
      <c r="E1099" t="s">
        <v>1521</v>
      </c>
      <c r="F1099" t="s">
        <v>17</v>
      </c>
    </row>
    <row r="1100" spans="1:6" x14ac:dyDescent="0.3">
      <c r="A1100" t="s">
        <v>1513</v>
      </c>
      <c r="B1100" t="s">
        <v>61</v>
      </c>
      <c r="C1100" t="str">
        <f>HYPERLINK("http://service.sap.com/sap/support/notes/1900125","1900125")</f>
        <v>1900125</v>
      </c>
      <c r="D1100">
        <v>2</v>
      </c>
      <c r="E1100" t="s">
        <v>1522</v>
      </c>
      <c r="F1100" t="s">
        <v>17</v>
      </c>
    </row>
    <row r="1101" spans="1:6" x14ac:dyDescent="0.3">
      <c r="A1101" t="s">
        <v>1513</v>
      </c>
      <c r="B1101" t="s">
        <v>61</v>
      </c>
      <c r="C1101" t="str">
        <f>HYPERLINK("http://service.sap.com/sap/support/notes/1911470","1911470")</f>
        <v>1911470</v>
      </c>
      <c r="D1101">
        <v>2</v>
      </c>
      <c r="E1101" t="s">
        <v>1523</v>
      </c>
      <c r="F1101" t="s">
        <v>17</v>
      </c>
    </row>
    <row r="1102" spans="1:6" x14ac:dyDescent="0.3">
      <c r="A1102" t="s">
        <v>1513</v>
      </c>
      <c r="B1102" t="s">
        <v>61</v>
      </c>
      <c r="C1102" t="str">
        <f>HYPERLINK("http://service.sap.com/sap/support/notes/1914449","1914449")</f>
        <v>1914449</v>
      </c>
      <c r="D1102">
        <v>3</v>
      </c>
      <c r="E1102" t="s">
        <v>1524</v>
      </c>
      <c r="F1102" t="s">
        <v>17</v>
      </c>
    </row>
    <row r="1103" spans="1:6" x14ac:dyDescent="0.3">
      <c r="A1103" t="s">
        <v>1513</v>
      </c>
      <c r="B1103" t="s">
        <v>61</v>
      </c>
      <c r="C1103" t="str">
        <f>HYPERLINK("http://service.sap.com/sap/support/notes/1917064","1917064")</f>
        <v>1917064</v>
      </c>
      <c r="D1103">
        <v>2</v>
      </c>
      <c r="E1103" t="s">
        <v>1525</v>
      </c>
      <c r="F1103" t="s">
        <v>17</v>
      </c>
    </row>
    <row r="1104" spans="1:6" x14ac:dyDescent="0.3">
      <c r="A1104" t="s">
        <v>1513</v>
      </c>
      <c r="B1104" t="s">
        <v>61</v>
      </c>
      <c r="C1104" t="str">
        <f>HYPERLINK("http://service.sap.com/sap/support/notes/1918176","1918176")</f>
        <v>1918176</v>
      </c>
      <c r="D1104">
        <v>2</v>
      </c>
      <c r="E1104" t="s">
        <v>1526</v>
      </c>
      <c r="F1104" t="s">
        <v>17</v>
      </c>
    </row>
    <row r="1105" spans="1:6" x14ac:dyDescent="0.3">
      <c r="A1105" t="s">
        <v>1527</v>
      </c>
      <c r="B1105" t="s">
        <v>1528</v>
      </c>
      <c r="C1105" t="str">
        <f>HYPERLINK("http://service.sap.com/sap/support/notes/1869003","1869003")</f>
        <v>1869003</v>
      </c>
      <c r="D1105">
        <v>1</v>
      </c>
      <c r="E1105" t="s">
        <v>1529</v>
      </c>
      <c r="F1105" t="s">
        <v>94</v>
      </c>
    </row>
    <row r="1106" spans="1:6" x14ac:dyDescent="0.3">
      <c r="A1106" t="s">
        <v>1530</v>
      </c>
      <c r="B1106" t="s">
        <v>1531</v>
      </c>
      <c r="C1106" t="str">
        <f>HYPERLINK("http://service.sap.com/sap/support/notes/1861468","1861468")</f>
        <v>1861468</v>
      </c>
      <c r="D1106">
        <v>1</v>
      </c>
      <c r="E1106" t="s">
        <v>1532</v>
      </c>
      <c r="F1106" t="s">
        <v>17</v>
      </c>
    </row>
    <row r="1107" spans="1:6" x14ac:dyDescent="0.3">
      <c r="A1107" t="s">
        <v>1533</v>
      </c>
      <c r="B1107" t="s">
        <v>1534</v>
      </c>
    </row>
    <row r="1108" spans="1:6" x14ac:dyDescent="0.3">
      <c r="A1108" t="s">
        <v>1535</v>
      </c>
      <c r="B1108" t="s">
        <v>1536</v>
      </c>
      <c r="C1108" t="str">
        <f>HYPERLINK("http://service.sap.com/sap/support/notes/1883961","1883961")</f>
        <v>1883961</v>
      </c>
      <c r="D1108">
        <v>1</v>
      </c>
      <c r="E1108" t="s">
        <v>1537</v>
      </c>
      <c r="F1108" t="s">
        <v>17</v>
      </c>
    </row>
    <row r="1109" spans="1:6" x14ac:dyDescent="0.3">
      <c r="A1109" t="s">
        <v>1538</v>
      </c>
      <c r="B1109" t="s">
        <v>1539</v>
      </c>
      <c r="C1109" t="str">
        <f>HYPERLINK("http://service.sap.com/sap/support/notes/1862368","1862368")</f>
        <v>1862368</v>
      </c>
      <c r="D1109">
        <v>1</v>
      </c>
      <c r="E1109" t="s">
        <v>1540</v>
      </c>
      <c r="F1109" t="s">
        <v>17</v>
      </c>
    </row>
    <row r="1110" spans="1:6" x14ac:dyDescent="0.3">
      <c r="A1110" t="s">
        <v>1541</v>
      </c>
      <c r="B1110" t="s">
        <v>61</v>
      </c>
      <c r="C1110" t="str">
        <f>HYPERLINK("http://service.sap.com/sap/support/notes/1878912","1878912")</f>
        <v>1878912</v>
      </c>
      <c r="D1110">
        <v>1</v>
      </c>
      <c r="E1110" t="s">
        <v>1542</v>
      </c>
      <c r="F1110" t="s">
        <v>17</v>
      </c>
    </row>
    <row r="1111" spans="1:6" x14ac:dyDescent="0.3">
      <c r="A1111" t="s">
        <v>1541</v>
      </c>
      <c r="B1111" t="s">
        <v>61</v>
      </c>
      <c r="C1111" t="str">
        <f>HYPERLINK("http://service.sap.com/sap/support/notes/1891707","1891707")</f>
        <v>1891707</v>
      </c>
      <c r="D1111">
        <v>2</v>
      </c>
      <c r="E1111" t="s">
        <v>1543</v>
      </c>
      <c r="F1111" t="s">
        <v>17</v>
      </c>
    </row>
    <row r="1112" spans="1:6" x14ac:dyDescent="0.3">
      <c r="A1112" t="s">
        <v>1544</v>
      </c>
      <c r="B1112" t="s">
        <v>1545</v>
      </c>
      <c r="C1112" t="str">
        <f>HYPERLINK("http://service.sap.com/sap/support/notes/1909841","1909841")</f>
        <v>1909841</v>
      </c>
      <c r="D1112">
        <v>1</v>
      </c>
      <c r="E1112" t="s">
        <v>1546</v>
      </c>
      <c r="F1112" t="s">
        <v>11</v>
      </c>
    </row>
    <row r="1113" spans="1:6" x14ac:dyDescent="0.3">
      <c r="A1113" t="s">
        <v>1547</v>
      </c>
      <c r="B1113" t="s">
        <v>1548</v>
      </c>
      <c r="C1113" t="str">
        <f>HYPERLINK("http://service.sap.com/sap/support/notes/1870251","1870251")</f>
        <v>1870251</v>
      </c>
      <c r="D1113">
        <v>1</v>
      </c>
      <c r="E1113" t="s">
        <v>1549</v>
      </c>
      <c r="F1113" t="s">
        <v>11</v>
      </c>
    </row>
    <row r="1114" spans="1:6" x14ac:dyDescent="0.3">
      <c r="A1114" t="s">
        <v>1550</v>
      </c>
      <c r="B1114" t="s">
        <v>1551</v>
      </c>
    </row>
    <row r="1115" spans="1:6" x14ac:dyDescent="0.3">
      <c r="A1115" t="s">
        <v>1552</v>
      </c>
      <c r="B1115" t="s">
        <v>1553</v>
      </c>
      <c r="C1115" t="str">
        <f>HYPERLINK("http://service.sap.com/sap/support/notes/1861728","1861728")</f>
        <v>1861728</v>
      </c>
      <c r="D1115">
        <v>9</v>
      </c>
      <c r="E1115" t="s">
        <v>1554</v>
      </c>
      <c r="F1115" t="s">
        <v>11</v>
      </c>
    </row>
    <row r="1116" spans="1:6" x14ac:dyDescent="0.3">
      <c r="A1116" t="s">
        <v>1555</v>
      </c>
      <c r="B1116" t="s">
        <v>1556</v>
      </c>
      <c r="C1116" t="str">
        <f>HYPERLINK("http://service.sap.com/sap/support/notes/1896464","1896464")</f>
        <v>1896464</v>
      </c>
      <c r="D1116">
        <v>2</v>
      </c>
      <c r="E1116" t="s">
        <v>1557</v>
      </c>
      <c r="F1116" t="s">
        <v>17</v>
      </c>
    </row>
    <row r="1117" spans="1:6" x14ac:dyDescent="0.3">
      <c r="A1117" t="s">
        <v>1558</v>
      </c>
      <c r="B1117" t="s">
        <v>61</v>
      </c>
      <c r="C1117" t="str">
        <f>HYPERLINK("http://service.sap.com/sap/support/notes/1786201","1786201")</f>
        <v>1786201</v>
      </c>
      <c r="D1117">
        <v>1</v>
      </c>
      <c r="E1117" t="s">
        <v>1559</v>
      </c>
      <c r="F1117" t="s">
        <v>17</v>
      </c>
    </row>
    <row r="1118" spans="1:6" x14ac:dyDescent="0.3">
      <c r="A1118" t="s">
        <v>1558</v>
      </c>
      <c r="B1118" t="s">
        <v>61</v>
      </c>
      <c r="C1118" t="str">
        <f>HYPERLINK("http://service.sap.com/sap/support/notes/1806956","1806956")</f>
        <v>1806956</v>
      </c>
      <c r="D1118">
        <v>2</v>
      </c>
      <c r="E1118" t="s">
        <v>1560</v>
      </c>
      <c r="F1118" t="s">
        <v>17</v>
      </c>
    </row>
    <row r="1119" spans="1:6" x14ac:dyDescent="0.3">
      <c r="A1119" t="s">
        <v>1558</v>
      </c>
      <c r="B1119" t="s">
        <v>61</v>
      </c>
      <c r="C1119" t="str">
        <f>HYPERLINK("http://service.sap.com/sap/support/notes/1878156","1878156")</f>
        <v>1878156</v>
      </c>
      <c r="D1119">
        <v>2</v>
      </c>
      <c r="E1119" t="s">
        <v>1561</v>
      </c>
      <c r="F1119" t="s">
        <v>17</v>
      </c>
    </row>
    <row r="1120" spans="1:6" x14ac:dyDescent="0.3">
      <c r="A1120" t="s">
        <v>1558</v>
      </c>
      <c r="B1120" t="s">
        <v>61</v>
      </c>
      <c r="C1120" t="str">
        <f>HYPERLINK("http://service.sap.com/sap/support/notes/1884123","1884123")</f>
        <v>1884123</v>
      </c>
      <c r="D1120">
        <v>2</v>
      </c>
      <c r="E1120" t="s">
        <v>1562</v>
      </c>
      <c r="F1120" t="s">
        <v>17</v>
      </c>
    </row>
    <row r="1121" spans="1:6" x14ac:dyDescent="0.3">
      <c r="A1121" t="s">
        <v>1563</v>
      </c>
      <c r="B1121" t="s">
        <v>1553</v>
      </c>
      <c r="C1121" t="str">
        <f>HYPERLINK("http://service.sap.com/sap/support/notes/1786186","1786186")</f>
        <v>1786186</v>
      </c>
      <c r="D1121">
        <v>3</v>
      </c>
      <c r="E1121" t="s">
        <v>1564</v>
      </c>
      <c r="F1121" t="s">
        <v>17</v>
      </c>
    </row>
    <row r="1122" spans="1:6" x14ac:dyDescent="0.3">
      <c r="A1122" t="s">
        <v>1565</v>
      </c>
      <c r="B1122" t="s">
        <v>1536</v>
      </c>
      <c r="C1122" t="str">
        <f>HYPERLINK("http://service.sap.com/sap/support/notes/1915455","1915455")</f>
        <v>1915455</v>
      </c>
      <c r="D1122">
        <v>1</v>
      </c>
      <c r="E1122" t="s">
        <v>1566</v>
      </c>
      <c r="F1122" t="s">
        <v>13</v>
      </c>
    </row>
    <row r="1123" spans="1:6" x14ac:dyDescent="0.3">
      <c r="A1123" t="s">
        <v>1567</v>
      </c>
      <c r="B1123" t="s">
        <v>1568</v>
      </c>
    </row>
    <row r="1124" spans="1:6" x14ac:dyDescent="0.3">
      <c r="A1124" t="s">
        <v>1569</v>
      </c>
      <c r="B1124" t="s">
        <v>1480</v>
      </c>
      <c r="C1124" t="str">
        <f>HYPERLINK("http://service.sap.com/sap/support/notes/1810348","1810348")</f>
        <v>1810348</v>
      </c>
      <c r="D1124">
        <v>3</v>
      </c>
      <c r="E1124" t="s">
        <v>1570</v>
      </c>
      <c r="F1124" t="s">
        <v>11</v>
      </c>
    </row>
    <row r="1125" spans="1:6" x14ac:dyDescent="0.3">
      <c r="A1125" t="s">
        <v>1569</v>
      </c>
      <c r="B1125" t="s">
        <v>1480</v>
      </c>
      <c r="C1125" t="str">
        <f>HYPERLINK("http://service.sap.com/sap/support/notes/1835712","1835712")</f>
        <v>1835712</v>
      </c>
      <c r="D1125">
        <v>4</v>
      </c>
      <c r="E1125" t="s">
        <v>1571</v>
      </c>
      <c r="F1125" t="s">
        <v>11</v>
      </c>
    </row>
    <row r="1126" spans="1:6" x14ac:dyDescent="0.3">
      <c r="A1126" t="s">
        <v>1569</v>
      </c>
      <c r="B1126" t="s">
        <v>1480</v>
      </c>
      <c r="C1126" t="str">
        <f>HYPERLINK("http://service.sap.com/sap/support/notes/1843311","1843311")</f>
        <v>1843311</v>
      </c>
      <c r="D1126">
        <v>3</v>
      </c>
      <c r="E1126" t="s">
        <v>1572</v>
      </c>
      <c r="F1126" t="s">
        <v>11</v>
      </c>
    </row>
    <row r="1127" spans="1:6" x14ac:dyDescent="0.3">
      <c r="A1127" t="s">
        <v>1569</v>
      </c>
      <c r="B1127" t="s">
        <v>1480</v>
      </c>
      <c r="C1127" t="str">
        <f>HYPERLINK("http://service.sap.com/sap/support/notes/1843590","1843590")</f>
        <v>1843590</v>
      </c>
      <c r="D1127">
        <v>2</v>
      </c>
      <c r="E1127" t="s">
        <v>1573</v>
      </c>
      <c r="F1127" t="s">
        <v>17</v>
      </c>
    </row>
    <row r="1128" spans="1:6" x14ac:dyDescent="0.3">
      <c r="A1128" t="s">
        <v>1569</v>
      </c>
      <c r="B1128" t="s">
        <v>1480</v>
      </c>
      <c r="C1128" t="str">
        <f>HYPERLINK("http://service.sap.com/sap/support/notes/1858869","1858869")</f>
        <v>1858869</v>
      </c>
      <c r="D1128">
        <v>1</v>
      </c>
      <c r="E1128" t="s">
        <v>1574</v>
      </c>
      <c r="F1128" t="s">
        <v>11</v>
      </c>
    </row>
    <row r="1129" spans="1:6" x14ac:dyDescent="0.3">
      <c r="A1129" t="s">
        <v>1569</v>
      </c>
      <c r="B1129" t="s">
        <v>1480</v>
      </c>
      <c r="C1129" t="str">
        <f>HYPERLINK("http://service.sap.com/sap/support/notes/1861582","1861582")</f>
        <v>1861582</v>
      </c>
      <c r="D1129">
        <v>2</v>
      </c>
      <c r="E1129" t="s">
        <v>1575</v>
      </c>
      <c r="F1129" t="s">
        <v>17</v>
      </c>
    </row>
    <row r="1130" spans="1:6" x14ac:dyDescent="0.3">
      <c r="A1130" t="s">
        <v>1569</v>
      </c>
      <c r="B1130" t="s">
        <v>1480</v>
      </c>
      <c r="C1130" t="str">
        <f>HYPERLINK("http://service.sap.com/sap/support/notes/1862197","1862197")</f>
        <v>1862197</v>
      </c>
      <c r="D1130">
        <v>1</v>
      </c>
      <c r="E1130" t="s">
        <v>1576</v>
      </c>
      <c r="F1130" t="s">
        <v>11</v>
      </c>
    </row>
    <row r="1131" spans="1:6" x14ac:dyDescent="0.3">
      <c r="A1131" t="s">
        <v>1569</v>
      </c>
      <c r="B1131" t="s">
        <v>1480</v>
      </c>
      <c r="C1131" t="str">
        <f>HYPERLINK("http://service.sap.com/sap/support/notes/1870471","1870471")</f>
        <v>1870471</v>
      </c>
      <c r="D1131">
        <v>1</v>
      </c>
      <c r="E1131" t="s">
        <v>1577</v>
      </c>
      <c r="F1131" t="s">
        <v>11</v>
      </c>
    </row>
    <row r="1132" spans="1:6" x14ac:dyDescent="0.3">
      <c r="A1132" t="s">
        <v>1569</v>
      </c>
      <c r="B1132" t="s">
        <v>1480</v>
      </c>
      <c r="C1132" t="str">
        <f>HYPERLINK("http://service.sap.com/sap/support/notes/1872212","1872212")</f>
        <v>1872212</v>
      </c>
      <c r="D1132">
        <v>2</v>
      </c>
      <c r="E1132" t="s">
        <v>1578</v>
      </c>
      <c r="F1132" t="s">
        <v>17</v>
      </c>
    </row>
    <row r="1133" spans="1:6" x14ac:dyDescent="0.3">
      <c r="A1133" t="s">
        <v>1569</v>
      </c>
      <c r="B1133" t="s">
        <v>1480</v>
      </c>
      <c r="C1133" t="str">
        <f>HYPERLINK("http://service.sap.com/sap/support/notes/1873488","1873488")</f>
        <v>1873488</v>
      </c>
      <c r="D1133">
        <v>3</v>
      </c>
      <c r="E1133" t="s">
        <v>1579</v>
      </c>
      <c r="F1133" t="s">
        <v>17</v>
      </c>
    </row>
    <row r="1134" spans="1:6" x14ac:dyDescent="0.3">
      <c r="A1134" t="s">
        <v>1569</v>
      </c>
      <c r="B1134" t="s">
        <v>1480</v>
      </c>
      <c r="C1134" t="str">
        <f>HYPERLINK("http://service.sap.com/sap/support/notes/1878098","1878098")</f>
        <v>1878098</v>
      </c>
      <c r="D1134">
        <v>2</v>
      </c>
      <c r="E1134" t="s">
        <v>1580</v>
      </c>
      <c r="F1134" t="s">
        <v>11</v>
      </c>
    </row>
    <row r="1135" spans="1:6" x14ac:dyDescent="0.3">
      <c r="A1135" t="s">
        <v>1569</v>
      </c>
      <c r="B1135" t="s">
        <v>1480</v>
      </c>
      <c r="C1135" t="str">
        <f>HYPERLINK("http://service.sap.com/sap/support/notes/1879672","1879672")</f>
        <v>1879672</v>
      </c>
      <c r="D1135">
        <v>1</v>
      </c>
      <c r="E1135" t="s">
        <v>1581</v>
      </c>
      <c r="F1135" t="s">
        <v>17</v>
      </c>
    </row>
    <row r="1136" spans="1:6" x14ac:dyDescent="0.3">
      <c r="A1136" t="s">
        <v>1569</v>
      </c>
      <c r="B1136" t="s">
        <v>1480</v>
      </c>
      <c r="C1136" t="str">
        <f>HYPERLINK("http://service.sap.com/sap/support/notes/1885245","1885245")</f>
        <v>1885245</v>
      </c>
      <c r="D1136">
        <v>4</v>
      </c>
      <c r="E1136" t="s">
        <v>1582</v>
      </c>
      <c r="F1136" t="s">
        <v>11</v>
      </c>
    </row>
    <row r="1137" spans="1:6" x14ac:dyDescent="0.3">
      <c r="A1137" t="s">
        <v>1569</v>
      </c>
      <c r="B1137" t="s">
        <v>1480</v>
      </c>
      <c r="C1137" t="str">
        <f>HYPERLINK("http://service.sap.com/sap/support/notes/1888018","1888018")</f>
        <v>1888018</v>
      </c>
      <c r="D1137">
        <v>1</v>
      </c>
      <c r="E1137" t="s">
        <v>1583</v>
      </c>
      <c r="F1137" t="s">
        <v>17</v>
      </c>
    </row>
    <row r="1138" spans="1:6" x14ac:dyDescent="0.3">
      <c r="A1138" t="s">
        <v>1569</v>
      </c>
      <c r="B1138" t="s">
        <v>1480</v>
      </c>
      <c r="C1138" t="str">
        <f>HYPERLINK("http://service.sap.com/sap/support/notes/1895585","1895585")</f>
        <v>1895585</v>
      </c>
      <c r="D1138">
        <v>1</v>
      </c>
      <c r="E1138" t="s">
        <v>1584</v>
      </c>
      <c r="F1138" t="s">
        <v>11</v>
      </c>
    </row>
    <row r="1139" spans="1:6" x14ac:dyDescent="0.3">
      <c r="A1139" t="s">
        <v>1569</v>
      </c>
      <c r="B1139" t="s">
        <v>1480</v>
      </c>
      <c r="C1139" t="str">
        <f>HYPERLINK("http://service.sap.com/sap/support/notes/1896677","1896677")</f>
        <v>1896677</v>
      </c>
      <c r="D1139">
        <v>1</v>
      </c>
      <c r="E1139" t="s">
        <v>1585</v>
      </c>
      <c r="F1139" t="s">
        <v>11</v>
      </c>
    </row>
    <row r="1140" spans="1:6" x14ac:dyDescent="0.3">
      <c r="A1140" t="s">
        <v>1569</v>
      </c>
      <c r="B1140" t="s">
        <v>1480</v>
      </c>
      <c r="C1140" t="str">
        <f>HYPERLINK("http://service.sap.com/sap/support/notes/1897282","1897282")</f>
        <v>1897282</v>
      </c>
      <c r="D1140">
        <v>1</v>
      </c>
      <c r="E1140" t="s">
        <v>1586</v>
      </c>
      <c r="F1140" t="s">
        <v>11</v>
      </c>
    </row>
    <row r="1141" spans="1:6" x14ac:dyDescent="0.3">
      <c r="A1141" t="s">
        <v>1569</v>
      </c>
      <c r="B1141" t="s">
        <v>1480</v>
      </c>
      <c r="C1141" t="str">
        <f>HYPERLINK("http://service.sap.com/sap/support/notes/1902053","1902053")</f>
        <v>1902053</v>
      </c>
      <c r="D1141">
        <v>1</v>
      </c>
      <c r="E1141" t="s">
        <v>1587</v>
      </c>
      <c r="F1141" t="s">
        <v>17</v>
      </c>
    </row>
    <row r="1142" spans="1:6" x14ac:dyDescent="0.3">
      <c r="A1142" t="s">
        <v>1569</v>
      </c>
      <c r="B1142" t="s">
        <v>1480</v>
      </c>
      <c r="C1142" t="str">
        <f>HYPERLINK("http://service.sap.com/sap/support/notes/1903398","1903398")</f>
        <v>1903398</v>
      </c>
      <c r="D1142">
        <v>1</v>
      </c>
      <c r="E1142" t="s">
        <v>1588</v>
      </c>
      <c r="F1142" t="s">
        <v>11</v>
      </c>
    </row>
    <row r="1143" spans="1:6" x14ac:dyDescent="0.3">
      <c r="A1143" t="s">
        <v>1569</v>
      </c>
      <c r="B1143" t="s">
        <v>1480</v>
      </c>
      <c r="C1143" t="str">
        <f>HYPERLINK("http://service.sap.com/sap/support/notes/1905489","1905489")</f>
        <v>1905489</v>
      </c>
      <c r="D1143">
        <v>1</v>
      </c>
      <c r="E1143" t="s">
        <v>1589</v>
      </c>
      <c r="F1143" t="s">
        <v>11</v>
      </c>
    </row>
    <row r="1144" spans="1:6" x14ac:dyDescent="0.3">
      <c r="A1144" t="s">
        <v>1569</v>
      </c>
      <c r="B1144" t="s">
        <v>1480</v>
      </c>
      <c r="C1144" t="str">
        <f>HYPERLINK("http://service.sap.com/sap/support/notes/1907512","1907512")</f>
        <v>1907512</v>
      </c>
      <c r="D1144">
        <v>2</v>
      </c>
      <c r="E1144" t="s">
        <v>1590</v>
      </c>
      <c r="F1144" t="s">
        <v>11</v>
      </c>
    </row>
    <row r="1145" spans="1:6" x14ac:dyDescent="0.3">
      <c r="A1145" t="s">
        <v>1569</v>
      </c>
      <c r="B1145" t="s">
        <v>1480</v>
      </c>
      <c r="C1145" t="str">
        <f>HYPERLINK("http://service.sap.com/sap/support/notes/1908159","1908159")</f>
        <v>1908159</v>
      </c>
      <c r="D1145">
        <v>4</v>
      </c>
      <c r="E1145" t="s">
        <v>1591</v>
      </c>
      <c r="F1145" t="s">
        <v>11</v>
      </c>
    </row>
    <row r="1146" spans="1:6" x14ac:dyDescent="0.3">
      <c r="A1146" t="s">
        <v>1569</v>
      </c>
      <c r="B1146" t="s">
        <v>1480</v>
      </c>
      <c r="C1146" t="str">
        <f>HYPERLINK("http://service.sap.com/sap/support/notes/1913780","1913780")</f>
        <v>1913780</v>
      </c>
      <c r="D1146">
        <v>2</v>
      </c>
      <c r="E1146" t="s">
        <v>1592</v>
      </c>
      <c r="F1146" t="s">
        <v>11</v>
      </c>
    </row>
    <row r="1147" spans="1:6" x14ac:dyDescent="0.3">
      <c r="A1147" t="s">
        <v>1593</v>
      </c>
      <c r="B1147" t="s">
        <v>63</v>
      </c>
      <c r="C1147" t="str">
        <f>HYPERLINK("http://service.sap.com/sap/support/notes/1897795","1897795")</f>
        <v>1897795</v>
      </c>
      <c r="D1147">
        <v>2</v>
      </c>
      <c r="E1147" t="s">
        <v>1594</v>
      </c>
      <c r="F1147" t="s">
        <v>17</v>
      </c>
    </row>
    <row r="1148" spans="1:6" x14ac:dyDescent="0.3">
      <c r="A1148" t="s">
        <v>1595</v>
      </c>
      <c r="B1148" t="s">
        <v>1596</v>
      </c>
      <c r="C1148" t="str">
        <f>HYPERLINK("http://service.sap.com/sap/support/notes/1824928","1824928")</f>
        <v>1824928</v>
      </c>
      <c r="D1148">
        <v>7</v>
      </c>
      <c r="E1148" t="s">
        <v>1597</v>
      </c>
      <c r="F1148" t="s">
        <v>17</v>
      </c>
    </row>
    <row r="1149" spans="1:6" x14ac:dyDescent="0.3">
      <c r="A1149" t="s">
        <v>1595</v>
      </c>
      <c r="B1149" t="s">
        <v>1596</v>
      </c>
      <c r="C1149" t="str">
        <f>HYPERLINK("http://service.sap.com/sap/support/notes/1838836","1838836")</f>
        <v>1838836</v>
      </c>
      <c r="D1149">
        <v>2</v>
      </c>
      <c r="E1149" t="s">
        <v>1598</v>
      </c>
      <c r="F1149" t="s">
        <v>17</v>
      </c>
    </row>
    <row r="1150" spans="1:6" x14ac:dyDescent="0.3">
      <c r="A1150" t="s">
        <v>1595</v>
      </c>
      <c r="B1150" t="s">
        <v>1596</v>
      </c>
      <c r="C1150" t="str">
        <f>HYPERLINK("http://service.sap.com/sap/support/notes/1852745","1852745")</f>
        <v>1852745</v>
      </c>
      <c r="D1150">
        <v>3</v>
      </c>
      <c r="E1150" t="s">
        <v>1599</v>
      </c>
      <c r="F1150" t="s">
        <v>17</v>
      </c>
    </row>
    <row r="1151" spans="1:6" x14ac:dyDescent="0.3">
      <c r="A1151" t="s">
        <v>1595</v>
      </c>
      <c r="B1151" t="s">
        <v>1596</v>
      </c>
      <c r="C1151" t="str">
        <f>HYPERLINK("http://service.sap.com/sap/support/notes/1857288","1857288")</f>
        <v>1857288</v>
      </c>
      <c r="D1151">
        <v>3</v>
      </c>
      <c r="E1151" t="s">
        <v>1600</v>
      </c>
      <c r="F1151" t="s">
        <v>17</v>
      </c>
    </row>
    <row r="1152" spans="1:6" x14ac:dyDescent="0.3">
      <c r="A1152" t="s">
        <v>1601</v>
      </c>
      <c r="B1152" t="s">
        <v>1602</v>
      </c>
      <c r="C1152" t="str">
        <f>HYPERLINK("http://service.sap.com/sap/support/notes/1834260","1834260")</f>
        <v>1834260</v>
      </c>
      <c r="D1152">
        <v>3</v>
      </c>
      <c r="E1152" t="s">
        <v>1603</v>
      </c>
      <c r="F1152" t="s">
        <v>17</v>
      </c>
    </row>
    <row r="1153" spans="1:6" x14ac:dyDescent="0.3">
      <c r="A1153" t="s">
        <v>1601</v>
      </c>
      <c r="B1153" t="s">
        <v>1602</v>
      </c>
      <c r="C1153" t="str">
        <f>HYPERLINK("http://service.sap.com/sap/support/notes/1869751","1869751")</f>
        <v>1869751</v>
      </c>
      <c r="D1153">
        <v>1</v>
      </c>
      <c r="E1153" t="s">
        <v>1604</v>
      </c>
      <c r="F1153" t="s">
        <v>17</v>
      </c>
    </row>
    <row r="1154" spans="1:6" x14ac:dyDescent="0.3">
      <c r="A1154" t="s">
        <v>1605</v>
      </c>
      <c r="B1154" t="s">
        <v>1606</v>
      </c>
      <c r="C1154" t="str">
        <f>HYPERLINK("http://service.sap.com/sap/support/notes/1436095","1436095")</f>
        <v>1436095</v>
      </c>
      <c r="D1154">
        <v>8</v>
      </c>
      <c r="E1154" t="s">
        <v>1607</v>
      </c>
      <c r="F1154" t="s">
        <v>13</v>
      </c>
    </row>
    <row r="1155" spans="1:6" x14ac:dyDescent="0.3">
      <c r="A1155" t="s">
        <v>1605</v>
      </c>
      <c r="B1155" t="s">
        <v>1606</v>
      </c>
      <c r="C1155" t="str">
        <f>HYPERLINK("http://service.sap.com/sap/support/notes/1836000","1836000")</f>
        <v>1836000</v>
      </c>
      <c r="D1155">
        <v>4</v>
      </c>
      <c r="E1155" t="s">
        <v>1608</v>
      </c>
      <c r="F1155" t="s">
        <v>13</v>
      </c>
    </row>
    <row r="1156" spans="1:6" x14ac:dyDescent="0.3">
      <c r="A1156" t="s">
        <v>1605</v>
      </c>
      <c r="B1156" t="s">
        <v>1606</v>
      </c>
      <c r="C1156" t="str">
        <f>HYPERLINK("http://service.sap.com/sap/support/notes/1873746","1873746")</f>
        <v>1873746</v>
      </c>
      <c r="D1156">
        <v>2</v>
      </c>
      <c r="E1156" t="s">
        <v>1609</v>
      </c>
      <c r="F1156" t="s">
        <v>17</v>
      </c>
    </row>
    <row r="1157" spans="1:6" x14ac:dyDescent="0.3">
      <c r="A1157" t="s">
        <v>1605</v>
      </c>
      <c r="B1157" t="s">
        <v>1606</v>
      </c>
      <c r="C1157" t="str">
        <f>HYPERLINK("http://service.sap.com/sap/support/notes/1885038","1885038")</f>
        <v>1885038</v>
      </c>
      <c r="D1157">
        <v>1</v>
      </c>
      <c r="E1157" t="s">
        <v>1610</v>
      </c>
      <c r="F1157" t="s">
        <v>11</v>
      </c>
    </row>
    <row r="1158" spans="1:6" x14ac:dyDescent="0.3">
      <c r="A1158" t="s">
        <v>1605</v>
      </c>
      <c r="B1158" t="s">
        <v>1606</v>
      </c>
      <c r="C1158" t="str">
        <f>HYPERLINK("http://service.sap.com/sap/support/notes/1892463","1892463")</f>
        <v>1892463</v>
      </c>
      <c r="D1158">
        <v>1</v>
      </c>
      <c r="E1158" t="s">
        <v>1611</v>
      </c>
      <c r="F1158" t="s">
        <v>17</v>
      </c>
    </row>
    <row r="1159" spans="1:6" x14ac:dyDescent="0.3">
      <c r="A1159" t="s">
        <v>1605</v>
      </c>
      <c r="B1159" t="s">
        <v>1606</v>
      </c>
      <c r="C1159" t="str">
        <f>HYPERLINK("http://service.sap.com/sap/support/notes/1898090","1898090")</f>
        <v>1898090</v>
      </c>
      <c r="D1159">
        <v>2</v>
      </c>
      <c r="E1159" t="s">
        <v>1612</v>
      </c>
      <c r="F1159" t="s">
        <v>17</v>
      </c>
    </row>
    <row r="1160" spans="1:6" x14ac:dyDescent="0.3">
      <c r="A1160" t="s">
        <v>1613</v>
      </c>
      <c r="B1160" t="s">
        <v>1614</v>
      </c>
    </row>
    <row r="1161" spans="1:6" x14ac:dyDescent="0.3">
      <c r="A1161" t="s">
        <v>1615</v>
      </c>
      <c r="B1161" t="s">
        <v>61</v>
      </c>
      <c r="C1161" t="str">
        <f>HYPERLINK("http://service.sap.com/sap/support/notes/1818508","1818508")</f>
        <v>1818508</v>
      </c>
      <c r="D1161">
        <v>3</v>
      </c>
      <c r="E1161" t="s">
        <v>1616</v>
      </c>
      <c r="F1161" t="s">
        <v>17</v>
      </c>
    </row>
    <row r="1162" spans="1:6" x14ac:dyDescent="0.3">
      <c r="A1162" t="s">
        <v>1615</v>
      </c>
      <c r="B1162" t="s">
        <v>61</v>
      </c>
      <c r="C1162" t="str">
        <f>HYPERLINK("http://service.sap.com/sap/support/notes/1906202","1906202")</f>
        <v>1906202</v>
      </c>
      <c r="D1162">
        <v>1</v>
      </c>
      <c r="E1162" t="s">
        <v>1617</v>
      </c>
      <c r="F1162" t="s">
        <v>17</v>
      </c>
    </row>
    <row r="1163" spans="1:6" x14ac:dyDescent="0.3">
      <c r="A1163" t="s">
        <v>1615</v>
      </c>
      <c r="B1163" t="s">
        <v>61</v>
      </c>
      <c r="C1163" t="str">
        <f>HYPERLINK("http://service.sap.com/sap/support/notes/1906304","1906304")</f>
        <v>1906304</v>
      </c>
      <c r="D1163">
        <v>1</v>
      </c>
      <c r="E1163" t="s">
        <v>1618</v>
      </c>
      <c r="F1163" t="s">
        <v>17</v>
      </c>
    </row>
    <row r="1164" spans="1:6" x14ac:dyDescent="0.3">
      <c r="A1164" t="s">
        <v>1619</v>
      </c>
      <c r="B1164" t="s">
        <v>1620</v>
      </c>
    </row>
    <row r="1165" spans="1:6" x14ac:dyDescent="0.3">
      <c r="A1165" t="s">
        <v>1621</v>
      </c>
      <c r="B1165" t="s">
        <v>61</v>
      </c>
      <c r="C1165" t="str">
        <f>HYPERLINK("http://service.sap.com/sap/support/notes/1875128","1875128")</f>
        <v>1875128</v>
      </c>
      <c r="D1165">
        <v>3</v>
      </c>
      <c r="E1165" t="s">
        <v>1622</v>
      </c>
      <c r="F1165" t="s">
        <v>11</v>
      </c>
    </row>
    <row r="1166" spans="1:6" x14ac:dyDescent="0.3">
      <c r="A1166" t="s">
        <v>1623</v>
      </c>
      <c r="B1166" t="s">
        <v>1624</v>
      </c>
    </row>
    <row r="1167" spans="1:6" x14ac:dyDescent="0.3">
      <c r="A1167" t="s">
        <v>1625</v>
      </c>
      <c r="B1167" t="s">
        <v>61</v>
      </c>
      <c r="C1167" t="str">
        <f>HYPERLINK("http://service.sap.com/sap/support/notes/1873595","1873595")</f>
        <v>1873595</v>
      </c>
      <c r="D1167">
        <v>2</v>
      </c>
      <c r="E1167" t="s">
        <v>1626</v>
      </c>
      <c r="F1167" t="s">
        <v>13</v>
      </c>
    </row>
    <row r="1168" spans="1:6" x14ac:dyDescent="0.3">
      <c r="A1168" t="s">
        <v>1627</v>
      </c>
      <c r="B1168" t="s">
        <v>1628</v>
      </c>
      <c r="C1168" t="str">
        <f>HYPERLINK("http://service.sap.com/sap/support/notes/1784285","1784285")</f>
        <v>1784285</v>
      </c>
      <c r="D1168">
        <v>5</v>
      </c>
      <c r="E1168" t="s">
        <v>1629</v>
      </c>
      <c r="F1168" t="s">
        <v>17</v>
      </c>
    </row>
    <row r="1169" spans="1:6" x14ac:dyDescent="0.3">
      <c r="A1169" t="s">
        <v>1627</v>
      </c>
      <c r="B1169" t="s">
        <v>1628</v>
      </c>
      <c r="C1169" t="str">
        <f>HYPERLINK("http://service.sap.com/sap/support/notes/1792342","1792342")</f>
        <v>1792342</v>
      </c>
      <c r="D1169">
        <v>5</v>
      </c>
      <c r="E1169" t="s">
        <v>1630</v>
      </c>
      <c r="F1169" t="s">
        <v>17</v>
      </c>
    </row>
    <row r="1170" spans="1:6" x14ac:dyDescent="0.3">
      <c r="A1170" t="s">
        <v>1627</v>
      </c>
      <c r="B1170" t="s">
        <v>1628</v>
      </c>
      <c r="C1170" t="str">
        <f>HYPERLINK("http://service.sap.com/sap/support/notes/1810613","1810613")</f>
        <v>1810613</v>
      </c>
      <c r="D1170">
        <v>3</v>
      </c>
      <c r="E1170" t="s">
        <v>1631</v>
      </c>
      <c r="F1170" t="s">
        <v>17</v>
      </c>
    </row>
    <row r="1171" spans="1:6" x14ac:dyDescent="0.3">
      <c r="A1171" t="s">
        <v>1632</v>
      </c>
      <c r="B1171" t="s">
        <v>61</v>
      </c>
      <c r="C1171" t="str">
        <f>HYPERLINK("http://service.sap.com/sap/support/notes/1752163","1752163")</f>
        <v>1752163</v>
      </c>
      <c r="D1171">
        <v>8</v>
      </c>
      <c r="E1171" t="s">
        <v>1633</v>
      </c>
      <c r="F1171" t="s">
        <v>17</v>
      </c>
    </row>
    <row r="1172" spans="1:6" x14ac:dyDescent="0.3">
      <c r="A1172" t="s">
        <v>1634</v>
      </c>
      <c r="B1172" t="s">
        <v>1635</v>
      </c>
    </row>
    <row r="1173" spans="1:6" x14ac:dyDescent="0.3">
      <c r="A1173" t="s">
        <v>1636</v>
      </c>
      <c r="B1173" t="s">
        <v>61</v>
      </c>
      <c r="C1173" t="str">
        <f>HYPERLINK("http://service.sap.com/sap/support/notes/1854086","1854086")</f>
        <v>1854086</v>
      </c>
      <c r="D1173">
        <v>3</v>
      </c>
      <c r="E1173" t="s">
        <v>1637</v>
      </c>
      <c r="F1173" t="s">
        <v>17</v>
      </c>
    </row>
    <row r="1174" spans="1:6" x14ac:dyDescent="0.3">
      <c r="A1174" t="s">
        <v>1636</v>
      </c>
      <c r="B1174" t="s">
        <v>61</v>
      </c>
      <c r="C1174" t="str">
        <f>HYPERLINK("http://service.sap.com/sap/support/notes/1856420","1856420")</f>
        <v>1856420</v>
      </c>
      <c r="D1174">
        <v>5</v>
      </c>
      <c r="E1174" t="s">
        <v>1638</v>
      </c>
      <c r="F1174" t="s">
        <v>17</v>
      </c>
    </row>
    <row r="1175" spans="1:6" x14ac:dyDescent="0.3">
      <c r="A1175" t="s">
        <v>1636</v>
      </c>
      <c r="B1175" t="s">
        <v>61</v>
      </c>
      <c r="C1175" t="str">
        <f>HYPERLINK("http://service.sap.com/sap/support/notes/1893621","1893621")</f>
        <v>1893621</v>
      </c>
      <c r="D1175">
        <v>1</v>
      </c>
      <c r="E1175" t="s">
        <v>1639</v>
      </c>
      <c r="F1175" t="s">
        <v>17</v>
      </c>
    </row>
    <row r="1176" spans="1:6" x14ac:dyDescent="0.3">
      <c r="A1176" t="s">
        <v>1636</v>
      </c>
      <c r="B1176" t="s">
        <v>61</v>
      </c>
      <c r="C1176" t="str">
        <f>HYPERLINK("http://service.sap.com/sap/support/notes/1894863","1894863")</f>
        <v>1894863</v>
      </c>
      <c r="D1176">
        <v>1</v>
      </c>
      <c r="E1176" t="s">
        <v>1640</v>
      </c>
      <c r="F1176" t="s">
        <v>17</v>
      </c>
    </row>
    <row r="1177" spans="1:6" x14ac:dyDescent="0.3">
      <c r="A1177" t="s">
        <v>1641</v>
      </c>
      <c r="B1177" t="s">
        <v>1553</v>
      </c>
      <c r="C1177" t="str">
        <f>HYPERLINK("http://service.sap.com/sap/support/notes/1837130","1837130")</f>
        <v>1837130</v>
      </c>
      <c r="D1177">
        <v>4</v>
      </c>
      <c r="E1177" t="s">
        <v>1642</v>
      </c>
      <c r="F1177" t="s">
        <v>17</v>
      </c>
    </row>
    <row r="1178" spans="1:6" x14ac:dyDescent="0.3">
      <c r="A1178" t="s">
        <v>1643</v>
      </c>
      <c r="B1178" t="s">
        <v>1644</v>
      </c>
      <c r="C1178" t="str">
        <f>HYPERLINK("http://service.sap.com/sap/support/notes/1840135","1840135")</f>
        <v>1840135</v>
      </c>
      <c r="D1178">
        <v>2</v>
      </c>
      <c r="E1178" t="s">
        <v>1645</v>
      </c>
      <c r="F1178" t="s">
        <v>17</v>
      </c>
    </row>
    <row r="1179" spans="1:6" x14ac:dyDescent="0.3">
      <c r="A1179" t="s">
        <v>1643</v>
      </c>
      <c r="B1179" t="s">
        <v>1644</v>
      </c>
      <c r="C1179" t="str">
        <f>HYPERLINK("http://service.sap.com/sap/support/notes/1849476","1849476")</f>
        <v>1849476</v>
      </c>
      <c r="D1179">
        <v>4</v>
      </c>
      <c r="E1179" t="s">
        <v>1646</v>
      </c>
      <c r="F1179" t="s">
        <v>17</v>
      </c>
    </row>
    <row r="1180" spans="1:6" x14ac:dyDescent="0.3">
      <c r="A1180" t="s">
        <v>1643</v>
      </c>
      <c r="B1180" t="s">
        <v>1644</v>
      </c>
      <c r="C1180" t="str">
        <f>HYPERLINK("http://service.sap.com/sap/support/notes/1863878","1863878")</f>
        <v>1863878</v>
      </c>
      <c r="D1180">
        <v>3</v>
      </c>
      <c r="E1180" t="s">
        <v>1647</v>
      </c>
      <c r="F1180" t="s">
        <v>17</v>
      </c>
    </row>
    <row r="1181" spans="1:6" x14ac:dyDescent="0.3">
      <c r="A1181" t="s">
        <v>1643</v>
      </c>
      <c r="B1181" t="s">
        <v>1644</v>
      </c>
      <c r="C1181" t="str">
        <f>HYPERLINK("http://service.sap.com/sap/support/notes/1869251","1869251")</f>
        <v>1869251</v>
      </c>
      <c r="D1181">
        <v>2</v>
      </c>
      <c r="E1181" t="s">
        <v>1648</v>
      </c>
      <c r="F1181" t="s">
        <v>17</v>
      </c>
    </row>
    <row r="1182" spans="1:6" x14ac:dyDescent="0.3">
      <c r="A1182" t="s">
        <v>1649</v>
      </c>
      <c r="B1182" t="s">
        <v>61</v>
      </c>
      <c r="C1182" t="str">
        <f>HYPERLINK("http://service.sap.com/sap/support/notes/1846930","1846930")</f>
        <v>1846930</v>
      </c>
      <c r="D1182">
        <v>4</v>
      </c>
      <c r="E1182" t="s">
        <v>1650</v>
      </c>
      <c r="F1182" t="s">
        <v>17</v>
      </c>
    </row>
    <row r="1183" spans="1:6" x14ac:dyDescent="0.3">
      <c r="A1183" t="s">
        <v>1649</v>
      </c>
      <c r="B1183" t="s">
        <v>61</v>
      </c>
      <c r="C1183" t="str">
        <f>HYPERLINK("http://service.sap.com/sap/support/notes/1873355","1873355")</f>
        <v>1873355</v>
      </c>
      <c r="D1183">
        <v>1</v>
      </c>
      <c r="E1183" t="s">
        <v>1651</v>
      </c>
      <c r="F1183" t="s">
        <v>17</v>
      </c>
    </row>
    <row r="1184" spans="1:6" x14ac:dyDescent="0.3">
      <c r="A1184" t="s">
        <v>1649</v>
      </c>
      <c r="B1184" t="s">
        <v>61</v>
      </c>
      <c r="C1184" t="str">
        <f>HYPERLINK("http://service.sap.com/sap/support/notes/1874692","1874692")</f>
        <v>1874692</v>
      </c>
      <c r="D1184">
        <v>9</v>
      </c>
      <c r="E1184" t="s">
        <v>1652</v>
      </c>
      <c r="F1184" t="s">
        <v>17</v>
      </c>
    </row>
    <row r="1185" spans="1:6" x14ac:dyDescent="0.3">
      <c r="A1185" t="s">
        <v>1649</v>
      </c>
      <c r="B1185" t="s">
        <v>61</v>
      </c>
      <c r="C1185" t="str">
        <f>HYPERLINK("http://service.sap.com/sap/support/notes/1880530","1880530")</f>
        <v>1880530</v>
      </c>
      <c r="D1185">
        <v>1</v>
      </c>
      <c r="E1185" t="s">
        <v>1653</v>
      </c>
      <c r="F1185" t="s">
        <v>17</v>
      </c>
    </row>
    <row r="1186" spans="1:6" x14ac:dyDescent="0.3">
      <c r="A1186" t="s">
        <v>1649</v>
      </c>
      <c r="B1186" t="s">
        <v>61</v>
      </c>
      <c r="C1186" t="str">
        <f>HYPERLINK("http://service.sap.com/sap/support/notes/1883744","1883744")</f>
        <v>1883744</v>
      </c>
      <c r="D1186">
        <v>3</v>
      </c>
      <c r="E1186" t="s">
        <v>1654</v>
      </c>
      <c r="F1186" t="s">
        <v>17</v>
      </c>
    </row>
    <row r="1187" spans="1:6" x14ac:dyDescent="0.3">
      <c r="A1187" t="s">
        <v>1649</v>
      </c>
      <c r="B1187" t="s">
        <v>61</v>
      </c>
      <c r="C1187" t="str">
        <f>HYPERLINK("http://service.sap.com/sap/support/notes/1886251","1886251")</f>
        <v>1886251</v>
      </c>
      <c r="D1187">
        <v>13</v>
      </c>
      <c r="E1187" t="s">
        <v>1655</v>
      </c>
      <c r="F1187" t="s">
        <v>11</v>
      </c>
    </row>
    <row r="1188" spans="1:6" x14ac:dyDescent="0.3">
      <c r="A1188" t="s">
        <v>1649</v>
      </c>
      <c r="B1188" t="s">
        <v>61</v>
      </c>
      <c r="C1188" t="str">
        <f>HYPERLINK("http://service.sap.com/sap/support/notes/1887497","1887497")</f>
        <v>1887497</v>
      </c>
      <c r="D1188">
        <v>3</v>
      </c>
      <c r="E1188" t="s">
        <v>1656</v>
      </c>
      <c r="F1188" t="s">
        <v>17</v>
      </c>
    </row>
    <row r="1189" spans="1:6" x14ac:dyDescent="0.3">
      <c r="A1189" t="s">
        <v>1649</v>
      </c>
      <c r="B1189" t="s">
        <v>61</v>
      </c>
      <c r="C1189" t="str">
        <f>HYPERLINK("http://service.sap.com/sap/support/notes/1888259","1888259")</f>
        <v>1888259</v>
      </c>
      <c r="D1189">
        <v>8</v>
      </c>
      <c r="E1189" t="s">
        <v>1657</v>
      </c>
      <c r="F1189" t="s">
        <v>11</v>
      </c>
    </row>
    <row r="1190" spans="1:6" x14ac:dyDescent="0.3">
      <c r="A1190" t="s">
        <v>1649</v>
      </c>
      <c r="B1190" t="s">
        <v>61</v>
      </c>
      <c r="C1190" t="str">
        <f>HYPERLINK("http://service.sap.com/sap/support/notes/1892533","1892533")</f>
        <v>1892533</v>
      </c>
      <c r="D1190">
        <v>1</v>
      </c>
      <c r="E1190" t="s">
        <v>1658</v>
      </c>
      <c r="F1190" t="s">
        <v>11</v>
      </c>
    </row>
    <row r="1191" spans="1:6" x14ac:dyDescent="0.3">
      <c r="A1191" t="s">
        <v>1649</v>
      </c>
      <c r="B1191" t="s">
        <v>61</v>
      </c>
      <c r="C1191" t="str">
        <f>HYPERLINK("http://service.sap.com/sap/support/notes/1893578","1893578")</f>
        <v>1893578</v>
      </c>
      <c r="D1191">
        <v>1</v>
      </c>
      <c r="E1191" t="s">
        <v>1659</v>
      </c>
      <c r="F1191" t="s">
        <v>17</v>
      </c>
    </row>
    <row r="1192" spans="1:6" x14ac:dyDescent="0.3">
      <c r="A1192" t="s">
        <v>1649</v>
      </c>
      <c r="B1192" t="s">
        <v>61</v>
      </c>
      <c r="C1192" t="str">
        <f>HYPERLINK("http://service.sap.com/sap/support/notes/1896105","1896105")</f>
        <v>1896105</v>
      </c>
      <c r="D1192">
        <v>6</v>
      </c>
      <c r="E1192" t="s">
        <v>1660</v>
      </c>
      <c r="F1192" t="s">
        <v>17</v>
      </c>
    </row>
    <row r="1193" spans="1:6" x14ac:dyDescent="0.3">
      <c r="A1193" t="s">
        <v>1649</v>
      </c>
      <c r="B1193" t="s">
        <v>61</v>
      </c>
      <c r="C1193" t="str">
        <f>HYPERLINK("http://service.sap.com/sap/support/notes/1901652","1901652")</f>
        <v>1901652</v>
      </c>
      <c r="D1193">
        <v>4</v>
      </c>
      <c r="E1193" t="s">
        <v>1661</v>
      </c>
      <c r="F1193" t="s">
        <v>17</v>
      </c>
    </row>
    <row r="1194" spans="1:6" x14ac:dyDescent="0.3">
      <c r="A1194" t="s">
        <v>1649</v>
      </c>
      <c r="B1194" t="s">
        <v>61</v>
      </c>
      <c r="C1194" t="str">
        <f>HYPERLINK("http://service.sap.com/sap/support/notes/1910699","1910699")</f>
        <v>1910699</v>
      </c>
      <c r="D1194">
        <v>1</v>
      </c>
      <c r="E1194" t="s">
        <v>1662</v>
      </c>
      <c r="F1194" t="s">
        <v>13</v>
      </c>
    </row>
    <row r="1195" spans="1:6" x14ac:dyDescent="0.3">
      <c r="A1195" t="s">
        <v>1649</v>
      </c>
      <c r="B1195" t="s">
        <v>61</v>
      </c>
      <c r="C1195" t="str">
        <f>HYPERLINK("http://service.sap.com/sap/support/notes/1911610","1911610")</f>
        <v>1911610</v>
      </c>
      <c r="D1195">
        <v>8</v>
      </c>
      <c r="E1195" t="s">
        <v>1663</v>
      </c>
      <c r="F1195" t="s">
        <v>17</v>
      </c>
    </row>
    <row r="1196" spans="1:6" x14ac:dyDescent="0.3">
      <c r="A1196" t="s">
        <v>1664</v>
      </c>
      <c r="B1196" t="s">
        <v>63</v>
      </c>
      <c r="C1196" t="str">
        <f>HYPERLINK("http://service.sap.com/sap/support/notes/1858177","1858177")</f>
        <v>1858177</v>
      </c>
      <c r="D1196">
        <v>20</v>
      </c>
      <c r="E1196" t="s">
        <v>1665</v>
      </c>
      <c r="F1196" t="s">
        <v>17</v>
      </c>
    </row>
    <row r="1197" spans="1:6" x14ac:dyDescent="0.3">
      <c r="A1197" t="s">
        <v>1664</v>
      </c>
      <c r="B1197" t="s">
        <v>63</v>
      </c>
      <c r="C1197" t="str">
        <f>HYPERLINK("http://service.sap.com/sap/support/notes/1882338","1882338")</f>
        <v>1882338</v>
      </c>
      <c r="D1197">
        <v>1</v>
      </c>
      <c r="E1197" t="s">
        <v>1666</v>
      </c>
      <c r="F1197" t="s">
        <v>17</v>
      </c>
    </row>
    <row r="1198" spans="1:6" x14ac:dyDescent="0.3">
      <c r="A1198" t="s">
        <v>1664</v>
      </c>
      <c r="B1198" t="s">
        <v>63</v>
      </c>
      <c r="C1198" t="str">
        <f>HYPERLINK("http://service.sap.com/sap/support/notes/1882562","1882562")</f>
        <v>1882562</v>
      </c>
      <c r="D1198">
        <v>10</v>
      </c>
      <c r="E1198" t="s">
        <v>1667</v>
      </c>
      <c r="F1198" t="s">
        <v>11</v>
      </c>
    </row>
    <row r="1199" spans="1:6" x14ac:dyDescent="0.3">
      <c r="A1199" t="s">
        <v>1664</v>
      </c>
      <c r="B1199" t="s">
        <v>63</v>
      </c>
      <c r="C1199" t="str">
        <f>HYPERLINK("http://service.sap.com/sap/support/notes/1886805","1886805")</f>
        <v>1886805</v>
      </c>
      <c r="D1199">
        <v>2</v>
      </c>
      <c r="E1199" t="s">
        <v>1668</v>
      </c>
      <c r="F1199" t="s">
        <v>17</v>
      </c>
    </row>
    <row r="1200" spans="1:6" x14ac:dyDescent="0.3">
      <c r="A1200" t="s">
        <v>1664</v>
      </c>
      <c r="B1200" t="s">
        <v>63</v>
      </c>
      <c r="C1200" t="str">
        <f>HYPERLINK("http://service.sap.com/sap/support/notes/1887123","1887123")</f>
        <v>1887123</v>
      </c>
      <c r="D1200">
        <v>1</v>
      </c>
      <c r="E1200" t="s">
        <v>1669</v>
      </c>
      <c r="F1200" t="s">
        <v>11</v>
      </c>
    </row>
    <row r="1201" spans="1:6" x14ac:dyDescent="0.3">
      <c r="A1201" t="s">
        <v>1664</v>
      </c>
      <c r="B1201" t="s">
        <v>63</v>
      </c>
      <c r="C1201" t="str">
        <f>HYPERLINK("http://service.sap.com/sap/support/notes/1891321","1891321")</f>
        <v>1891321</v>
      </c>
      <c r="D1201">
        <v>2</v>
      </c>
      <c r="E1201" t="s">
        <v>1670</v>
      </c>
      <c r="F1201" t="s">
        <v>17</v>
      </c>
    </row>
    <row r="1202" spans="1:6" x14ac:dyDescent="0.3">
      <c r="A1202" t="s">
        <v>1664</v>
      </c>
      <c r="B1202" t="s">
        <v>63</v>
      </c>
      <c r="C1202" t="str">
        <f>HYPERLINK("http://service.sap.com/sap/support/notes/1896722","1896722")</f>
        <v>1896722</v>
      </c>
      <c r="D1202">
        <v>3</v>
      </c>
      <c r="E1202" t="s">
        <v>1671</v>
      </c>
      <c r="F1202" t="s">
        <v>17</v>
      </c>
    </row>
    <row r="1203" spans="1:6" x14ac:dyDescent="0.3">
      <c r="A1203" t="s">
        <v>1664</v>
      </c>
      <c r="B1203" t="s">
        <v>63</v>
      </c>
      <c r="C1203" t="str">
        <f>HYPERLINK("http://service.sap.com/sap/support/notes/1899403","1899403")</f>
        <v>1899403</v>
      </c>
      <c r="D1203">
        <v>2</v>
      </c>
      <c r="E1203" t="s">
        <v>1672</v>
      </c>
      <c r="F1203" t="s">
        <v>17</v>
      </c>
    </row>
    <row r="1204" spans="1:6" x14ac:dyDescent="0.3">
      <c r="A1204" t="s">
        <v>1664</v>
      </c>
      <c r="B1204" t="s">
        <v>63</v>
      </c>
      <c r="C1204" t="str">
        <f>HYPERLINK("http://service.sap.com/sap/support/notes/1903815","1903815")</f>
        <v>1903815</v>
      </c>
      <c r="D1204">
        <v>3</v>
      </c>
      <c r="E1204" t="s">
        <v>1673</v>
      </c>
      <c r="F1204" t="s">
        <v>17</v>
      </c>
    </row>
    <row r="1205" spans="1:6" x14ac:dyDescent="0.3">
      <c r="A1205" t="s">
        <v>1664</v>
      </c>
      <c r="B1205" t="s">
        <v>63</v>
      </c>
      <c r="C1205" t="str">
        <f>HYPERLINK("http://service.sap.com/sap/support/notes/1909843","1909843")</f>
        <v>1909843</v>
      </c>
      <c r="D1205">
        <v>1</v>
      </c>
      <c r="E1205" t="s">
        <v>1674</v>
      </c>
      <c r="F1205" t="s">
        <v>17</v>
      </c>
    </row>
    <row r="1206" spans="1:6" x14ac:dyDescent="0.3">
      <c r="A1206" t="s">
        <v>1664</v>
      </c>
      <c r="B1206" t="s">
        <v>63</v>
      </c>
      <c r="C1206" t="str">
        <f>HYPERLINK("http://service.sap.com/sap/support/notes/1915548","1915548")</f>
        <v>1915548</v>
      </c>
      <c r="D1206">
        <v>1</v>
      </c>
      <c r="E1206" t="s">
        <v>1675</v>
      </c>
      <c r="F1206" t="s">
        <v>17</v>
      </c>
    </row>
    <row r="1207" spans="1:6" x14ac:dyDescent="0.3">
      <c r="A1207" t="s">
        <v>1664</v>
      </c>
      <c r="B1207" t="s">
        <v>63</v>
      </c>
      <c r="C1207" t="str">
        <f>HYPERLINK("http://service.sap.com/sap/support/notes/1920789","1920789")</f>
        <v>1920789</v>
      </c>
      <c r="D1207">
        <v>1</v>
      </c>
      <c r="E1207" t="s">
        <v>1676</v>
      </c>
      <c r="F1207" t="s">
        <v>17</v>
      </c>
    </row>
    <row r="1208" spans="1:6" x14ac:dyDescent="0.3">
      <c r="A1208" t="s">
        <v>1664</v>
      </c>
      <c r="B1208" t="s">
        <v>63</v>
      </c>
      <c r="C1208" t="str">
        <f>HYPERLINK("http://service.sap.com/sap/support/notes/1924730","1924730")</f>
        <v>1924730</v>
      </c>
      <c r="D1208">
        <v>1</v>
      </c>
      <c r="E1208" t="s">
        <v>1677</v>
      </c>
      <c r="F1208" t="s">
        <v>17</v>
      </c>
    </row>
    <row r="1209" spans="1:6" x14ac:dyDescent="0.3">
      <c r="A1209" t="s">
        <v>1678</v>
      </c>
      <c r="B1209" t="s">
        <v>1679</v>
      </c>
      <c r="C1209" t="str">
        <f>HYPERLINK("http://service.sap.com/sap/support/notes/1863847","1863847")</f>
        <v>1863847</v>
      </c>
      <c r="D1209">
        <v>2</v>
      </c>
      <c r="E1209" t="s">
        <v>1680</v>
      </c>
      <c r="F1209" t="s">
        <v>11</v>
      </c>
    </row>
    <row r="1210" spans="1:6" x14ac:dyDescent="0.3">
      <c r="A1210" t="s">
        <v>1681</v>
      </c>
      <c r="B1210" t="s">
        <v>61</v>
      </c>
      <c r="C1210" t="str">
        <f>HYPERLINK("http://service.sap.com/sap/support/notes/1832989","1832989")</f>
        <v>1832989</v>
      </c>
      <c r="D1210">
        <v>2</v>
      </c>
      <c r="E1210" t="s">
        <v>1682</v>
      </c>
      <c r="F1210" t="s">
        <v>17</v>
      </c>
    </row>
    <row r="1211" spans="1:6" x14ac:dyDescent="0.3">
      <c r="A1211" t="s">
        <v>1681</v>
      </c>
      <c r="B1211" t="s">
        <v>61</v>
      </c>
      <c r="C1211" t="str">
        <f>HYPERLINK("http://service.sap.com/sap/support/notes/1847945","1847945")</f>
        <v>1847945</v>
      </c>
      <c r="D1211">
        <v>5</v>
      </c>
      <c r="E1211" t="s">
        <v>1683</v>
      </c>
      <c r="F1211" t="s">
        <v>17</v>
      </c>
    </row>
    <row r="1212" spans="1:6" x14ac:dyDescent="0.3">
      <c r="A1212" t="s">
        <v>1681</v>
      </c>
      <c r="B1212" t="s">
        <v>61</v>
      </c>
      <c r="C1212" t="str">
        <f>HYPERLINK("http://service.sap.com/sap/support/notes/1849656","1849656")</f>
        <v>1849656</v>
      </c>
      <c r="D1212">
        <v>9</v>
      </c>
      <c r="E1212" t="s">
        <v>1684</v>
      </c>
      <c r="F1212" t="s">
        <v>17</v>
      </c>
    </row>
    <row r="1213" spans="1:6" x14ac:dyDescent="0.3">
      <c r="A1213" t="s">
        <v>1681</v>
      </c>
      <c r="B1213" t="s">
        <v>61</v>
      </c>
      <c r="C1213" t="str">
        <f>HYPERLINK("http://service.sap.com/sap/support/notes/1850608","1850608")</f>
        <v>1850608</v>
      </c>
      <c r="D1213">
        <v>10</v>
      </c>
      <c r="E1213" t="s">
        <v>1685</v>
      </c>
      <c r="F1213" t="s">
        <v>17</v>
      </c>
    </row>
    <row r="1214" spans="1:6" x14ac:dyDescent="0.3">
      <c r="A1214" t="s">
        <v>1681</v>
      </c>
      <c r="B1214" t="s">
        <v>61</v>
      </c>
      <c r="C1214" t="str">
        <f>HYPERLINK("http://service.sap.com/sap/support/notes/1862471","1862471")</f>
        <v>1862471</v>
      </c>
      <c r="D1214">
        <v>4</v>
      </c>
      <c r="E1214" t="s">
        <v>1686</v>
      </c>
      <c r="F1214" t="s">
        <v>11</v>
      </c>
    </row>
    <row r="1215" spans="1:6" x14ac:dyDescent="0.3">
      <c r="A1215" t="s">
        <v>1681</v>
      </c>
      <c r="B1215" t="s">
        <v>61</v>
      </c>
      <c r="C1215" t="str">
        <f>HYPERLINK("http://service.sap.com/sap/support/notes/1863554","1863554")</f>
        <v>1863554</v>
      </c>
      <c r="D1215">
        <v>5</v>
      </c>
      <c r="E1215" t="s">
        <v>1687</v>
      </c>
      <c r="F1215" t="s">
        <v>17</v>
      </c>
    </row>
    <row r="1216" spans="1:6" x14ac:dyDescent="0.3">
      <c r="A1216" t="s">
        <v>1681</v>
      </c>
      <c r="B1216" t="s">
        <v>61</v>
      </c>
      <c r="C1216" t="str">
        <f>HYPERLINK("http://service.sap.com/sap/support/notes/1863722","1863722")</f>
        <v>1863722</v>
      </c>
      <c r="D1216">
        <v>2</v>
      </c>
      <c r="E1216" t="s">
        <v>1688</v>
      </c>
      <c r="F1216" t="s">
        <v>17</v>
      </c>
    </row>
    <row r="1217" spans="1:6" x14ac:dyDescent="0.3">
      <c r="A1217" t="s">
        <v>1681</v>
      </c>
      <c r="B1217" t="s">
        <v>61</v>
      </c>
      <c r="C1217" t="str">
        <f>HYPERLINK("http://service.sap.com/sap/support/notes/1864470","1864470")</f>
        <v>1864470</v>
      </c>
      <c r="D1217">
        <v>3</v>
      </c>
      <c r="E1217" t="s">
        <v>1689</v>
      </c>
      <c r="F1217" t="s">
        <v>13</v>
      </c>
    </row>
    <row r="1218" spans="1:6" x14ac:dyDescent="0.3">
      <c r="A1218" t="s">
        <v>1681</v>
      </c>
      <c r="B1218" t="s">
        <v>61</v>
      </c>
      <c r="C1218" t="str">
        <f>HYPERLINK("http://service.sap.com/sap/support/notes/1864989","1864989")</f>
        <v>1864989</v>
      </c>
      <c r="D1218">
        <v>2</v>
      </c>
      <c r="E1218" t="s">
        <v>1690</v>
      </c>
      <c r="F1218" t="s">
        <v>17</v>
      </c>
    </row>
    <row r="1219" spans="1:6" x14ac:dyDescent="0.3">
      <c r="A1219" t="s">
        <v>1681</v>
      </c>
      <c r="B1219" t="s">
        <v>61</v>
      </c>
      <c r="C1219" t="str">
        <f>HYPERLINK("http://service.sap.com/sap/support/notes/1865162","1865162")</f>
        <v>1865162</v>
      </c>
      <c r="D1219">
        <v>3</v>
      </c>
      <c r="E1219" t="s">
        <v>1691</v>
      </c>
      <c r="F1219" t="s">
        <v>17</v>
      </c>
    </row>
    <row r="1220" spans="1:6" x14ac:dyDescent="0.3">
      <c r="A1220" t="s">
        <v>1681</v>
      </c>
      <c r="B1220" t="s">
        <v>61</v>
      </c>
      <c r="C1220" t="str">
        <f>HYPERLINK("http://service.sap.com/sap/support/notes/1865736","1865736")</f>
        <v>1865736</v>
      </c>
      <c r="D1220">
        <v>1</v>
      </c>
      <c r="E1220" t="s">
        <v>1692</v>
      </c>
      <c r="F1220" t="s">
        <v>11</v>
      </c>
    </row>
    <row r="1221" spans="1:6" x14ac:dyDescent="0.3">
      <c r="A1221" t="s">
        <v>1681</v>
      </c>
      <c r="B1221" t="s">
        <v>61</v>
      </c>
      <c r="C1221" t="str">
        <f>HYPERLINK("http://service.sap.com/sap/support/notes/1865824","1865824")</f>
        <v>1865824</v>
      </c>
      <c r="D1221">
        <v>3</v>
      </c>
      <c r="E1221" t="s">
        <v>1693</v>
      </c>
      <c r="F1221" t="s">
        <v>17</v>
      </c>
    </row>
    <row r="1222" spans="1:6" x14ac:dyDescent="0.3">
      <c r="A1222" t="s">
        <v>1681</v>
      </c>
      <c r="B1222" t="s">
        <v>61</v>
      </c>
      <c r="C1222" t="str">
        <f>HYPERLINK("http://service.sap.com/sap/support/notes/1865890","1865890")</f>
        <v>1865890</v>
      </c>
      <c r="D1222">
        <v>3</v>
      </c>
      <c r="E1222" t="s">
        <v>1694</v>
      </c>
      <c r="F1222" t="s">
        <v>17</v>
      </c>
    </row>
    <row r="1223" spans="1:6" x14ac:dyDescent="0.3">
      <c r="A1223" t="s">
        <v>1681</v>
      </c>
      <c r="B1223" t="s">
        <v>61</v>
      </c>
      <c r="C1223" t="str">
        <f>HYPERLINK("http://service.sap.com/sap/support/notes/1866036","1866036")</f>
        <v>1866036</v>
      </c>
      <c r="D1223">
        <v>2</v>
      </c>
      <c r="E1223" t="s">
        <v>1695</v>
      </c>
      <c r="F1223" t="s">
        <v>11</v>
      </c>
    </row>
    <row r="1224" spans="1:6" x14ac:dyDescent="0.3">
      <c r="A1224" t="s">
        <v>1681</v>
      </c>
      <c r="B1224" t="s">
        <v>61</v>
      </c>
      <c r="C1224" t="str">
        <f>HYPERLINK("http://service.sap.com/sap/support/notes/1866912","1866912")</f>
        <v>1866912</v>
      </c>
      <c r="D1224">
        <v>2</v>
      </c>
      <c r="E1224" t="s">
        <v>1696</v>
      </c>
      <c r="F1224" t="s">
        <v>13</v>
      </c>
    </row>
    <row r="1225" spans="1:6" x14ac:dyDescent="0.3">
      <c r="A1225" t="s">
        <v>1681</v>
      </c>
      <c r="B1225" t="s">
        <v>61</v>
      </c>
      <c r="C1225" t="str">
        <f>HYPERLINK("http://service.sap.com/sap/support/notes/1867563","1867563")</f>
        <v>1867563</v>
      </c>
      <c r="D1225">
        <v>1</v>
      </c>
      <c r="E1225" t="s">
        <v>1697</v>
      </c>
      <c r="F1225" t="s">
        <v>17</v>
      </c>
    </row>
    <row r="1226" spans="1:6" x14ac:dyDescent="0.3">
      <c r="A1226" t="s">
        <v>1681</v>
      </c>
      <c r="B1226" t="s">
        <v>61</v>
      </c>
      <c r="C1226" t="str">
        <f>HYPERLINK("http://service.sap.com/sap/support/notes/1867858","1867858")</f>
        <v>1867858</v>
      </c>
      <c r="D1226">
        <v>3</v>
      </c>
      <c r="E1226" t="s">
        <v>1698</v>
      </c>
      <c r="F1226" t="s">
        <v>17</v>
      </c>
    </row>
    <row r="1227" spans="1:6" x14ac:dyDescent="0.3">
      <c r="A1227" t="s">
        <v>1681</v>
      </c>
      <c r="B1227" t="s">
        <v>61</v>
      </c>
      <c r="C1227" t="str">
        <f>HYPERLINK("http://service.sap.com/sap/support/notes/1868344","1868344")</f>
        <v>1868344</v>
      </c>
      <c r="D1227">
        <v>2</v>
      </c>
      <c r="E1227" t="s">
        <v>1699</v>
      </c>
      <c r="F1227" t="s">
        <v>17</v>
      </c>
    </row>
    <row r="1228" spans="1:6" x14ac:dyDescent="0.3">
      <c r="A1228" t="s">
        <v>1681</v>
      </c>
      <c r="B1228" t="s">
        <v>61</v>
      </c>
      <c r="C1228" t="str">
        <f>HYPERLINK("http://service.sap.com/sap/support/notes/1869388","1869388")</f>
        <v>1869388</v>
      </c>
      <c r="D1228">
        <v>1</v>
      </c>
      <c r="E1228" t="s">
        <v>1700</v>
      </c>
      <c r="F1228" t="s">
        <v>17</v>
      </c>
    </row>
    <row r="1229" spans="1:6" x14ac:dyDescent="0.3">
      <c r="A1229" t="s">
        <v>1681</v>
      </c>
      <c r="B1229" t="s">
        <v>61</v>
      </c>
      <c r="C1229" t="str">
        <f>HYPERLINK("http://service.sap.com/sap/support/notes/1870135","1870135")</f>
        <v>1870135</v>
      </c>
      <c r="D1229">
        <v>2</v>
      </c>
      <c r="E1229" t="s">
        <v>1701</v>
      </c>
      <c r="F1229" t="s">
        <v>13</v>
      </c>
    </row>
    <row r="1230" spans="1:6" x14ac:dyDescent="0.3">
      <c r="A1230" t="s">
        <v>1681</v>
      </c>
      <c r="B1230" t="s">
        <v>61</v>
      </c>
      <c r="C1230" t="str">
        <f>HYPERLINK("http://service.sap.com/sap/support/notes/1871335","1871335")</f>
        <v>1871335</v>
      </c>
      <c r="D1230">
        <v>2</v>
      </c>
      <c r="E1230" t="s">
        <v>1702</v>
      </c>
      <c r="F1230" t="s">
        <v>11</v>
      </c>
    </row>
    <row r="1231" spans="1:6" x14ac:dyDescent="0.3">
      <c r="A1231" t="s">
        <v>1681</v>
      </c>
      <c r="B1231" t="s">
        <v>61</v>
      </c>
      <c r="C1231" t="str">
        <f>HYPERLINK("http://service.sap.com/sap/support/notes/1871567","1871567")</f>
        <v>1871567</v>
      </c>
      <c r="D1231">
        <v>6</v>
      </c>
      <c r="E1231" t="s">
        <v>1703</v>
      </c>
      <c r="F1231" t="s">
        <v>17</v>
      </c>
    </row>
    <row r="1232" spans="1:6" x14ac:dyDescent="0.3">
      <c r="A1232" t="s">
        <v>1681</v>
      </c>
      <c r="B1232" t="s">
        <v>61</v>
      </c>
      <c r="C1232" t="str">
        <f>HYPERLINK("http://service.sap.com/sap/support/notes/1871635","1871635")</f>
        <v>1871635</v>
      </c>
      <c r="D1232">
        <v>1</v>
      </c>
      <c r="E1232" t="s">
        <v>1704</v>
      </c>
      <c r="F1232" t="s">
        <v>17</v>
      </c>
    </row>
    <row r="1233" spans="1:6" x14ac:dyDescent="0.3">
      <c r="A1233" t="s">
        <v>1681</v>
      </c>
      <c r="B1233" t="s">
        <v>61</v>
      </c>
      <c r="C1233" t="str">
        <f>HYPERLINK("http://service.sap.com/sap/support/notes/1871767","1871767")</f>
        <v>1871767</v>
      </c>
      <c r="D1233">
        <v>3</v>
      </c>
      <c r="E1233" t="s">
        <v>1705</v>
      </c>
      <c r="F1233" t="s">
        <v>17</v>
      </c>
    </row>
    <row r="1234" spans="1:6" x14ac:dyDescent="0.3">
      <c r="A1234" t="s">
        <v>1681</v>
      </c>
      <c r="B1234" t="s">
        <v>61</v>
      </c>
      <c r="C1234" t="str">
        <f>HYPERLINK("http://service.sap.com/sap/support/notes/1872311","1872311")</f>
        <v>1872311</v>
      </c>
      <c r="D1234">
        <v>2</v>
      </c>
      <c r="E1234" t="s">
        <v>1706</v>
      </c>
      <c r="F1234" t="s">
        <v>13</v>
      </c>
    </row>
    <row r="1235" spans="1:6" x14ac:dyDescent="0.3">
      <c r="A1235" t="s">
        <v>1681</v>
      </c>
      <c r="B1235" t="s">
        <v>61</v>
      </c>
      <c r="C1235" t="str">
        <f>HYPERLINK("http://service.sap.com/sap/support/notes/1872999","1872999")</f>
        <v>1872999</v>
      </c>
      <c r="D1235">
        <v>2</v>
      </c>
      <c r="E1235" t="s">
        <v>1707</v>
      </c>
      <c r="F1235" t="s">
        <v>17</v>
      </c>
    </row>
    <row r="1236" spans="1:6" x14ac:dyDescent="0.3">
      <c r="A1236" t="s">
        <v>1681</v>
      </c>
      <c r="B1236" t="s">
        <v>61</v>
      </c>
      <c r="C1236" t="str">
        <f>HYPERLINK("http://service.sap.com/sap/support/notes/1873195","1873195")</f>
        <v>1873195</v>
      </c>
      <c r="D1236">
        <v>3</v>
      </c>
      <c r="E1236" t="s">
        <v>1708</v>
      </c>
      <c r="F1236" t="s">
        <v>17</v>
      </c>
    </row>
    <row r="1237" spans="1:6" x14ac:dyDescent="0.3">
      <c r="A1237" t="s">
        <v>1681</v>
      </c>
      <c r="B1237" t="s">
        <v>61</v>
      </c>
      <c r="C1237" t="str">
        <f>HYPERLINK("http://service.sap.com/sap/support/notes/1873386","1873386")</f>
        <v>1873386</v>
      </c>
      <c r="D1237">
        <v>2</v>
      </c>
      <c r="E1237" t="s">
        <v>1709</v>
      </c>
      <c r="F1237" t="s">
        <v>17</v>
      </c>
    </row>
    <row r="1238" spans="1:6" x14ac:dyDescent="0.3">
      <c r="A1238" t="s">
        <v>1681</v>
      </c>
      <c r="B1238" t="s">
        <v>61</v>
      </c>
      <c r="C1238" t="str">
        <f>HYPERLINK("http://service.sap.com/sap/support/notes/1873411","1873411")</f>
        <v>1873411</v>
      </c>
      <c r="D1238">
        <v>3</v>
      </c>
      <c r="E1238" t="s">
        <v>1710</v>
      </c>
      <c r="F1238" t="s">
        <v>17</v>
      </c>
    </row>
    <row r="1239" spans="1:6" x14ac:dyDescent="0.3">
      <c r="A1239" t="s">
        <v>1681</v>
      </c>
      <c r="B1239" t="s">
        <v>61</v>
      </c>
      <c r="C1239" t="str">
        <f>HYPERLINK("http://service.sap.com/sap/support/notes/1874529","1874529")</f>
        <v>1874529</v>
      </c>
      <c r="D1239">
        <v>3</v>
      </c>
      <c r="E1239" t="s">
        <v>1711</v>
      </c>
      <c r="F1239" t="s">
        <v>17</v>
      </c>
    </row>
    <row r="1240" spans="1:6" x14ac:dyDescent="0.3">
      <c r="A1240" t="s">
        <v>1681</v>
      </c>
      <c r="B1240" t="s">
        <v>61</v>
      </c>
      <c r="C1240" t="str">
        <f>HYPERLINK("http://service.sap.com/sap/support/notes/1874952","1874952")</f>
        <v>1874952</v>
      </c>
      <c r="D1240">
        <v>5</v>
      </c>
      <c r="E1240" t="s">
        <v>1712</v>
      </c>
      <c r="F1240" t="s">
        <v>11</v>
      </c>
    </row>
    <row r="1241" spans="1:6" x14ac:dyDescent="0.3">
      <c r="A1241" t="s">
        <v>1681</v>
      </c>
      <c r="B1241" t="s">
        <v>61</v>
      </c>
      <c r="C1241" t="str">
        <f>HYPERLINK("http://service.sap.com/sap/support/notes/1875622","1875622")</f>
        <v>1875622</v>
      </c>
      <c r="D1241">
        <v>3</v>
      </c>
      <c r="E1241" t="s">
        <v>1713</v>
      </c>
      <c r="F1241" t="s">
        <v>11</v>
      </c>
    </row>
    <row r="1242" spans="1:6" x14ac:dyDescent="0.3">
      <c r="A1242" t="s">
        <v>1681</v>
      </c>
      <c r="B1242" t="s">
        <v>61</v>
      </c>
      <c r="C1242" t="str">
        <f>HYPERLINK("http://service.sap.com/sap/support/notes/1875635","1875635")</f>
        <v>1875635</v>
      </c>
      <c r="D1242">
        <v>1</v>
      </c>
      <c r="E1242" t="s">
        <v>1714</v>
      </c>
      <c r="F1242" t="s">
        <v>17</v>
      </c>
    </row>
    <row r="1243" spans="1:6" x14ac:dyDescent="0.3">
      <c r="A1243" t="s">
        <v>1681</v>
      </c>
      <c r="B1243" t="s">
        <v>61</v>
      </c>
      <c r="C1243" t="str">
        <f>HYPERLINK("http://service.sap.com/sap/support/notes/1875980","1875980")</f>
        <v>1875980</v>
      </c>
      <c r="D1243">
        <v>2</v>
      </c>
      <c r="E1243" t="s">
        <v>1715</v>
      </c>
      <c r="F1243" t="s">
        <v>17</v>
      </c>
    </row>
    <row r="1244" spans="1:6" x14ac:dyDescent="0.3">
      <c r="A1244" t="s">
        <v>1681</v>
      </c>
      <c r="B1244" t="s">
        <v>61</v>
      </c>
      <c r="C1244" t="str">
        <f>HYPERLINK("http://service.sap.com/sap/support/notes/1876526","1876526")</f>
        <v>1876526</v>
      </c>
      <c r="D1244">
        <v>1</v>
      </c>
      <c r="E1244" t="s">
        <v>1716</v>
      </c>
      <c r="F1244" t="s">
        <v>17</v>
      </c>
    </row>
    <row r="1245" spans="1:6" x14ac:dyDescent="0.3">
      <c r="A1245" t="s">
        <v>1681</v>
      </c>
      <c r="B1245" t="s">
        <v>61</v>
      </c>
      <c r="C1245" t="str">
        <f>HYPERLINK("http://service.sap.com/sap/support/notes/1876562","1876562")</f>
        <v>1876562</v>
      </c>
      <c r="D1245">
        <v>4</v>
      </c>
      <c r="E1245" t="s">
        <v>1717</v>
      </c>
      <c r="F1245" t="s">
        <v>11</v>
      </c>
    </row>
    <row r="1246" spans="1:6" x14ac:dyDescent="0.3">
      <c r="A1246" t="s">
        <v>1681</v>
      </c>
      <c r="B1246" t="s">
        <v>61</v>
      </c>
      <c r="C1246" t="str">
        <f>HYPERLINK("http://service.sap.com/sap/support/notes/1877039","1877039")</f>
        <v>1877039</v>
      </c>
      <c r="D1246">
        <v>3</v>
      </c>
      <c r="E1246" t="s">
        <v>1718</v>
      </c>
      <c r="F1246" t="s">
        <v>13</v>
      </c>
    </row>
    <row r="1247" spans="1:6" x14ac:dyDescent="0.3">
      <c r="A1247" t="s">
        <v>1681</v>
      </c>
      <c r="B1247" t="s">
        <v>61</v>
      </c>
      <c r="C1247" t="str">
        <f>HYPERLINK("http://service.sap.com/sap/support/notes/1878197","1878197")</f>
        <v>1878197</v>
      </c>
      <c r="D1247">
        <v>2</v>
      </c>
      <c r="E1247" t="s">
        <v>1719</v>
      </c>
      <c r="F1247" t="s">
        <v>17</v>
      </c>
    </row>
    <row r="1248" spans="1:6" x14ac:dyDescent="0.3">
      <c r="A1248" t="s">
        <v>1681</v>
      </c>
      <c r="B1248" t="s">
        <v>61</v>
      </c>
      <c r="C1248" t="str">
        <f>HYPERLINK("http://service.sap.com/sap/support/notes/1878987","1878987")</f>
        <v>1878987</v>
      </c>
      <c r="D1248">
        <v>2</v>
      </c>
      <c r="E1248" t="s">
        <v>1720</v>
      </c>
      <c r="F1248" t="s">
        <v>17</v>
      </c>
    </row>
    <row r="1249" spans="1:6" x14ac:dyDescent="0.3">
      <c r="A1249" t="s">
        <v>1681</v>
      </c>
      <c r="B1249" t="s">
        <v>61</v>
      </c>
      <c r="C1249" t="str">
        <f>HYPERLINK("http://service.sap.com/sap/support/notes/1879047","1879047")</f>
        <v>1879047</v>
      </c>
      <c r="D1249">
        <v>2</v>
      </c>
      <c r="E1249" t="s">
        <v>1721</v>
      </c>
      <c r="F1249" t="s">
        <v>17</v>
      </c>
    </row>
    <row r="1250" spans="1:6" x14ac:dyDescent="0.3">
      <c r="A1250" t="s">
        <v>1681</v>
      </c>
      <c r="B1250" t="s">
        <v>61</v>
      </c>
      <c r="C1250" t="str">
        <f>HYPERLINK("http://service.sap.com/sap/support/notes/1879518","1879518")</f>
        <v>1879518</v>
      </c>
      <c r="D1250">
        <v>1</v>
      </c>
      <c r="E1250" t="s">
        <v>1722</v>
      </c>
      <c r="F1250" t="s">
        <v>17</v>
      </c>
    </row>
    <row r="1251" spans="1:6" x14ac:dyDescent="0.3">
      <c r="A1251" t="s">
        <v>1681</v>
      </c>
      <c r="B1251" t="s">
        <v>61</v>
      </c>
      <c r="C1251" t="str">
        <f>HYPERLINK("http://service.sap.com/sap/support/notes/1881093","1881093")</f>
        <v>1881093</v>
      </c>
      <c r="D1251">
        <v>2</v>
      </c>
      <c r="E1251" t="s">
        <v>1723</v>
      </c>
      <c r="F1251" t="s">
        <v>17</v>
      </c>
    </row>
    <row r="1252" spans="1:6" x14ac:dyDescent="0.3">
      <c r="A1252" t="s">
        <v>1681</v>
      </c>
      <c r="B1252" t="s">
        <v>61</v>
      </c>
      <c r="C1252" t="str">
        <f>HYPERLINK("http://service.sap.com/sap/support/notes/1881402","1881402")</f>
        <v>1881402</v>
      </c>
      <c r="D1252">
        <v>4</v>
      </c>
      <c r="E1252" t="s">
        <v>1724</v>
      </c>
      <c r="F1252" t="s">
        <v>17</v>
      </c>
    </row>
    <row r="1253" spans="1:6" x14ac:dyDescent="0.3">
      <c r="A1253" t="s">
        <v>1681</v>
      </c>
      <c r="B1253" t="s">
        <v>61</v>
      </c>
      <c r="C1253" t="str">
        <f>HYPERLINK("http://service.sap.com/sap/support/notes/1882388","1882388")</f>
        <v>1882388</v>
      </c>
      <c r="D1253">
        <v>4</v>
      </c>
      <c r="E1253" t="s">
        <v>1725</v>
      </c>
      <c r="F1253" t="s">
        <v>17</v>
      </c>
    </row>
    <row r="1254" spans="1:6" x14ac:dyDescent="0.3">
      <c r="A1254" t="s">
        <v>1681</v>
      </c>
      <c r="B1254" t="s">
        <v>61</v>
      </c>
      <c r="C1254" t="str">
        <f>HYPERLINK("http://service.sap.com/sap/support/notes/1882398","1882398")</f>
        <v>1882398</v>
      </c>
      <c r="D1254">
        <v>3</v>
      </c>
      <c r="E1254" t="s">
        <v>1726</v>
      </c>
      <c r="F1254" t="s">
        <v>11</v>
      </c>
    </row>
    <row r="1255" spans="1:6" x14ac:dyDescent="0.3">
      <c r="A1255" t="s">
        <v>1681</v>
      </c>
      <c r="B1255" t="s">
        <v>61</v>
      </c>
      <c r="C1255" t="str">
        <f>HYPERLINK("http://service.sap.com/sap/support/notes/1882579","1882579")</f>
        <v>1882579</v>
      </c>
      <c r="D1255">
        <v>1</v>
      </c>
      <c r="E1255" t="s">
        <v>1727</v>
      </c>
      <c r="F1255" t="s">
        <v>11</v>
      </c>
    </row>
    <row r="1256" spans="1:6" x14ac:dyDescent="0.3">
      <c r="A1256" t="s">
        <v>1681</v>
      </c>
      <c r="B1256" t="s">
        <v>61</v>
      </c>
      <c r="C1256" t="str">
        <f>HYPERLINK("http://service.sap.com/sap/support/notes/1883352","1883352")</f>
        <v>1883352</v>
      </c>
      <c r="D1256">
        <v>4</v>
      </c>
      <c r="E1256" t="s">
        <v>1728</v>
      </c>
      <c r="F1256" t="s">
        <v>17</v>
      </c>
    </row>
    <row r="1257" spans="1:6" x14ac:dyDescent="0.3">
      <c r="A1257" t="s">
        <v>1681</v>
      </c>
      <c r="B1257" t="s">
        <v>61</v>
      </c>
      <c r="C1257" t="str">
        <f>HYPERLINK("http://service.sap.com/sap/support/notes/1883466","1883466")</f>
        <v>1883466</v>
      </c>
      <c r="D1257">
        <v>4</v>
      </c>
      <c r="E1257" t="s">
        <v>1729</v>
      </c>
      <c r="F1257" t="s">
        <v>11</v>
      </c>
    </row>
    <row r="1258" spans="1:6" x14ac:dyDescent="0.3">
      <c r="A1258" t="s">
        <v>1681</v>
      </c>
      <c r="B1258" t="s">
        <v>61</v>
      </c>
      <c r="C1258" t="str">
        <f>HYPERLINK("http://service.sap.com/sap/support/notes/1883615","1883615")</f>
        <v>1883615</v>
      </c>
      <c r="D1258">
        <v>2</v>
      </c>
      <c r="E1258" t="s">
        <v>1730</v>
      </c>
      <c r="F1258" t="s">
        <v>13</v>
      </c>
    </row>
    <row r="1259" spans="1:6" x14ac:dyDescent="0.3">
      <c r="A1259" t="s">
        <v>1681</v>
      </c>
      <c r="B1259" t="s">
        <v>61</v>
      </c>
      <c r="C1259" t="str">
        <f>HYPERLINK("http://service.sap.com/sap/support/notes/1883837","1883837")</f>
        <v>1883837</v>
      </c>
      <c r="D1259">
        <v>3</v>
      </c>
      <c r="E1259" t="s">
        <v>1731</v>
      </c>
      <c r="F1259" t="s">
        <v>17</v>
      </c>
    </row>
    <row r="1260" spans="1:6" x14ac:dyDescent="0.3">
      <c r="A1260" t="s">
        <v>1681</v>
      </c>
      <c r="B1260" t="s">
        <v>61</v>
      </c>
      <c r="C1260" t="str">
        <f>HYPERLINK("http://service.sap.com/sap/support/notes/1884168","1884168")</f>
        <v>1884168</v>
      </c>
      <c r="D1260">
        <v>2</v>
      </c>
      <c r="E1260" t="s">
        <v>1732</v>
      </c>
      <c r="F1260" t="s">
        <v>17</v>
      </c>
    </row>
    <row r="1261" spans="1:6" x14ac:dyDescent="0.3">
      <c r="A1261" t="s">
        <v>1681</v>
      </c>
      <c r="B1261" t="s">
        <v>61</v>
      </c>
      <c r="C1261" t="str">
        <f>HYPERLINK("http://service.sap.com/sap/support/notes/1884631","1884631")</f>
        <v>1884631</v>
      </c>
      <c r="D1261">
        <v>4</v>
      </c>
      <c r="E1261" t="s">
        <v>1733</v>
      </c>
      <c r="F1261" t="s">
        <v>13</v>
      </c>
    </row>
    <row r="1262" spans="1:6" x14ac:dyDescent="0.3">
      <c r="A1262" t="s">
        <v>1681</v>
      </c>
      <c r="B1262" t="s">
        <v>61</v>
      </c>
      <c r="C1262" t="str">
        <f>HYPERLINK("http://service.sap.com/sap/support/notes/1885937","1885937")</f>
        <v>1885937</v>
      </c>
      <c r="D1262">
        <v>2</v>
      </c>
      <c r="E1262" t="s">
        <v>1734</v>
      </c>
      <c r="F1262" t="s">
        <v>17</v>
      </c>
    </row>
    <row r="1263" spans="1:6" x14ac:dyDescent="0.3">
      <c r="A1263" t="s">
        <v>1681</v>
      </c>
      <c r="B1263" t="s">
        <v>61</v>
      </c>
      <c r="C1263" t="str">
        <f>HYPERLINK("http://service.sap.com/sap/support/notes/1886305","1886305")</f>
        <v>1886305</v>
      </c>
      <c r="D1263">
        <v>3</v>
      </c>
      <c r="E1263" t="s">
        <v>1735</v>
      </c>
      <c r="F1263" t="s">
        <v>17</v>
      </c>
    </row>
    <row r="1264" spans="1:6" x14ac:dyDescent="0.3">
      <c r="A1264" t="s">
        <v>1681</v>
      </c>
      <c r="B1264" t="s">
        <v>61</v>
      </c>
      <c r="C1264" t="str">
        <f>HYPERLINK("http://service.sap.com/sap/support/notes/1886898","1886898")</f>
        <v>1886898</v>
      </c>
      <c r="D1264">
        <v>3</v>
      </c>
      <c r="E1264" t="s">
        <v>1736</v>
      </c>
      <c r="F1264" t="s">
        <v>17</v>
      </c>
    </row>
    <row r="1265" spans="1:6" x14ac:dyDescent="0.3">
      <c r="A1265" t="s">
        <v>1681</v>
      </c>
      <c r="B1265" t="s">
        <v>61</v>
      </c>
      <c r="C1265" t="str">
        <f>HYPERLINK("http://service.sap.com/sap/support/notes/1887305","1887305")</f>
        <v>1887305</v>
      </c>
      <c r="D1265">
        <v>2</v>
      </c>
      <c r="E1265" t="s">
        <v>1737</v>
      </c>
      <c r="F1265" t="s">
        <v>17</v>
      </c>
    </row>
    <row r="1266" spans="1:6" x14ac:dyDescent="0.3">
      <c r="A1266" t="s">
        <v>1681</v>
      </c>
      <c r="B1266" t="s">
        <v>61</v>
      </c>
      <c r="C1266" t="str">
        <f>HYPERLINK("http://service.sap.com/sap/support/notes/1888661","1888661")</f>
        <v>1888661</v>
      </c>
      <c r="D1266">
        <v>1</v>
      </c>
      <c r="E1266" t="s">
        <v>1738</v>
      </c>
      <c r="F1266" t="s">
        <v>11</v>
      </c>
    </row>
    <row r="1267" spans="1:6" x14ac:dyDescent="0.3">
      <c r="A1267" t="s">
        <v>1681</v>
      </c>
      <c r="B1267" t="s">
        <v>61</v>
      </c>
      <c r="C1267" t="str">
        <f>HYPERLINK("http://service.sap.com/sap/support/notes/1888729","1888729")</f>
        <v>1888729</v>
      </c>
      <c r="D1267">
        <v>2</v>
      </c>
      <c r="E1267" t="s">
        <v>1739</v>
      </c>
      <c r="F1267" t="s">
        <v>13</v>
      </c>
    </row>
    <row r="1268" spans="1:6" x14ac:dyDescent="0.3">
      <c r="A1268" t="s">
        <v>1681</v>
      </c>
      <c r="B1268" t="s">
        <v>61</v>
      </c>
      <c r="C1268" t="str">
        <f>HYPERLINK("http://service.sap.com/sap/support/notes/1889080","1889080")</f>
        <v>1889080</v>
      </c>
      <c r="D1268">
        <v>1</v>
      </c>
      <c r="E1268" t="s">
        <v>1740</v>
      </c>
      <c r="F1268" t="s">
        <v>17</v>
      </c>
    </row>
    <row r="1269" spans="1:6" x14ac:dyDescent="0.3">
      <c r="A1269" t="s">
        <v>1681</v>
      </c>
      <c r="B1269" t="s">
        <v>61</v>
      </c>
      <c r="C1269" t="str">
        <f>HYPERLINK("http://service.sap.com/sap/support/notes/1890337","1890337")</f>
        <v>1890337</v>
      </c>
      <c r="D1269">
        <v>9</v>
      </c>
      <c r="E1269" t="s">
        <v>1741</v>
      </c>
      <c r="F1269" t="s">
        <v>17</v>
      </c>
    </row>
    <row r="1270" spans="1:6" x14ac:dyDescent="0.3">
      <c r="A1270" t="s">
        <v>1681</v>
      </c>
      <c r="B1270" t="s">
        <v>61</v>
      </c>
      <c r="C1270" t="str">
        <f>HYPERLINK("http://service.sap.com/sap/support/notes/1890629","1890629")</f>
        <v>1890629</v>
      </c>
      <c r="D1270">
        <v>2</v>
      </c>
      <c r="E1270" t="s">
        <v>1742</v>
      </c>
      <c r="F1270" t="s">
        <v>17</v>
      </c>
    </row>
    <row r="1271" spans="1:6" x14ac:dyDescent="0.3">
      <c r="A1271" t="s">
        <v>1681</v>
      </c>
      <c r="B1271" t="s">
        <v>61</v>
      </c>
      <c r="C1271" t="str">
        <f>HYPERLINK("http://service.sap.com/sap/support/notes/1890907","1890907")</f>
        <v>1890907</v>
      </c>
      <c r="D1271">
        <v>3</v>
      </c>
      <c r="E1271" t="s">
        <v>1743</v>
      </c>
      <c r="F1271" t="s">
        <v>17</v>
      </c>
    </row>
    <row r="1272" spans="1:6" x14ac:dyDescent="0.3">
      <c r="A1272" t="s">
        <v>1681</v>
      </c>
      <c r="B1272" t="s">
        <v>61</v>
      </c>
      <c r="C1272" t="str">
        <f>HYPERLINK("http://service.sap.com/sap/support/notes/1891459","1891459")</f>
        <v>1891459</v>
      </c>
      <c r="D1272">
        <v>4</v>
      </c>
      <c r="E1272" t="s">
        <v>1744</v>
      </c>
      <c r="F1272" t="s">
        <v>11</v>
      </c>
    </row>
    <row r="1273" spans="1:6" x14ac:dyDescent="0.3">
      <c r="A1273" t="s">
        <v>1681</v>
      </c>
      <c r="B1273" t="s">
        <v>61</v>
      </c>
      <c r="C1273" t="str">
        <f>HYPERLINK("http://service.sap.com/sap/support/notes/1891510","1891510")</f>
        <v>1891510</v>
      </c>
      <c r="D1273">
        <v>4</v>
      </c>
      <c r="E1273" t="s">
        <v>1745</v>
      </c>
      <c r="F1273" t="s">
        <v>17</v>
      </c>
    </row>
    <row r="1274" spans="1:6" x14ac:dyDescent="0.3">
      <c r="A1274" t="s">
        <v>1681</v>
      </c>
      <c r="B1274" t="s">
        <v>61</v>
      </c>
      <c r="C1274" t="str">
        <f>HYPERLINK("http://service.sap.com/sap/support/notes/1892122","1892122")</f>
        <v>1892122</v>
      </c>
      <c r="D1274">
        <v>1</v>
      </c>
      <c r="E1274" t="s">
        <v>1746</v>
      </c>
      <c r="F1274" t="s">
        <v>17</v>
      </c>
    </row>
    <row r="1275" spans="1:6" x14ac:dyDescent="0.3">
      <c r="A1275" t="s">
        <v>1681</v>
      </c>
      <c r="B1275" t="s">
        <v>61</v>
      </c>
      <c r="C1275" t="str">
        <f>HYPERLINK("http://service.sap.com/sap/support/notes/1893418","1893418")</f>
        <v>1893418</v>
      </c>
      <c r="D1275">
        <v>1</v>
      </c>
      <c r="E1275" t="s">
        <v>1747</v>
      </c>
      <c r="F1275" t="s">
        <v>17</v>
      </c>
    </row>
    <row r="1276" spans="1:6" x14ac:dyDescent="0.3">
      <c r="A1276" t="s">
        <v>1681</v>
      </c>
      <c r="B1276" t="s">
        <v>61</v>
      </c>
      <c r="C1276" t="str">
        <f>HYPERLINK("http://service.sap.com/sap/support/notes/1895321","1895321")</f>
        <v>1895321</v>
      </c>
      <c r="D1276">
        <v>2</v>
      </c>
      <c r="E1276" t="s">
        <v>1748</v>
      </c>
      <c r="F1276" t="s">
        <v>17</v>
      </c>
    </row>
    <row r="1277" spans="1:6" x14ac:dyDescent="0.3">
      <c r="A1277" t="s">
        <v>1681</v>
      </c>
      <c r="B1277" t="s">
        <v>61</v>
      </c>
      <c r="C1277" t="str">
        <f>HYPERLINK("http://service.sap.com/sap/support/notes/1895402","1895402")</f>
        <v>1895402</v>
      </c>
      <c r="D1277">
        <v>1</v>
      </c>
      <c r="E1277" t="s">
        <v>1749</v>
      </c>
      <c r="F1277" t="s">
        <v>17</v>
      </c>
    </row>
    <row r="1278" spans="1:6" x14ac:dyDescent="0.3">
      <c r="A1278" t="s">
        <v>1681</v>
      </c>
      <c r="B1278" t="s">
        <v>61</v>
      </c>
      <c r="C1278" t="str">
        <f>HYPERLINK("http://service.sap.com/sap/support/notes/1895746","1895746")</f>
        <v>1895746</v>
      </c>
      <c r="D1278">
        <v>2</v>
      </c>
      <c r="E1278" t="s">
        <v>1750</v>
      </c>
      <c r="F1278" t="s">
        <v>17</v>
      </c>
    </row>
    <row r="1279" spans="1:6" x14ac:dyDescent="0.3">
      <c r="A1279" t="s">
        <v>1681</v>
      </c>
      <c r="B1279" t="s">
        <v>61</v>
      </c>
      <c r="C1279" t="str">
        <f>HYPERLINK("http://service.sap.com/sap/support/notes/1895845","1895845")</f>
        <v>1895845</v>
      </c>
      <c r="D1279">
        <v>1</v>
      </c>
      <c r="E1279" t="s">
        <v>1751</v>
      </c>
      <c r="F1279" t="s">
        <v>17</v>
      </c>
    </row>
    <row r="1280" spans="1:6" x14ac:dyDescent="0.3">
      <c r="A1280" t="s">
        <v>1681</v>
      </c>
      <c r="B1280" t="s">
        <v>61</v>
      </c>
      <c r="C1280" t="str">
        <f>HYPERLINK("http://service.sap.com/sap/support/notes/1896140","1896140")</f>
        <v>1896140</v>
      </c>
      <c r="D1280">
        <v>5</v>
      </c>
      <c r="E1280" t="s">
        <v>1752</v>
      </c>
      <c r="F1280" t="s">
        <v>17</v>
      </c>
    </row>
    <row r="1281" spans="1:6" x14ac:dyDescent="0.3">
      <c r="A1281" t="s">
        <v>1681</v>
      </c>
      <c r="B1281" t="s">
        <v>61</v>
      </c>
      <c r="C1281" t="str">
        <f>HYPERLINK("http://service.sap.com/sap/support/notes/1896240","1896240")</f>
        <v>1896240</v>
      </c>
      <c r="D1281">
        <v>2</v>
      </c>
      <c r="E1281" t="s">
        <v>1753</v>
      </c>
      <c r="F1281" t="s">
        <v>13</v>
      </c>
    </row>
    <row r="1282" spans="1:6" x14ac:dyDescent="0.3">
      <c r="A1282" t="s">
        <v>1681</v>
      </c>
      <c r="B1282" t="s">
        <v>61</v>
      </c>
      <c r="C1282" t="str">
        <f>HYPERLINK("http://service.sap.com/sap/support/notes/1896470","1896470")</f>
        <v>1896470</v>
      </c>
      <c r="D1282">
        <v>2</v>
      </c>
      <c r="E1282" t="s">
        <v>1754</v>
      </c>
      <c r="F1282" t="s">
        <v>17</v>
      </c>
    </row>
    <row r="1283" spans="1:6" x14ac:dyDescent="0.3">
      <c r="A1283" t="s">
        <v>1681</v>
      </c>
      <c r="B1283" t="s">
        <v>61</v>
      </c>
      <c r="C1283" t="str">
        <f>HYPERLINK("http://service.sap.com/sap/support/notes/1896588","1896588")</f>
        <v>1896588</v>
      </c>
      <c r="D1283">
        <v>1</v>
      </c>
      <c r="E1283" t="s">
        <v>1755</v>
      </c>
      <c r="F1283" t="s">
        <v>17</v>
      </c>
    </row>
    <row r="1284" spans="1:6" x14ac:dyDescent="0.3">
      <c r="A1284" t="s">
        <v>1681</v>
      </c>
      <c r="B1284" t="s">
        <v>61</v>
      </c>
      <c r="C1284" t="str">
        <f>HYPERLINK("http://service.sap.com/sap/support/notes/1897808","1897808")</f>
        <v>1897808</v>
      </c>
      <c r="D1284">
        <v>2</v>
      </c>
      <c r="E1284" t="s">
        <v>1756</v>
      </c>
      <c r="F1284" t="s">
        <v>13</v>
      </c>
    </row>
    <row r="1285" spans="1:6" x14ac:dyDescent="0.3">
      <c r="A1285" t="s">
        <v>1681</v>
      </c>
      <c r="B1285" t="s">
        <v>61</v>
      </c>
      <c r="C1285" t="str">
        <f>HYPERLINK("http://service.sap.com/sap/support/notes/1897993","1897993")</f>
        <v>1897993</v>
      </c>
      <c r="D1285">
        <v>5</v>
      </c>
      <c r="E1285" t="s">
        <v>1757</v>
      </c>
      <c r="F1285" t="s">
        <v>11</v>
      </c>
    </row>
    <row r="1286" spans="1:6" x14ac:dyDescent="0.3">
      <c r="A1286" t="s">
        <v>1681</v>
      </c>
      <c r="B1286" t="s">
        <v>61</v>
      </c>
      <c r="C1286" t="str">
        <f>HYPERLINK("http://service.sap.com/sap/support/notes/1898019","1898019")</f>
        <v>1898019</v>
      </c>
      <c r="D1286">
        <v>8</v>
      </c>
      <c r="E1286" t="s">
        <v>1758</v>
      </c>
      <c r="F1286" t="s">
        <v>17</v>
      </c>
    </row>
    <row r="1287" spans="1:6" x14ac:dyDescent="0.3">
      <c r="A1287" t="s">
        <v>1681</v>
      </c>
      <c r="B1287" t="s">
        <v>61</v>
      </c>
      <c r="C1287" t="str">
        <f>HYPERLINK("http://service.sap.com/sap/support/notes/1898293","1898293")</f>
        <v>1898293</v>
      </c>
      <c r="D1287">
        <v>2</v>
      </c>
      <c r="E1287" t="s">
        <v>1759</v>
      </c>
      <c r="F1287" t="s">
        <v>17</v>
      </c>
    </row>
    <row r="1288" spans="1:6" x14ac:dyDescent="0.3">
      <c r="A1288" t="s">
        <v>1681</v>
      </c>
      <c r="B1288" t="s">
        <v>61</v>
      </c>
      <c r="C1288" t="str">
        <f>HYPERLINK("http://service.sap.com/sap/support/notes/1898948","1898948")</f>
        <v>1898948</v>
      </c>
      <c r="D1288">
        <v>1</v>
      </c>
      <c r="E1288" t="s">
        <v>1760</v>
      </c>
      <c r="F1288" t="s">
        <v>17</v>
      </c>
    </row>
    <row r="1289" spans="1:6" x14ac:dyDescent="0.3">
      <c r="A1289" t="s">
        <v>1681</v>
      </c>
      <c r="B1289" t="s">
        <v>61</v>
      </c>
      <c r="C1289" t="str">
        <f>HYPERLINK("http://service.sap.com/sap/support/notes/1900078","1900078")</f>
        <v>1900078</v>
      </c>
      <c r="D1289">
        <v>3</v>
      </c>
      <c r="E1289" t="s">
        <v>1761</v>
      </c>
      <c r="F1289" t="s">
        <v>11</v>
      </c>
    </row>
    <row r="1290" spans="1:6" x14ac:dyDescent="0.3">
      <c r="A1290" t="s">
        <v>1681</v>
      </c>
      <c r="B1290" t="s">
        <v>61</v>
      </c>
      <c r="C1290" t="str">
        <f>HYPERLINK("http://service.sap.com/sap/support/notes/1900227","1900227")</f>
        <v>1900227</v>
      </c>
      <c r="D1290">
        <v>4</v>
      </c>
      <c r="E1290" t="s">
        <v>1762</v>
      </c>
      <c r="F1290" t="s">
        <v>17</v>
      </c>
    </row>
    <row r="1291" spans="1:6" x14ac:dyDescent="0.3">
      <c r="A1291" t="s">
        <v>1681</v>
      </c>
      <c r="B1291" t="s">
        <v>61</v>
      </c>
      <c r="C1291" t="str">
        <f>HYPERLINK("http://service.sap.com/sap/support/notes/1900626","1900626")</f>
        <v>1900626</v>
      </c>
      <c r="D1291">
        <v>3</v>
      </c>
      <c r="E1291" t="s">
        <v>1763</v>
      </c>
      <c r="F1291" t="s">
        <v>13</v>
      </c>
    </row>
    <row r="1292" spans="1:6" x14ac:dyDescent="0.3">
      <c r="A1292" t="s">
        <v>1681</v>
      </c>
      <c r="B1292" t="s">
        <v>61</v>
      </c>
      <c r="C1292" t="str">
        <f>HYPERLINK("http://service.sap.com/sap/support/notes/1900683","1900683")</f>
        <v>1900683</v>
      </c>
      <c r="D1292">
        <v>4</v>
      </c>
      <c r="E1292" t="s">
        <v>1764</v>
      </c>
      <c r="F1292" t="s">
        <v>17</v>
      </c>
    </row>
    <row r="1293" spans="1:6" x14ac:dyDescent="0.3">
      <c r="A1293" t="s">
        <v>1681</v>
      </c>
      <c r="B1293" t="s">
        <v>61</v>
      </c>
      <c r="C1293" t="str">
        <f>HYPERLINK("http://service.sap.com/sap/support/notes/1900901","1900901")</f>
        <v>1900901</v>
      </c>
      <c r="D1293">
        <v>4</v>
      </c>
      <c r="E1293" t="s">
        <v>1765</v>
      </c>
      <c r="F1293" t="s">
        <v>11</v>
      </c>
    </row>
    <row r="1294" spans="1:6" x14ac:dyDescent="0.3">
      <c r="A1294" t="s">
        <v>1681</v>
      </c>
      <c r="B1294" t="s">
        <v>61</v>
      </c>
      <c r="C1294" t="str">
        <f>HYPERLINK("http://service.sap.com/sap/support/notes/1901528","1901528")</f>
        <v>1901528</v>
      </c>
      <c r="D1294">
        <v>1</v>
      </c>
      <c r="E1294" t="s">
        <v>1766</v>
      </c>
      <c r="F1294" t="s">
        <v>17</v>
      </c>
    </row>
    <row r="1295" spans="1:6" x14ac:dyDescent="0.3">
      <c r="A1295" t="s">
        <v>1681</v>
      </c>
      <c r="B1295" t="s">
        <v>61</v>
      </c>
      <c r="C1295" t="str">
        <f>HYPERLINK("http://service.sap.com/sap/support/notes/1902051","1902051")</f>
        <v>1902051</v>
      </c>
      <c r="D1295">
        <v>3</v>
      </c>
      <c r="E1295" t="s">
        <v>1767</v>
      </c>
      <c r="F1295" t="s">
        <v>17</v>
      </c>
    </row>
    <row r="1296" spans="1:6" x14ac:dyDescent="0.3">
      <c r="A1296" t="s">
        <v>1681</v>
      </c>
      <c r="B1296" t="s">
        <v>61</v>
      </c>
      <c r="C1296" t="str">
        <f>HYPERLINK("http://service.sap.com/sap/support/notes/1902548","1902548")</f>
        <v>1902548</v>
      </c>
      <c r="D1296">
        <v>2</v>
      </c>
      <c r="E1296" t="s">
        <v>1768</v>
      </c>
      <c r="F1296" t="s">
        <v>17</v>
      </c>
    </row>
    <row r="1297" spans="1:6" x14ac:dyDescent="0.3">
      <c r="A1297" t="s">
        <v>1681</v>
      </c>
      <c r="B1297" t="s">
        <v>61</v>
      </c>
      <c r="C1297" t="str">
        <f>HYPERLINK("http://service.sap.com/sap/support/notes/1902884","1902884")</f>
        <v>1902884</v>
      </c>
      <c r="D1297">
        <v>3</v>
      </c>
      <c r="E1297" t="s">
        <v>1769</v>
      </c>
      <c r="F1297" t="s">
        <v>17</v>
      </c>
    </row>
    <row r="1298" spans="1:6" x14ac:dyDescent="0.3">
      <c r="A1298" t="s">
        <v>1681</v>
      </c>
      <c r="B1298" t="s">
        <v>61</v>
      </c>
      <c r="C1298" t="str">
        <f>HYPERLINK("http://service.sap.com/sap/support/notes/1905457","1905457")</f>
        <v>1905457</v>
      </c>
      <c r="D1298">
        <v>2</v>
      </c>
      <c r="E1298" t="s">
        <v>1770</v>
      </c>
      <c r="F1298" t="s">
        <v>17</v>
      </c>
    </row>
    <row r="1299" spans="1:6" x14ac:dyDescent="0.3">
      <c r="A1299" t="s">
        <v>1681</v>
      </c>
      <c r="B1299" t="s">
        <v>61</v>
      </c>
      <c r="C1299" t="str">
        <f>HYPERLINK("http://service.sap.com/sap/support/notes/1905832","1905832")</f>
        <v>1905832</v>
      </c>
      <c r="D1299">
        <v>2</v>
      </c>
      <c r="E1299" t="s">
        <v>1771</v>
      </c>
      <c r="F1299" t="s">
        <v>17</v>
      </c>
    </row>
    <row r="1300" spans="1:6" x14ac:dyDescent="0.3">
      <c r="A1300" t="s">
        <v>1681</v>
      </c>
      <c r="B1300" t="s">
        <v>61</v>
      </c>
      <c r="C1300" t="str">
        <f>HYPERLINK("http://service.sap.com/sap/support/notes/1905937","1905937")</f>
        <v>1905937</v>
      </c>
      <c r="D1300">
        <v>3</v>
      </c>
      <c r="E1300" t="s">
        <v>1772</v>
      </c>
      <c r="F1300" t="s">
        <v>17</v>
      </c>
    </row>
    <row r="1301" spans="1:6" x14ac:dyDescent="0.3">
      <c r="A1301" t="s">
        <v>1681</v>
      </c>
      <c r="B1301" t="s">
        <v>61</v>
      </c>
      <c r="C1301" t="str">
        <f>HYPERLINK("http://service.sap.com/sap/support/notes/1906298","1906298")</f>
        <v>1906298</v>
      </c>
      <c r="D1301">
        <v>1</v>
      </c>
      <c r="E1301" t="s">
        <v>1773</v>
      </c>
      <c r="F1301" t="s">
        <v>13</v>
      </c>
    </row>
    <row r="1302" spans="1:6" x14ac:dyDescent="0.3">
      <c r="A1302" t="s">
        <v>1681</v>
      </c>
      <c r="B1302" t="s">
        <v>61</v>
      </c>
      <c r="C1302" t="str">
        <f>HYPERLINK("http://service.sap.com/sap/support/notes/1906841","1906841")</f>
        <v>1906841</v>
      </c>
      <c r="D1302">
        <v>1</v>
      </c>
      <c r="E1302" t="s">
        <v>1774</v>
      </c>
      <c r="F1302" t="s">
        <v>17</v>
      </c>
    </row>
    <row r="1303" spans="1:6" x14ac:dyDescent="0.3">
      <c r="A1303" t="s">
        <v>1681</v>
      </c>
      <c r="B1303" t="s">
        <v>61</v>
      </c>
      <c r="C1303" t="str">
        <f>HYPERLINK("http://service.sap.com/sap/support/notes/1906953","1906953")</f>
        <v>1906953</v>
      </c>
      <c r="D1303">
        <v>7</v>
      </c>
      <c r="E1303" t="s">
        <v>1775</v>
      </c>
      <c r="F1303" t="s">
        <v>11</v>
      </c>
    </row>
    <row r="1304" spans="1:6" x14ac:dyDescent="0.3">
      <c r="A1304" t="s">
        <v>1681</v>
      </c>
      <c r="B1304" t="s">
        <v>61</v>
      </c>
      <c r="C1304" t="str">
        <f>HYPERLINK("http://service.sap.com/sap/support/notes/1906954","1906954")</f>
        <v>1906954</v>
      </c>
      <c r="D1304">
        <v>1</v>
      </c>
      <c r="E1304" t="s">
        <v>1776</v>
      </c>
      <c r="F1304" t="s">
        <v>17</v>
      </c>
    </row>
    <row r="1305" spans="1:6" x14ac:dyDescent="0.3">
      <c r="A1305" t="s">
        <v>1681</v>
      </c>
      <c r="B1305" t="s">
        <v>61</v>
      </c>
      <c r="C1305" t="str">
        <f>HYPERLINK("http://service.sap.com/sap/support/notes/1907007","1907007")</f>
        <v>1907007</v>
      </c>
      <c r="D1305">
        <v>3</v>
      </c>
      <c r="E1305" t="s">
        <v>1777</v>
      </c>
      <c r="F1305" t="s">
        <v>17</v>
      </c>
    </row>
    <row r="1306" spans="1:6" x14ac:dyDescent="0.3">
      <c r="A1306" t="s">
        <v>1681</v>
      </c>
      <c r="B1306" t="s">
        <v>61</v>
      </c>
      <c r="C1306" t="str">
        <f>HYPERLINK("http://service.sap.com/sap/support/notes/1907361","1907361")</f>
        <v>1907361</v>
      </c>
      <c r="D1306">
        <v>2</v>
      </c>
      <c r="E1306" t="s">
        <v>1778</v>
      </c>
      <c r="F1306" t="s">
        <v>17</v>
      </c>
    </row>
    <row r="1307" spans="1:6" x14ac:dyDescent="0.3">
      <c r="A1307" t="s">
        <v>1681</v>
      </c>
      <c r="B1307" t="s">
        <v>61</v>
      </c>
      <c r="C1307" t="str">
        <f>HYPERLINK("http://service.sap.com/sap/support/notes/1907390","1907390")</f>
        <v>1907390</v>
      </c>
      <c r="D1307">
        <v>2</v>
      </c>
      <c r="E1307" t="s">
        <v>1779</v>
      </c>
      <c r="F1307" t="s">
        <v>17</v>
      </c>
    </row>
    <row r="1308" spans="1:6" x14ac:dyDescent="0.3">
      <c r="A1308" t="s">
        <v>1681</v>
      </c>
      <c r="B1308" t="s">
        <v>61</v>
      </c>
      <c r="C1308" t="str">
        <f>HYPERLINK("http://service.sap.com/sap/support/notes/1907453","1907453")</f>
        <v>1907453</v>
      </c>
      <c r="D1308">
        <v>1</v>
      </c>
      <c r="E1308" t="s">
        <v>1780</v>
      </c>
      <c r="F1308" t="s">
        <v>17</v>
      </c>
    </row>
    <row r="1309" spans="1:6" x14ac:dyDescent="0.3">
      <c r="A1309" t="s">
        <v>1681</v>
      </c>
      <c r="B1309" t="s">
        <v>61</v>
      </c>
      <c r="C1309" t="str">
        <f>HYPERLINK("http://service.sap.com/sap/support/notes/1908538","1908538")</f>
        <v>1908538</v>
      </c>
      <c r="D1309">
        <v>1</v>
      </c>
      <c r="E1309" t="s">
        <v>1781</v>
      </c>
      <c r="F1309" t="s">
        <v>17</v>
      </c>
    </row>
    <row r="1310" spans="1:6" x14ac:dyDescent="0.3">
      <c r="A1310" t="s">
        <v>1681</v>
      </c>
      <c r="B1310" t="s">
        <v>61</v>
      </c>
      <c r="C1310" t="str">
        <f>HYPERLINK("http://service.sap.com/sap/support/notes/1909868","1909868")</f>
        <v>1909868</v>
      </c>
      <c r="D1310">
        <v>2</v>
      </c>
      <c r="E1310" t="s">
        <v>1782</v>
      </c>
      <c r="F1310" t="s">
        <v>17</v>
      </c>
    </row>
    <row r="1311" spans="1:6" x14ac:dyDescent="0.3">
      <c r="A1311" t="s">
        <v>1681</v>
      </c>
      <c r="B1311" t="s">
        <v>61</v>
      </c>
      <c r="C1311" t="str">
        <f>HYPERLINK("http://service.sap.com/sap/support/notes/1909932","1909932")</f>
        <v>1909932</v>
      </c>
      <c r="D1311">
        <v>1</v>
      </c>
      <c r="E1311" t="s">
        <v>1783</v>
      </c>
      <c r="F1311" t="s">
        <v>17</v>
      </c>
    </row>
    <row r="1312" spans="1:6" x14ac:dyDescent="0.3">
      <c r="A1312" t="s">
        <v>1681</v>
      </c>
      <c r="B1312" t="s">
        <v>61</v>
      </c>
      <c r="C1312" t="str">
        <f>HYPERLINK("http://service.sap.com/sap/support/notes/1910384","1910384")</f>
        <v>1910384</v>
      </c>
      <c r="D1312">
        <v>3</v>
      </c>
      <c r="E1312" t="s">
        <v>1784</v>
      </c>
      <c r="F1312" t="s">
        <v>17</v>
      </c>
    </row>
    <row r="1313" spans="1:6" x14ac:dyDescent="0.3">
      <c r="A1313" t="s">
        <v>1681</v>
      </c>
      <c r="B1313" t="s">
        <v>61</v>
      </c>
      <c r="C1313" t="str">
        <f>HYPERLINK("http://service.sap.com/sap/support/notes/1910388","1910388")</f>
        <v>1910388</v>
      </c>
      <c r="D1313">
        <v>4</v>
      </c>
      <c r="E1313" t="s">
        <v>1785</v>
      </c>
      <c r="F1313" t="s">
        <v>17</v>
      </c>
    </row>
    <row r="1314" spans="1:6" x14ac:dyDescent="0.3">
      <c r="A1314" t="s">
        <v>1681</v>
      </c>
      <c r="B1314" t="s">
        <v>61</v>
      </c>
      <c r="C1314" t="str">
        <f>HYPERLINK("http://service.sap.com/sap/support/notes/1910593","1910593")</f>
        <v>1910593</v>
      </c>
      <c r="D1314">
        <v>4</v>
      </c>
      <c r="E1314" t="s">
        <v>1786</v>
      </c>
      <c r="F1314" t="s">
        <v>17</v>
      </c>
    </row>
    <row r="1315" spans="1:6" x14ac:dyDescent="0.3">
      <c r="A1315" t="s">
        <v>1681</v>
      </c>
      <c r="B1315" t="s">
        <v>61</v>
      </c>
      <c r="C1315" t="str">
        <f>HYPERLINK("http://service.sap.com/sap/support/notes/1912147","1912147")</f>
        <v>1912147</v>
      </c>
      <c r="D1315">
        <v>1</v>
      </c>
      <c r="E1315" t="s">
        <v>1787</v>
      </c>
      <c r="F1315" t="s">
        <v>13</v>
      </c>
    </row>
    <row r="1316" spans="1:6" x14ac:dyDescent="0.3">
      <c r="A1316" t="s">
        <v>1681</v>
      </c>
      <c r="B1316" t="s">
        <v>61</v>
      </c>
      <c r="C1316" t="str">
        <f>HYPERLINK("http://service.sap.com/sap/support/notes/1913358","1913358")</f>
        <v>1913358</v>
      </c>
      <c r="D1316">
        <v>1</v>
      </c>
      <c r="E1316" t="s">
        <v>1788</v>
      </c>
      <c r="F1316" t="s">
        <v>13</v>
      </c>
    </row>
    <row r="1317" spans="1:6" x14ac:dyDescent="0.3">
      <c r="A1317" t="s">
        <v>1681</v>
      </c>
      <c r="B1317" t="s">
        <v>61</v>
      </c>
      <c r="C1317" t="str">
        <f>HYPERLINK("http://service.sap.com/sap/support/notes/1915339","1915339")</f>
        <v>1915339</v>
      </c>
      <c r="D1317">
        <v>3</v>
      </c>
      <c r="E1317" t="s">
        <v>1789</v>
      </c>
      <c r="F1317" t="s">
        <v>17</v>
      </c>
    </row>
    <row r="1318" spans="1:6" x14ac:dyDescent="0.3">
      <c r="A1318" t="s">
        <v>1681</v>
      </c>
      <c r="B1318" t="s">
        <v>61</v>
      </c>
      <c r="C1318" t="str">
        <f>HYPERLINK("http://service.sap.com/sap/support/notes/1915738","1915738")</f>
        <v>1915738</v>
      </c>
      <c r="D1318">
        <v>1</v>
      </c>
      <c r="E1318" t="s">
        <v>1790</v>
      </c>
      <c r="F1318" t="s">
        <v>17</v>
      </c>
    </row>
    <row r="1319" spans="1:6" x14ac:dyDescent="0.3">
      <c r="A1319" t="s">
        <v>1791</v>
      </c>
      <c r="B1319" t="s">
        <v>1553</v>
      </c>
      <c r="C1319" t="str">
        <f>HYPERLINK("http://service.sap.com/sap/support/notes/1869431","1869431")</f>
        <v>1869431</v>
      </c>
      <c r="D1319">
        <v>2</v>
      </c>
      <c r="E1319" t="s">
        <v>1792</v>
      </c>
      <c r="F1319" t="s">
        <v>11</v>
      </c>
    </row>
    <row r="1320" spans="1:6" x14ac:dyDescent="0.3">
      <c r="A1320" t="s">
        <v>1791</v>
      </c>
      <c r="B1320" t="s">
        <v>1553</v>
      </c>
      <c r="C1320" t="str">
        <f>HYPERLINK("http://service.sap.com/sap/support/notes/1909259","1909259")</f>
        <v>1909259</v>
      </c>
      <c r="D1320">
        <v>3</v>
      </c>
      <c r="E1320" t="s">
        <v>1793</v>
      </c>
      <c r="F1320" t="s">
        <v>17</v>
      </c>
    </row>
    <row r="1321" spans="1:6" x14ac:dyDescent="0.3">
      <c r="A1321" t="s">
        <v>1794</v>
      </c>
      <c r="B1321" t="s">
        <v>1795</v>
      </c>
    </row>
    <row r="1322" spans="1:6" x14ac:dyDescent="0.3">
      <c r="A1322" t="s">
        <v>1796</v>
      </c>
      <c r="B1322" t="s">
        <v>61</v>
      </c>
      <c r="C1322" t="str">
        <f>HYPERLINK("http://service.sap.com/sap/support/notes/1864499","1864499")</f>
        <v>1864499</v>
      </c>
      <c r="D1322">
        <v>4</v>
      </c>
      <c r="E1322" t="s">
        <v>1797</v>
      </c>
      <c r="F1322" t="s">
        <v>11</v>
      </c>
    </row>
    <row r="1323" spans="1:6" x14ac:dyDescent="0.3">
      <c r="A1323" t="s">
        <v>1798</v>
      </c>
      <c r="B1323" t="s">
        <v>1799</v>
      </c>
    </row>
    <row r="1324" spans="1:6" x14ac:dyDescent="0.3">
      <c r="A1324" t="s">
        <v>1800</v>
      </c>
      <c r="B1324" t="s">
        <v>1801</v>
      </c>
      <c r="C1324" t="str">
        <f>HYPERLINK("http://service.sap.com/sap/support/notes/1868458","1868458")</f>
        <v>1868458</v>
      </c>
      <c r="D1324">
        <v>2</v>
      </c>
      <c r="E1324" t="s">
        <v>1802</v>
      </c>
      <c r="F1324" t="s">
        <v>11</v>
      </c>
    </row>
    <row r="1325" spans="1:6" x14ac:dyDescent="0.3">
      <c r="A1325" t="s">
        <v>1800</v>
      </c>
      <c r="B1325" t="s">
        <v>1801</v>
      </c>
      <c r="C1325" t="str">
        <f>HYPERLINK("http://service.sap.com/sap/support/notes/1874545","1874545")</f>
        <v>1874545</v>
      </c>
      <c r="D1325">
        <v>1</v>
      </c>
      <c r="E1325" t="s">
        <v>1803</v>
      </c>
      <c r="F1325" t="s">
        <v>11</v>
      </c>
    </row>
    <row r="1326" spans="1:6" x14ac:dyDescent="0.3">
      <c r="A1326" t="s">
        <v>1800</v>
      </c>
      <c r="B1326" t="s">
        <v>1801</v>
      </c>
      <c r="C1326" t="str">
        <f>HYPERLINK("http://service.sap.com/sap/support/notes/1885804","1885804")</f>
        <v>1885804</v>
      </c>
      <c r="D1326">
        <v>1</v>
      </c>
      <c r="E1326" t="s">
        <v>1804</v>
      </c>
      <c r="F1326" t="s">
        <v>11</v>
      </c>
    </row>
    <row r="1327" spans="1:6" x14ac:dyDescent="0.3">
      <c r="A1327" t="s">
        <v>1805</v>
      </c>
      <c r="B1327" t="s">
        <v>1806</v>
      </c>
    </row>
    <row r="1328" spans="1:6" x14ac:dyDescent="0.3">
      <c r="A1328" t="s">
        <v>1807</v>
      </c>
      <c r="B1328" t="s">
        <v>61</v>
      </c>
      <c r="C1328" t="str">
        <f>HYPERLINK("http://service.sap.com/sap/support/notes/1882607","1882607")</f>
        <v>1882607</v>
      </c>
      <c r="D1328">
        <v>2</v>
      </c>
      <c r="E1328" t="s">
        <v>1808</v>
      </c>
      <c r="F1328" t="s">
        <v>17</v>
      </c>
    </row>
    <row r="1329" spans="1:6" x14ac:dyDescent="0.3">
      <c r="A1329" t="s">
        <v>1807</v>
      </c>
      <c r="B1329" t="s">
        <v>61</v>
      </c>
      <c r="C1329" t="str">
        <f>HYPERLINK("http://service.sap.com/sap/support/notes/1885780","1885780")</f>
        <v>1885780</v>
      </c>
      <c r="D1329">
        <v>1</v>
      </c>
      <c r="E1329" t="s">
        <v>1809</v>
      </c>
      <c r="F1329" t="s">
        <v>17</v>
      </c>
    </row>
    <row r="1330" spans="1:6" x14ac:dyDescent="0.3">
      <c r="A1330" t="s">
        <v>1810</v>
      </c>
      <c r="B1330" t="s">
        <v>1811</v>
      </c>
    </row>
    <row r="1331" spans="1:6" x14ac:dyDescent="0.3">
      <c r="A1331" t="s">
        <v>1812</v>
      </c>
      <c r="B1331" t="s">
        <v>61</v>
      </c>
      <c r="C1331" t="str">
        <f>HYPERLINK("http://service.sap.com/sap/support/notes/1871038","1871038")</f>
        <v>1871038</v>
      </c>
      <c r="D1331">
        <v>1</v>
      </c>
      <c r="E1331" t="s">
        <v>1813</v>
      </c>
      <c r="F1331" t="s">
        <v>11</v>
      </c>
    </row>
    <row r="1332" spans="1:6" x14ac:dyDescent="0.3">
      <c r="A1332" t="s">
        <v>1814</v>
      </c>
      <c r="B1332" t="s">
        <v>1815</v>
      </c>
    </row>
    <row r="1333" spans="1:6" x14ac:dyDescent="0.3">
      <c r="A1333" t="s">
        <v>1816</v>
      </c>
      <c r="B1333" t="s">
        <v>1817</v>
      </c>
      <c r="C1333" t="str">
        <f>HYPERLINK("http://service.sap.com/sap/support/notes/1869945","1869945")</f>
        <v>1869945</v>
      </c>
      <c r="D1333">
        <v>2</v>
      </c>
      <c r="E1333" t="s">
        <v>1818</v>
      </c>
      <c r="F1333" t="s">
        <v>11</v>
      </c>
    </row>
    <row r="1334" spans="1:6" x14ac:dyDescent="0.3">
      <c r="A1334" t="s">
        <v>1819</v>
      </c>
      <c r="B1334" t="s">
        <v>1820</v>
      </c>
    </row>
    <row r="1335" spans="1:6" x14ac:dyDescent="0.3">
      <c r="A1335" t="s">
        <v>1821</v>
      </c>
      <c r="B1335" t="s">
        <v>1822</v>
      </c>
    </row>
    <row r="1336" spans="1:6" x14ac:dyDescent="0.3">
      <c r="A1336" t="s">
        <v>1823</v>
      </c>
      <c r="B1336" t="s">
        <v>1824</v>
      </c>
    </row>
    <row r="1337" spans="1:6" x14ac:dyDescent="0.3">
      <c r="A1337" t="s">
        <v>1825</v>
      </c>
      <c r="B1337" t="s">
        <v>1826</v>
      </c>
      <c r="C1337" t="str">
        <f>HYPERLINK("http://service.sap.com/sap/support/notes/1889707","1889707")</f>
        <v>1889707</v>
      </c>
      <c r="D1337">
        <v>1</v>
      </c>
      <c r="E1337" t="s">
        <v>1827</v>
      </c>
      <c r="F1337" t="s">
        <v>13</v>
      </c>
    </row>
    <row r="1338" spans="1:6" x14ac:dyDescent="0.3">
      <c r="A1338" t="s">
        <v>1825</v>
      </c>
      <c r="B1338" t="s">
        <v>1826</v>
      </c>
      <c r="C1338" t="str">
        <f>HYPERLINK("http://service.sap.com/sap/support/notes/1894721","1894721")</f>
        <v>1894721</v>
      </c>
      <c r="D1338">
        <v>1</v>
      </c>
      <c r="E1338" t="s">
        <v>1828</v>
      </c>
      <c r="F1338" t="s">
        <v>17</v>
      </c>
    </row>
    <row r="1339" spans="1:6" x14ac:dyDescent="0.3">
      <c r="A1339" t="s">
        <v>1825</v>
      </c>
      <c r="B1339" t="s">
        <v>1826</v>
      </c>
      <c r="C1339" t="str">
        <f>HYPERLINK("http://service.sap.com/sap/support/notes/1902214","1902214")</f>
        <v>1902214</v>
      </c>
      <c r="D1339">
        <v>3</v>
      </c>
      <c r="E1339" t="s">
        <v>1829</v>
      </c>
      <c r="F1339" t="s">
        <v>11</v>
      </c>
    </row>
    <row r="1340" spans="1:6" x14ac:dyDescent="0.3">
      <c r="A1340" t="s">
        <v>1825</v>
      </c>
      <c r="B1340" t="s">
        <v>1826</v>
      </c>
      <c r="C1340" t="str">
        <f>HYPERLINK("http://service.sap.com/sap/support/notes/1905531","1905531")</f>
        <v>1905531</v>
      </c>
      <c r="D1340">
        <v>1</v>
      </c>
      <c r="E1340" t="s">
        <v>1830</v>
      </c>
      <c r="F1340" t="s">
        <v>17</v>
      </c>
    </row>
    <row r="1341" spans="1:6" x14ac:dyDescent="0.3">
      <c r="A1341" t="s">
        <v>1825</v>
      </c>
      <c r="B1341" t="s">
        <v>1826</v>
      </c>
      <c r="C1341" t="str">
        <f>HYPERLINK("http://service.sap.com/sap/support/notes/1914856","1914856")</f>
        <v>1914856</v>
      </c>
      <c r="D1341">
        <v>2</v>
      </c>
      <c r="E1341" t="s">
        <v>1831</v>
      </c>
      <c r="F1341" t="s">
        <v>17</v>
      </c>
    </row>
    <row r="1342" spans="1:6" x14ac:dyDescent="0.3">
      <c r="A1342" t="s">
        <v>1832</v>
      </c>
      <c r="B1342" t="s">
        <v>1833</v>
      </c>
    </row>
    <row r="1343" spans="1:6" x14ac:dyDescent="0.3">
      <c r="A1343" t="s">
        <v>1834</v>
      </c>
      <c r="B1343" t="s">
        <v>1835</v>
      </c>
      <c r="C1343" t="str">
        <f>HYPERLINK("http://service.sap.com/sap/support/notes/1492173","1492173")</f>
        <v>1492173</v>
      </c>
      <c r="D1343">
        <v>2</v>
      </c>
      <c r="E1343" t="s">
        <v>1836</v>
      </c>
      <c r="F1343" t="s">
        <v>17</v>
      </c>
    </row>
    <row r="1344" spans="1:6" x14ac:dyDescent="0.3">
      <c r="A1344" t="s">
        <v>1837</v>
      </c>
      <c r="B1344" t="s">
        <v>1838</v>
      </c>
      <c r="C1344" t="str">
        <f>HYPERLINK("http://service.sap.com/sap/support/notes/1893265","1893265")</f>
        <v>1893265</v>
      </c>
      <c r="D1344">
        <v>2</v>
      </c>
      <c r="E1344" t="s">
        <v>1839</v>
      </c>
      <c r="F1344" t="s">
        <v>17</v>
      </c>
    </row>
    <row r="1345" spans="1:6" x14ac:dyDescent="0.3">
      <c r="A1345" t="s">
        <v>6</v>
      </c>
      <c r="B1345" t="s">
        <v>7</v>
      </c>
    </row>
    <row r="1346" spans="1:6" x14ac:dyDescent="0.3">
      <c r="A1346" t="s">
        <v>14</v>
      </c>
      <c r="B1346" t="s">
        <v>15</v>
      </c>
      <c r="C1346" t="str">
        <f>HYPERLINK("http://service.sap.com/sap/support/notes/1906927","1906927")</f>
        <v>1906927</v>
      </c>
      <c r="D1346">
        <v>1</v>
      </c>
      <c r="E1346" t="s">
        <v>1840</v>
      </c>
      <c r="F1346" t="s">
        <v>11</v>
      </c>
    </row>
    <row r="1347" spans="1:6" x14ac:dyDescent="0.3">
      <c r="A1347" t="s">
        <v>14</v>
      </c>
      <c r="B1347" t="s">
        <v>15</v>
      </c>
      <c r="C1347" t="str">
        <f>HYPERLINK("http://service.sap.com/sap/support/notes/1917331","1917331")</f>
        <v>1917331</v>
      </c>
      <c r="D1347">
        <v>2</v>
      </c>
      <c r="E1347" t="s">
        <v>1841</v>
      </c>
      <c r="F1347" t="s">
        <v>11</v>
      </c>
    </row>
    <row r="1348" spans="1:6" x14ac:dyDescent="0.3">
      <c r="A1348" t="s">
        <v>14</v>
      </c>
      <c r="B1348" t="s">
        <v>15</v>
      </c>
      <c r="C1348" t="str">
        <f>HYPERLINK("http://service.sap.com/sap/support/notes/1926272","1926272")</f>
        <v>1926272</v>
      </c>
      <c r="D1348">
        <v>3</v>
      </c>
      <c r="E1348" t="s">
        <v>1842</v>
      </c>
      <c r="F1348" t="s">
        <v>17</v>
      </c>
    </row>
    <row r="1349" spans="1:6" x14ac:dyDescent="0.3">
      <c r="A1349" t="s">
        <v>14</v>
      </c>
      <c r="B1349" t="s">
        <v>15</v>
      </c>
      <c r="C1349" t="str">
        <f>HYPERLINK("http://service.sap.com/sap/support/notes/1932280","1932280")</f>
        <v>1932280</v>
      </c>
      <c r="D1349">
        <v>2</v>
      </c>
      <c r="E1349" t="s">
        <v>1843</v>
      </c>
      <c r="F1349" t="s">
        <v>17</v>
      </c>
    </row>
    <row r="1350" spans="1:6" x14ac:dyDescent="0.3">
      <c r="A1350" t="s">
        <v>26</v>
      </c>
      <c r="B1350" t="s">
        <v>27</v>
      </c>
      <c r="C1350" t="str">
        <f>HYPERLINK("http://service.sap.com/sap/support/notes/1900413","1900413")</f>
        <v>1900413</v>
      </c>
      <c r="D1350">
        <v>2</v>
      </c>
      <c r="E1350" t="s">
        <v>1844</v>
      </c>
      <c r="F1350" t="s">
        <v>13</v>
      </c>
    </row>
    <row r="1351" spans="1:6" x14ac:dyDescent="0.3">
      <c r="A1351" t="s">
        <v>26</v>
      </c>
      <c r="B1351" t="s">
        <v>27</v>
      </c>
      <c r="C1351" t="str">
        <f>HYPERLINK("http://service.sap.com/sap/support/notes/1905895","1905895")</f>
        <v>1905895</v>
      </c>
      <c r="D1351">
        <v>1</v>
      </c>
      <c r="E1351" t="s">
        <v>1845</v>
      </c>
      <c r="F1351" t="s">
        <v>13</v>
      </c>
    </row>
    <row r="1352" spans="1:6" x14ac:dyDescent="0.3">
      <c r="A1352" t="s">
        <v>26</v>
      </c>
      <c r="B1352" t="s">
        <v>27</v>
      </c>
      <c r="C1352" t="str">
        <f>HYPERLINK("http://service.sap.com/sap/support/notes/1917332","1917332")</f>
        <v>1917332</v>
      </c>
      <c r="D1352">
        <v>3</v>
      </c>
      <c r="E1352" t="s">
        <v>1846</v>
      </c>
      <c r="F1352" t="s">
        <v>17</v>
      </c>
    </row>
    <row r="1353" spans="1:6" x14ac:dyDescent="0.3">
      <c r="A1353" t="s">
        <v>26</v>
      </c>
      <c r="B1353" t="s">
        <v>27</v>
      </c>
      <c r="C1353" t="str">
        <f>HYPERLINK("http://service.sap.com/sap/support/notes/1931352","1931352")</f>
        <v>1931352</v>
      </c>
      <c r="D1353">
        <v>1</v>
      </c>
      <c r="E1353" t="s">
        <v>1847</v>
      </c>
      <c r="F1353" t="s">
        <v>11</v>
      </c>
    </row>
    <row r="1354" spans="1:6" x14ac:dyDescent="0.3">
      <c r="A1354" t="s">
        <v>26</v>
      </c>
      <c r="B1354" t="s">
        <v>27</v>
      </c>
      <c r="C1354" t="str">
        <f>HYPERLINK("http://service.sap.com/sap/support/notes/1937139","1937139")</f>
        <v>1937139</v>
      </c>
      <c r="D1354">
        <v>4</v>
      </c>
      <c r="E1354" t="s">
        <v>1848</v>
      </c>
      <c r="F1354" t="s">
        <v>17</v>
      </c>
    </row>
    <row r="1355" spans="1:6" x14ac:dyDescent="0.3">
      <c r="A1355" t="s">
        <v>26</v>
      </c>
      <c r="B1355" t="s">
        <v>27</v>
      </c>
      <c r="C1355" t="str">
        <f>HYPERLINK("http://service.sap.com/sap/support/notes/1941299","1941299")</f>
        <v>1941299</v>
      </c>
      <c r="D1355">
        <v>1</v>
      </c>
      <c r="E1355" t="s">
        <v>1849</v>
      </c>
      <c r="F1355" t="s">
        <v>17</v>
      </c>
    </row>
    <row r="1356" spans="1:6" x14ac:dyDescent="0.3">
      <c r="A1356" t="s">
        <v>46</v>
      </c>
      <c r="B1356" t="s">
        <v>47</v>
      </c>
    </row>
    <row r="1357" spans="1:6" x14ac:dyDescent="0.3">
      <c r="A1357" t="s">
        <v>48</v>
      </c>
      <c r="B1357" t="s">
        <v>49</v>
      </c>
    </row>
    <row r="1358" spans="1:6" x14ac:dyDescent="0.3">
      <c r="A1358" t="s">
        <v>50</v>
      </c>
      <c r="B1358" t="s">
        <v>51</v>
      </c>
    </row>
    <row r="1359" spans="1:6" x14ac:dyDescent="0.3">
      <c r="A1359" t="s">
        <v>52</v>
      </c>
      <c r="B1359" t="s">
        <v>53</v>
      </c>
      <c r="C1359" t="str">
        <f>HYPERLINK("http://service.sap.com/sap/support/notes/1900862","1900862")</f>
        <v>1900862</v>
      </c>
      <c r="D1359">
        <v>1</v>
      </c>
      <c r="E1359" t="s">
        <v>1850</v>
      </c>
      <c r="F1359" t="s">
        <v>13</v>
      </c>
    </row>
    <row r="1360" spans="1:6" x14ac:dyDescent="0.3">
      <c r="A1360" t="s">
        <v>52</v>
      </c>
      <c r="B1360" t="s">
        <v>53</v>
      </c>
      <c r="C1360" t="str">
        <f>HYPERLINK("http://service.sap.com/sap/support/notes/1951249","1951249")</f>
        <v>1951249</v>
      </c>
      <c r="D1360">
        <v>1</v>
      </c>
      <c r="E1360" t="s">
        <v>1851</v>
      </c>
      <c r="F1360" t="s">
        <v>17</v>
      </c>
    </row>
    <row r="1361" spans="1:6" x14ac:dyDescent="0.3">
      <c r="A1361" t="s">
        <v>55</v>
      </c>
      <c r="B1361" t="s">
        <v>56</v>
      </c>
      <c r="C1361" t="str">
        <f>HYPERLINK("http://service.sap.com/sap/support/notes/1905595","1905595")</f>
        <v>1905595</v>
      </c>
      <c r="D1361">
        <v>4</v>
      </c>
      <c r="E1361" t="s">
        <v>1852</v>
      </c>
      <c r="F1361" t="s">
        <v>13</v>
      </c>
    </row>
    <row r="1362" spans="1:6" x14ac:dyDescent="0.3">
      <c r="A1362" t="s">
        <v>55</v>
      </c>
      <c r="B1362" t="s">
        <v>56</v>
      </c>
      <c r="C1362" t="str">
        <f>HYPERLINK("http://service.sap.com/sap/support/notes/1938543","1938543")</f>
        <v>1938543</v>
      </c>
      <c r="D1362">
        <v>2</v>
      </c>
      <c r="E1362" t="s">
        <v>1853</v>
      </c>
      <c r="F1362" t="s">
        <v>17</v>
      </c>
    </row>
    <row r="1363" spans="1:6" x14ac:dyDescent="0.3">
      <c r="A1363" t="s">
        <v>60</v>
      </c>
      <c r="B1363" t="s">
        <v>61</v>
      </c>
    </row>
    <row r="1364" spans="1:6" x14ac:dyDescent="0.3">
      <c r="A1364" t="s">
        <v>62</v>
      </c>
      <c r="B1364" t="s">
        <v>63</v>
      </c>
      <c r="C1364" t="str">
        <f>HYPERLINK("http://service.sap.com/sap/support/notes/1805252","1805252")</f>
        <v>1805252</v>
      </c>
      <c r="D1364">
        <v>3</v>
      </c>
      <c r="E1364" t="s">
        <v>1854</v>
      </c>
      <c r="F1364" t="s">
        <v>17</v>
      </c>
    </row>
    <row r="1365" spans="1:6" x14ac:dyDescent="0.3">
      <c r="A1365" t="s">
        <v>62</v>
      </c>
      <c r="B1365" t="s">
        <v>63</v>
      </c>
      <c r="C1365" t="str">
        <f>HYPERLINK("http://service.sap.com/sap/support/notes/1922491","1922491")</f>
        <v>1922491</v>
      </c>
      <c r="D1365">
        <v>3</v>
      </c>
      <c r="E1365" t="s">
        <v>1855</v>
      </c>
      <c r="F1365" t="s">
        <v>17</v>
      </c>
    </row>
    <row r="1366" spans="1:6" x14ac:dyDescent="0.3">
      <c r="A1366" t="s">
        <v>62</v>
      </c>
      <c r="B1366" t="s">
        <v>63</v>
      </c>
      <c r="C1366" t="str">
        <f>HYPERLINK("http://service.sap.com/sap/support/notes/1938678","1938678")</f>
        <v>1938678</v>
      </c>
      <c r="D1366">
        <v>1</v>
      </c>
      <c r="E1366" t="s">
        <v>1856</v>
      </c>
      <c r="F1366" t="s">
        <v>17</v>
      </c>
    </row>
    <row r="1367" spans="1:6" x14ac:dyDescent="0.3">
      <c r="A1367" t="s">
        <v>62</v>
      </c>
      <c r="B1367" t="s">
        <v>63</v>
      </c>
      <c r="C1367" t="str">
        <f>HYPERLINK("http://service.sap.com/sap/support/notes/1940562","1940562")</f>
        <v>1940562</v>
      </c>
      <c r="D1367">
        <v>1</v>
      </c>
      <c r="E1367" t="s">
        <v>1857</v>
      </c>
      <c r="F1367" t="s">
        <v>17</v>
      </c>
    </row>
    <row r="1368" spans="1:6" x14ac:dyDescent="0.3">
      <c r="A1368" t="s">
        <v>66</v>
      </c>
      <c r="B1368" t="s">
        <v>67</v>
      </c>
      <c r="C1368" t="str">
        <f>HYPERLINK("http://service.sap.com/sap/support/notes/1922225","1922225")</f>
        <v>1922225</v>
      </c>
      <c r="D1368">
        <v>1</v>
      </c>
      <c r="E1368" t="s">
        <v>1858</v>
      </c>
      <c r="F1368" t="s">
        <v>17</v>
      </c>
    </row>
    <row r="1369" spans="1:6" x14ac:dyDescent="0.3">
      <c r="A1369" t="s">
        <v>66</v>
      </c>
      <c r="B1369" t="s">
        <v>67</v>
      </c>
      <c r="C1369" t="str">
        <f>HYPERLINK("http://service.sap.com/sap/support/notes/1922971","1922971")</f>
        <v>1922971</v>
      </c>
      <c r="D1369">
        <v>1</v>
      </c>
      <c r="E1369" t="s">
        <v>1859</v>
      </c>
      <c r="F1369" t="s">
        <v>13</v>
      </c>
    </row>
    <row r="1370" spans="1:6" x14ac:dyDescent="0.3">
      <c r="A1370" t="s">
        <v>66</v>
      </c>
      <c r="B1370" t="s">
        <v>67</v>
      </c>
      <c r="C1370" t="str">
        <f>HYPERLINK("http://service.sap.com/sap/support/notes/1934997","1934997")</f>
        <v>1934997</v>
      </c>
      <c r="D1370">
        <v>1</v>
      </c>
      <c r="E1370" t="s">
        <v>1860</v>
      </c>
      <c r="F1370" t="s">
        <v>17</v>
      </c>
    </row>
    <row r="1371" spans="1:6" x14ac:dyDescent="0.3">
      <c r="A1371" t="s">
        <v>66</v>
      </c>
      <c r="B1371" t="s">
        <v>67</v>
      </c>
      <c r="C1371" t="str">
        <f>HYPERLINK("http://service.sap.com/sap/support/notes/1938533","1938533")</f>
        <v>1938533</v>
      </c>
      <c r="D1371">
        <v>2</v>
      </c>
      <c r="E1371" t="s">
        <v>1861</v>
      </c>
      <c r="F1371" t="s">
        <v>11</v>
      </c>
    </row>
    <row r="1372" spans="1:6" x14ac:dyDescent="0.3">
      <c r="A1372" t="s">
        <v>66</v>
      </c>
      <c r="B1372" t="s">
        <v>67</v>
      </c>
      <c r="C1372" t="str">
        <f>HYPERLINK("http://service.sap.com/sap/support/notes/1939405","1939405")</f>
        <v>1939405</v>
      </c>
      <c r="D1372">
        <v>1</v>
      </c>
      <c r="E1372" t="s">
        <v>1862</v>
      </c>
      <c r="F1372" t="s">
        <v>17</v>
      </c>
    </row>
    <row r="1373" spans="1:6" x14ac:dyDescent="0.3">
      <c r="A1373" t="s">
        <v>66</v>
      </c>
      <c r="B1373" t="s">
        <v>67</v>
      </c>
      <c r="C1373" t="str">
        <f>HYPERLINK("http://service.sap.com/sap/support/notes/1945539","1945539")</f>
        <v>1945539</v>
      </c>
      <c r="D1373">
        <v>1</v>
      </c>
      <c r="E1373" t="s">
        <v>1863</v>
      </c>
      <c r="F1373" t="s">
        <v>17</v>
      </c>
    </row>
    <row r="1374" spans="1:6" x14ac:dyDescent="0.3">
      <c r="A1374" t="s">
        <v>79</v>
      </c>
      <c r="B1374" t="s">
        <v>80</v>
      </c>
    </row>
    <row r="1375" spans="1:6" x14ac:dyDescent="0.3">
      <c r="A1375" t="s">
        <v>81</v>
      </c>
      <c r="B1375" t="s">
        <v>82</v>
      </c>
      <c r="C1375" t="str">
        <f>HYPERLINK("http://service.sap.com/sap/support/notes/1909885","1909885")</f>
        <v>1909885</v>
      </c>
      <c r="D1375">
        <v>2</v>
      </c>
      <c r="E1375" t="s">
        <v>1864</v>
      </c>
      <c r="F1375" t="s">
        <v>17</v>
      </c>
    </row>
    <row r="1376" spans="1:6" x14ac:dyDescent="0.3">
      <c r="A1376" t="s">
        <v>1865</v>
      </c>
      <c r="B1376" t="s">
        <v>1866</v>
      </c>
    </row>
    <row r="1377" spans="1:6" x14ac:dyDescent="0.3">
      <c r="A1377" t="s">
        <v>1867</v>
      </c>
      <c r="B1377" t="s">
        <v>1868</v>
      </c>
    </row>
    <row r="1378" spans="1:6" x14ac:dyDescent="0.3">
      <c r="A1378" t="s">
        <v>1869</v>
      </c>
      <c r="B1378" t="s">
        <v>1870</v>
      </c>
      <c r="C1378" t="str">
        <f>HYPERLINK("http://service.sap.com/sap/support/notes/1938723","1938723")</f>
        <v>1938723</v>
      </c>
      <c r="D1378">
        <v>2</v>
      </c>
      <c r="E1378" t="s">
        <v>1871</v>
      </c>
      <c r="F1378" t="s">
        <v>11</v>
      </c>
    </row>
    <row r="1379" spans="1:6" x14ac:dyDescent="0.3">
      <c r="A1379" t="s">
        <v>1872</v>
      </c>
      <c r="B1379" t="s">
        <v>61</v>
      </c>
      <c r="C1379" t="str">
        <f>HYPERLINK("http://service.sap.com/sap/support/notes/1949514","1949514")</f>
        <v>1949514</v>
      </c>
      <c r="D1379">
        <v>1</v>
      </c>
      <c r="E1379" t="s">
        <v>1873</v>
      </c>
      <c r="F1379" t="s">
        <v>17</v>
      </c>
    </row>
    <row r="1380" spans="1:6" x14ac:dyDescent="0.3">
      <c r="A1380" t="s">
        <v>84</v>
      </c>
      <c r="B1380" t="s">
        <v>85</v>
      </c>
    </row>
    <row r="1381" spans="1:6" x14ac:dyDescent="0.3">
      <c r="A1381" t="s">
        <v>86</v>
      </c>
      <c r="B1381" t="s">
        <v>87</v>
      </c>
    </row>
    <row r="1382" spans="1:6" x14ac:dyDescent="0.3">
      <c r="A1382" t="s">
        <v>88</v>
      </c>
      <c r="B1382" t="s">
        <v>89</v>
      </c>
      <c r="C1382" t="str">
        <f>HYPERLINK("http://service.sap.com/sap/support/notes/1928773","1928773")</f>
        <v>1928773</v>
      </c>
      <c r="D1382">
        <v>4</v>
      </c>
      <c r="E1382" t="s">
        <v>1874</v>
      </c>
      <c r="F1382" t="s">
        <v>17</v>
      </c>
    </row>
    <row r="1383" spans="1:6" x14ac:dyDescent="0.3">
      <c r="A1383" t="s">
        <v>88</v>
      </c>
      <c r="B1383" t="s">
        <v>89</v>
      </c>
      <c r="C1383" t="str">
        <f>HYPERLINK("http://service.sap.com/sap/support/notes/1946138","1946138")</f>
        <v>1946138</v>
      </c>
      <c r="D1383">
        <v>2</v>
      </c>
      <c r="E1383" t="s">
        <v>1875</v>
      </c>
      <c r="F1383" t="s">
        <v>17</v>
      </c>
    </row>
    <row r="1384" spans="1:6" x14ac:dyDescent="0.3">
      <c r="A1384" t="s">
        <v>91</v>
      </c>
      <c r="B1384" t="s">
        <v>92</v>
      </c>
      <c r="C1384" t="str">
        <f>HYPERLINK("http://service.sap.com/sap/support/notes/1396546","1396546")</f>
        <v>1396546</v>
      </c>
      <c r="D1384">
        <v>6</v>
      </c>
      <c r="E1384" t="s">
        <v>1876</v>
      </c>
      <c r="F1384" t="s">
        <v>13</v>
      </c>
    </row>
    <row r="1385" spans="1:6" x14ac:dyDescent="0.3">
      <c r="A1385" t="s">
        <v>91</v>
      </c>
      <c r="B1385" t="s">
        <v>92</v>
      </c>
      <c r="C1385" t="str">
        <f>HYPERLINK("http://service.sap.com/sap/support/notes/1922418","1922418")</f>
        <v>1922418</v>
      </c>
      <c r="D1385">
        <v>2</v>
      </c>
      <c r="E1385" t="s">
        <v>1877</v>
      </c>
      <c r="F1385" t="s">
        <v>13</v>
      </c>
    </row>
    <row r="1386" spans="1:6" x14ac:dyDescent="0.3">
      <c r="A1386" t="s">
        <v>91</v>
      </c>
      <c r="B1386" t="s">
        <v>92</v>
      </c>
      <c r="C1386" t="str">
        <f>HYPERLINK("http://service.sap.com/sap/support/notes/1928245","1928245")</f>
        <v>1928245</v>
      </c>
      <c r="D1386">
        <v>5</v>
      </c>
      <c r="E1386" t="s">
        <v>1878</v>
      </c>
      <c r="F1386" t="s">
        <v>94</v>
      </c>
    </row>
    <row r="1387" spans="1:6" x14ac:dyDescent="0.3">
      <c r="A1387" t="s">
        <v>91</v>
      </c>
      <c r="B1387" t="s">
        <v>92</v>
      </c>
      <c r="C1387" t="str">
        <f>HYPERLINK("http://service.sap.com/sap/support/notes/1938839","1938839")</f>
        <v>1938839</v>
      </c>
      <c r="D1387">
        <v>2</v>
      </c>
      <c r="E1387" t="s">
        <v>1879</v>
      </c>
      <c r="F1387" t="s">
        <v>17</v>
      </c>
    </row>
    <row r="1388" spans="1:6" x14ac:dyDescent="0.3">
      <c r="A1388" t="s">
        <v>91</v>
      </c>
      <c r="B1388" t="s">
        <v>92</v>
      </c>
      <c r="C1388" t="str">
        <f>HYPERLINK("http://service.sap.com/sap/support/notes/1939106","1939106")</f>
        <v>1939106</v>
      </c>
      <c r="D1388">
        <v>1</v>
      </c>
      <c r="E1388" t="s">
        <v>1880</v>
      </c>
      <c r="F1388" t="s">
        <v>13</v>
      </c>
    </row>
    <row r="1389" spans="1:6" x14ac:dyDescent="0.3">
      <c r="A1389" t="s">
        <v>91</v>
      </c>
      <c r="B1389" t="s">
        <v>92</v>
      </c>
      <c r="C1389" t="str">
        <f>HYPERLINK("http://service.sap.com/sap/support/notes/1940614","1940614")</f>
        <v>1940614</v>
      </c>
      <c r="D1389">
        <v>1</v>
      </c>
      <c r="E1389" t="s">
        <v>1881</v>
      </c>
      <c r="F1389" t="s">
        <v>13</v>
      </c>
    </row>
    <row r="1390" spans="1:6" x14ac:dyDescent="0.3">
      <c r="A1390" t="s">
        <v>91</v>
      </c>
      <c r="B1390" t="s">
        <v>92</v>
      </c>
      <c r="C1390" t="str">
        <f>HYPERLINK("http://service.sap.com/sap/support/notes/1950453","1950453")</f>
        <v>1950453</v>
      </c>
      <c r="D1390">
        <v>1</v>
      </c>
      <c r="E1390" t="s">
        <v>1882</v>
      </c>
      <c r="F1390" t="s">
        <v>13</v>
      </c>
    </row>
    <row r="1391" spans="1:6" x14ac:dyDescent="0.3">
      <c r="A1391" t="s">
        <v>1883</v>
      </c>
      <c r="B1391" t="s">
        <v>1884</v>
      </c>
    </row>
    <row r="1392" spans="1:6" x14ac:dyDescent="0.3">
      <c r="A1392" t="s">
        <v>1885</v>
      </c>
      <c r="B1392" t="s">
        <v>1886</v>
      </c>
    </row>
    <row r="1393" spans="1:6" x14ac:dyDescent="0.3">
      <c r="A1393" t="s">
        <v>1887</v>
      </c>
      <c r="B1393" t="s">
        <v>1888</v>
      </c>
      <c r="C1393" t="str">
        <f>HYPERLINK("http://service.sap.com/sap/support/notes/1123778","1123778")</f>
        <v>1123778</v>
      </c>
      <c r="D1393">
        <v>7</v>
      </c>
      <c r="E1393" t="s">
        <v>1889</v>
      </c>
      <c r="F1393" t="s">
        <v>17</v>
      </c>
    </row>
    <row r="1394" spans="1:6" x14ac:dyDescent="0.3">
      <c r="A1394" t="s">
        <v>103</v>
      </c>
      <c r="B1394" t="s">
        <v>104</v>
      </c>
    </row>
    <row r="1395" spans="1:6" x14ac:dyDescent="0.3">
      <c r="A1395" t="s">
        <v>105</v>
      </c>
      <c r="B1395" t="s">
        <v>106</v>
      </c>
    </row>
    <row r="1396" spans="1:6" x14ac:dyDescent="0.3">
      <c r="A1396" t="s">
        <v>107</v>
      </c>
      <c r="B1396" t="s">
        <v>108</v>
      </c>
      <c r="C1396" t="str">
        <f>HYPERLINK("http://service.sap.com/sap/support/notes/1927290","1927290")</f>
        <v>1927290</v>
      </c>
      <c r="D1396">
        <v>2</v>
      </c>
      <c r="E1396" t="s">
        <v>1890</v>
      </c>
      <c r="F1396" t="s">
        <v>11</v>
      </c>
    </row>
    <row r="1397" spans="1:6" x14ac:dyDescent="0.3">
      <c r="A1397" t="s">
        <v>107</v>
      </c>
      <c r="B1397" t="s">
        <v>108</v>
      </c>
      <c r="C1397" t="str">
        <f>HYPERLINK("http://service.sap.com/sap/support/notes/1933102","1933102")</f>
        <v>1933102</v>
      </c>
      <c r="D1397">
        <v>1</v>
      </c>
      <c r="E1397" t="s">
        <v>1891</v>
      </c>
      <c r="F1397" t="s">
        <v>11</v>
      </c>
    </row>
    <row r="1398" spans="1:6" x14ac:dyDescent="0.3">
      <c r="A1398" t="s">
        <v>115</v>
      </c>
      <c r="B1398" t="s">
        <v>51</v>
      </c>
    </row>
    <row r="1399" spans="1:6" x14ac:dyDescent="0.3">
      <c r="A1399" t="s">
        <v>117</v>
      </c>
      <c r="B1399" t="s">
        <v>53</v>
      </c>
      <c r="C1399" t="str">
        <f>HYPERLINK("http://service.sap.com/sap/support/notes/695771","695771")</f>
        <v>695771</v>
      </c>
      <c r="D1399">
        <v>1</v>
      </c>
      <c r="E1399" t="s">
        <v>1892</v>
      </c>
      <c r="F1399" t="s">
        <v>94</v>
      </c>
    </row>
    <row r="1400" spans="1:6" x14ac:dyDescent="0.3">
      <c r="A1400" t="s">
        <v>117</v>
      </c>
      <c r="B1400" t="s">
        <v>53</v>
      </c>
      <c r="C1400" t="str">
        <f>HYPERLINK("http://service.sap.com/sap/support/notes/1787117","1787117")</f>
        <v>1787117</v>
      </c>
      <c r="D1400">
        <v>4</v>
      </c>
      <c r="E1400" t="s">
        <v>1893</v>
      </c>
      <c r="F1400" t="s">
        <v>17</v>
      </c>
    </row>
    <row r="1401" spans="1:6" x14ac:dyDescent="0.3">
      <c r="A1401" t="s">
        <v>117</v>
      </c>
      <c r="B1401" t="s">
        <v>53</v>
      </c>
      <c r="C1401" t="str">
        <f>HYPERLINK("http://service.sap.com/sap/support/notes/1889489","1889489")</f>
        <v>1889489</v>
      </c>
      <c r="D1401">
        <v>1</v>
      </c>
      <c r="E1401" t="s">
        <v>1894</v>
      </c>
      <c r="F1401" t="s">
        <v>13</v>
      </c>
    </row>
    <row r="1402" spans="1:6" x14ac:dyDescent="0.3">
      <c r="A1402" t="s">
        <v>117</v>
      </c>
      <c r="B1402" t="s">
        <v>53</v>
      </c>
      <c r="C1402" t="str">
        <f>HYPERLINK("http://service.sap.com/sap/support/notes/1915828","1915828")</f>
        <v>1915828</v>
      </c>
      <c r="D1402">
        <v>2</v>
      </c>
      <c r="E1402" t="s">
        <v>1895</v>
      </c>
      <c r="F1402" t="s">
        <v>94</v>
      </c>
    </row>
    <row r="1403" spans="1:6" x14ac:dyDescent="0.3">
      <c r="A1403" t="s">
        <v>117</v>
      </c>
      <c r="B1403" t="s">
        <v>53</v>
      </c>
      <c r="C1403" t="str">
        <f>HYPERLINK("http://service.sap.com/sap/support/notes/1923196","1923196")</f>
        <v>1923196</v>
      </c>
      <c r="D1403">
        <v>1</v>
      </c>
      <c r="E1403" t="s">
        <v>1896</v>
      </c>
      <c r="F1403" t="s">
        <v>13</v>
      </c>
    </row>
    <row r="1404" spans="1:6" x14ac:dyDescent="0.3">
      <c r="A1404" t="s">
        <v>117</v>
      </c>
      <c r="B1404" t="s">
        <v>53</v>
      </c>
      <c r="C1404" t="str">
        <f>HYPERLINK("http://service.sap.com/sap/support/notes/1924868","1924868")</f>
        <v>1924868</v>
      </c>
      <c r="D1404">
        <v>1</v>
      </c>
      <c r="E1404" t="s">
        <v>1897</v>
      </c>
      <c r="F1404" t="s">
        <v>94</v>
      </c>
    </row>
    <row r="1405" spans="1:6" x14ac:dyDescent="0.3">
      <c r="A1405" t="s">
        <v>117</v>
      </c>
      <c r="B1405" t="s">
        <v>53</v>
      </c>
      <c r="C1405" t="str">
        <f>HYPERLINK("http://service.sap.com/sap/support/notes/1930347","1930347")</f>
        <v>1930347</v>
      </c>
      <c r="D1405">
        <v>1</v>
      </c>
      <c r="E1405" t="s">
        <v>1898</v>
      </c>
      <c r="F1405" t="s">
        <v>13</v>
      </c>
    </row>
    <row r="1406" spans="1:6" x14ac:dyDescent="0.3">
      <c r="A1406" t="s">
        <v>117</v>
      </c>
      <c r="B1406" t="s">
        <v>53</v>
      </c>
      <c r="C1406" t="str">
        <f>HYPERLINK("http://service.sap.com/sap/support/notes/1936862","1936862")</f>
        <v>1936862</v>
      </c>
      <c r="D1406">
        <v>1</v>
      </c>
      <c r="E1406" t="s">
        <v>1899</v>
      </c>
      <c r="F1406" t="s">
        <v>17</v>
      </c>
    </row>
    <row r="1407" spans="1:6" x14ac:dyDescent="0.3">
      <c r="A1407" t="s">
        <v>117</v>
      </c>
      <c r="B1407" t="s">
        <v>53</v>
      </c>
      <c r="C1407" t="str">
        <f>HYPERLINK("http://service.sap.com/sap/support/notes/1942279","1942279")</f>
        <v>1942279</v>
      </c>
      <c r="D1407">
        <v>1</v>
      </c>
      <c r="E1407" t="s">
        <v>1900</v>
      </c>
      <c r="F1407" t="s">
        <v>94</v>
      </c>
    </row>
    <row r="1408" spans="1:6" x14ac:dyDescent="0.3">
      <c r="A1408" t="s">
        <v>117</v>
      </c>
      <c r="B1408" t="s">
        <v>53</v>
      </c>
      <c r="C1408" t="str">
        <f>HYPERLINK("http://service.sap.com/sap/support/notes/1944731","1944731")</f>
        <v>1944731</v>
      </c>
      <c r="D1408">
        <v>2</v>
      </c>
      <c r="E1408" t="s">
        <v>1901</v>
      </c>
      <c r="F1408" t="s">
        <v>94</v>
      </c>
    </row>
    <row r="1409" spans="1:6" x14ac:dyDescent="0.3">
      <c r="A1409" t="s">
        <v>117</v>
      </c>
      <c r="B1409" t="s">
        <v>53</v>
      </c>
      <c r="C1409" t="str">
        <f>HYPERLINK("http://service.sap.com/sap/support/notes/1945466","1945466")</f>
        <v>1945466</v>
      </c>
      <c r="D1409">
        <v>2</v>
      </c>
      <c r="E1409" t="s">
        <v>1902</v>
      </c>
      <c r="F1409" t="s">
        <v>17</v>
      </c>
    </row>
    <row r="1410" spans="1:6" x14ac:dyDescent="0.3">
      <c r="A1410" t="s">
        <v>117</v>
      </c>
      <c r="B1410" t="s">
        <v>53</v>
      </c>
      <c r="C1410" t="str">
        <f>HYPERLINK("http://service.sap.com/sap/support/notes/1947512","1947512")</f>
        <v>1947512</v>
      </c>
      <c r="D1410">
        <v>1</v>
      </c>
      <c r="E1410" t="s">
        <v>1903</v>
      </c>
      <c r="F1410" t="s">
        <v>94</v>
      </c>
    </row>
    <row r="1411" spans="1:6" x14ac:dyDescent="0.3">
      <c r="A1411" t="s">
        <v>128</v>
      </c>
      <c r="B1411" t="s">
        <v>1904</v>
      </c>
      <c r="C1411" t="str">
        <f>HYPERLINK("http://service.sap.com/sap/support/notes/1896899","1896899")</f>
        <v>1896899</v>
      </c>
      <c r="D1411">
        <v>2</v>
      </c>
      <c r="E1411" t="s">
        <v>1905</v>
      </c>
      <c r="F1411" t="s">
        <v>17</v>
      </c>
    </row>
    <row r="1412" spans="1:6" x14ac:dyDescent="0.3">
      <c r="A1412" t="s">
        <v>128</v>
      </c>
      <c r="B1412" t="s">
        <v>1904</v>
      </c>
      <c r="C1412" t="str">
        <f>HYPERLINK("http://service.sap.com/sap/support/notes/1900978","1900978")</f>
        <v>1900978</v>
      </c>
      <c r="D1412">
        <v>5</v>
      </c>
      <c r="E1412" t="s">
        <v>1906</v>
      </c>
      <c r="F1412" t="s">
        <v>17</v>
      </c>
    </row>
    <row r="1413" spans="1:6" x14ac:dyDescent="0.3">
      <c r="A1413" t="s">
        <v>128</v>
      </c>
      <c r="B1413" t="s">
        <v>1904</v>
      </c>
      <c r="C1413" t="str">
        <f>HYPERLINK("http://service.sap.com/sap/support/notes/1908306","1908306")</f>
        <v>1908306</v>
      </c>
      <c r="D1413">
        <v>3</v>
      </c>
      <c r="E1413" t="s">
        <v>1907</v>
      </c>
      <c r="F1413" t="s">
        <v>17</v>
      </c>
    </row>
    <row r="1414" spans="1:6" x14ac:dyDescent="0.3">
      <c r="A1414" t="s">
        <v>135</v>
      </c>
      <c r="B1414" t="s">
        <v>136</v>
      </c>
    </row>
    <row r="1415" spans="1:6" x14ac:dyDescent="0.3">
      <c r="A1415" t="s">
        <v>1908</v>
      </c>
      <c r="B1415" t="s">
        <v>160</v>
      </c>
      <c r="C1415" t="str">
        <f>HYPERLINK("http://service.sap.com/sap/support/notes/1945347","1945347")</f>
        <v>1945347</v>
      </c>
      <c r="D1415">
        <v>2</v>
      </c>
      <c r="E1415" t="s">
        <v>1909</v>
      </c>
      <c r="F1415" t="s">
        <v>13</v>
      </c>
    </row>
    <row r="1416" spans="1:6" x14ac:dyDescent="0.3">
      <c r="A1416" t="s">
        <v>140</v>
      </c>
      <c r="B1416" t="s">
        <v>131</v>
      </c>
      <c r="C1416" t="str">
        <f>HYPERLINK("http://service.sap.com/sap/support/notes/1935767","1935767")</f>
        <v>1935767</v>
      </c>
      <c r="D1416">
        <v>1</v>
      </c>
      <c r="E1416" t="s">
        <v>1910</v>
      </c>
      <c r="F1416" t="s">
        <v>17</v>
      </c>
    </row>
    <row r="1417" spans="1:6" x14ac:dyDescent="0.3">
      <c r="A1417" t="s">
        <v>140</v>
      </c>
      <c r="B1417" t="s">
        <v>131</v>
      </c>
      <c r="C1417" t="str">
        <f>HYPERLINK("http://service.sap.com/sap/support/notes/1946861","1946861")</f>
        <v>1946861</v>
      </c>
      <c r="D1417">
        <v>2</v>
      </c>
      <c r="E1417" t="s">
        <v>1911</v>
      </c>
      <c r="F1417" t="s">
        <v>17</v>
      </c>
    </row>
    <row r="1418" spans="1:6" x14ac:dyDescent="0.3">
      <c r="A1418" t="s">
        <v>147</v>
      </c>
      <c r="B1418" t="s">
        <v>148</v>
      </c>
    </row>
    <row r="1419" spans="1:6" x14ac:dyDescent="0.3">
      <c r="A1419" t="s">
        <v>149</v>
      </c>
      <c r="B1419" t="s">
        <v>138</v>
      </c>
      <c r="C1419" t="str">
        <f>HYPERLINK("http://service.sap.com/sap/support/notes/1923495","1923495")</f>
        <v>1923495</v>
      </c>
      <c r="D1419">
        <v>1</v>
      </c>
      <c r="E1419" t="s">
        <v>1912</v>
      </c>
      <c r="F1419" t="s">
        <v>13</v>
      </c>
    </row>
    <row r="1420" spans="1:6" x14ac:dyDescent="0.3">
      <c r="A1420" t="s">
        <v>149</v>
      </c>
      <c r="B1420" t="s">
        <v>138</v>
      </c>
      <c r="C1420" t="str">
        <f>HYPERLINK("http://service.sap.com/sap/support/notes/1930925","1930925")</f>
        <v>1930925</v>
      </c>
      <c r="D1420">
        <v>1</v>
      </c>
      <c r="E1420" t="s">
        <v>1913</v>
      </c>
      <c r="F1420" t="s">
        <v>13</v>
      </c>
    </row>
    <row r="1421" spans="1:6" x14ac:dyDescent="0.3">
      <c r="A1421" t="s">
        <v>152</v>
      </c>
      <c r="B1421" t="s">
        <v>153</v>
      </c>
      <c r="C1421" t="str">
        <f>HYPERLINK("http://service.sap.com/sap/support/notes/1922950","1922950")</f>
        <v>1922950</v>
      </c>
      <c r="D1421">
        <v>1</v>
      </c>
      <c r="E1421" t="s">
        <v>1914</v>
      </c>
      <c r="F1421" t="s">
        <v>17</v>
      </c>
    </row>
    <row r="1422" spans="1:6" x14ac:dyDescent="0.3">
      <c r="A1422" t="s">
        <v>152</v>
      </c>
      <c r="B1422" t="s">
        <v>153</v>
      </c>
      <c r="C1422" t="str">
        <f>HYPERLINK("http://service.sap.com/sap/support/notes/1933957","1933957")</f>
        <v>1933957</v>
      </c>
      <c r="D1422">
        <v>1</v>
      </c>
      <c r="E1422" t="s">
        <v>1915</v>
      </c>
      <c r="F1422" t="s">
        <v>11</v>
      </c>
    </row>
    <row r="1423" spans="1:6" x14ac:dyDescent="0.3">
      <c r="A1423" t="s">
        <v>165</v>
      </c>
      <c r="B1423" t="s">
        <v>131</v>
      </c>
      <c r="C1423" t="str">
        <f>HYPERLINK("http://service.sap.com/sap/support/notes/1664775","1664775")</f>
        <v>1664775</v>
      </c>
      <c r="D1423">
        <v>2</v>
      </c>
      <c r="E1423" t="s">
        <v>1916</v>
      </c>
      <c r="F1423" t="s">
        <v>17</v>
      </c>
    </row>
    <row r="1424" spans="1:6" x14ac:dyDescent="0.3">
      <c r="A1424" t="s">
        <v>165</v>
      </c>
      <c r="B1424" t="s">
        <v>131</v>
      </c>
      <c r="C1424" t="str">
        <f>HYPERLINK("http://service.sap.com/sap/support/notes/1931796","1931796")</f>
        <v>1931796</v>
      </c>
      <c r="D1424">
        <v>1</v>
      </c>
      <c r="E1424" t="s">
        <v>1917</v>
      </c>
      <c r="F1424" t="s">
        <v>17</v>
      </c>
    </row>
    <row r="1425" spans="1:6" x14ac:dyDescent="0.3">
      <c r="A1425" t="s">
        <v>187</v>
      </c>
      <c r="B1425" t="s">
        <v>188</v>
      </c>
    </row>
    <row r="1426" spans="1:6" x14ac:dyDescent="0.3">
      <c r="A1426" t="s">
        <v>189</v>
      </c>
      <c r="B1426" t="s">
        <v>138</v>
      </c>
      <c r="C1426" t="str">
        <f>HYPERLINK("http://service.sap.com/sap/support/notes/644437","644437")</f>
        <v>644437</v>
      </c>
      <c r="D1426">
        <v>12</v>
      </c>
      <c r="E1426" t="s">
        <v>1918</v>
      </c>
      <c r="F1426" t="s">
        <v>13</v>
      </c>
    </row>
    <row r="1427" spans="1:6" x14ac:dyDescent="0.3">
      <c r="A1427" t="s">
        <v>189</v>
      </c>
      <c r="B1427" t="s">
        <v>138</v>
      </c>
      <c r="C1427" t="str">
        <f>HYPERLINK("http://service.sap.com/sap/support/notes/1832833","1832833")</f>
        <v>1832833</v>
      </c>
      <c r="D1427">
        <v>5</v>
      </c>
      <c r="E1427" t="s">
        <v>1919</v>
      </c>
      <c r="F1427" t="s">
        <v>13</v>
      </c>
    </row>
    <row r="1428" spans="1:6" x14ac:dyDescent="0.3">
      <c r="A1428" t="s">
        <v>189</v>
      </c>
      <c r="B1428" t="s">
        <v>138</v>
      </c>
      <c r="C1428" t="str">
        <f>HYPERLINK("http://service.sap.com/sap/support/notes/1838103","1838103")</f>
        <v>1838103</v>
      </c>
      <c r="D1428">
        <v>2</v>
      </c>
      <c r="E1428" t="s">
        <v>1920</v>
      </c>
      <c r="F1428" t="s">
        <v>13</v>
      </c>
    </row>
    <row r="1429" spans="1:6" x14ac:dyDescent="0.3">
      <c r="A1429" t="s">
        <v>189</v>
      </c>
      <c r="B1429" t="s">
        <v>138</v>
      </c>
      <c r="C1429" t="str">
        <f>HYPERLINK("http://service.sap.com/sap/support/notes/1859582","1859582")</f>
        <v>1859582</v>
      </c>
      <c r="D1429">
        <v>3</v>
      </c>
      <c r="E1429" t="s">
        <v>1921</v>
      </c>
      <c r="F1429" t="s">
        <v>13</v>
      </c>
    </row>
    <row r="1430" spans="1:6" x14ac:dyDescent="0.3">
      <c r="A1430" t="s">
        <v>189</v>
      </c>
      <c r="B1430" t="s">
        <v>138</v>
      </c>
      <c r="C1430" t="str">
        <f>HYPERLINK("http://service.sap.com/sap/support/notes/1941356","1941356")</f>
        <v>1941356</v>
      </c>
      <c r="D1430">
        <v>1</v>
      </c>
      <c r="E1430" t="s">
        <v>1922</v>
      </c>
      <c r="F1430" t="s">
        <v>13</v>
      </c>
    </row>
    <row r="1431" spans="1:6" x14ac:dyDescent="0.3">
      <c r="A1431" t="s">
        <v>189</v>
      </c>
      <c r="B1431" t="s">
        <v>138</v>
      </c>
      <c r="C1431" t="str">
        <f>HYPERLINK("http://service.sap.com/sap/support/notes/1947651","1947651")</f>
        <v>1947651</v>
      </c>
      <c r="D1431">
        <v>1</v>
      </c>
      <c r="E1431" t="s">
        <v>1923</v>
      </c>
      <c r="F1431" t="s">
        <v>13</v>
      </c>
    </row>
    <row r="1432" spans="1:6" x14ac:dyDescent="0.3">
      <c r="A1432" t="s">
        <v>195</v>
      </c>
      <c r="B1432" t="s">
        <v>153</v>
      </c>
      <c r="C1432" t="str">
        <f>HYPERLINK("http://service.sap.com/sap/support/notes/1895185","1895185")</f>
        <v>1895185</v>
      </c>
      <c r="D1432">
        <v>1</v>
      </c>
      <c r="E1432" t="s">
        <v>196</v>
      </c>
      <c r="F1432" t="s">
        <v>17</v>
      </c>
    </row>
    <row r="1433" spans="1:6" x14ac:dyDescent="0.3">
      <c r="A1433" t="s">
        <v>195</v>
      </c>
      <c r="B1433" t="s">
        <v>153</v>
      </c>
      <c r="C1433" t="str">
        <f>HYPERLINK("http://service.sap.com/sap/support/notes/1901618","1901618")</f>
        <v>1901618</v>
      </c>
      <c r="D1433">
        <v>1</v>
      </c>
      <c r="E1433" t="s">
        <v>1924</v>
      </c>
      <c r="F1433" t="s">
        <v>17</v>
      </c>
    </row>
    <row r="1434" spans="1:6" x14ac:dyDescent="0.3">
      <c r="A1434" t="s">
        <v>195</v>
      </c>
      <c r="B1434" t="s">
        <v>153</v>
      </c>
      <c r="C1434" t="str">
        <f>HYPERLINK("http://service.sap.com/sap/support/notes/1915940","1915940")</f>
        <v>1915940</v>
      </c>
      <c r="D1434">
        <v>1</v>
      </c>
      <c r="E1434" t="s">
        <v>1925</v>
      </c>
      <c r="F1434" t="s">
        <v>17</v>
      </c>
    </row>
    <row r="1435" spans="1:6" x14ac:dyDescent="0.3">
      <c r="A1435" t="s">
        <v>195</v>
      </c>
      <c r="B1435" t="s">
        <v>153</v>
      </c>
      <c r="C1435" t="str">
        <f>HYPERLINK("http://service.sap.com/sap/support/notes/1931440","1931440")</f>
        <v>1931440</v>
      </c>
      <c r="D1435">
        <v>1</v>
      </c>
      <c r="E1435" t="s">
        <v>1926</v>
      </c>
      <c r="F1435" t="s">
        <v>13</v>
      </c>
    </row>
    <row r="1436" spans="1:6" x14ac:dyDescent="0.3">
      <c r="A1436" t="s">
        <v>208</v>
      </c>
      <c r="B1436" t="s">
        <v>131</v>
      </c>
      <c r="C1436" t="str">
        <f>HYPERLINK("http://service.sap.com/sap/support/notes/300273","300273")</f>
        <v>300273</v>
      </c>
      <c r="D1436">
        <v>15</v>
      </c>
      <c r="E1436" t="s">
        <v>1927</v>
      </c>
      <c r="F1436" t="s">
        <v>94</v>
      </c>
    </row>
    <row r="1437" spans="1:6" x14ac:dyDescent="0.3">
      <c r="A1437" t="s">
        <v>208</v>
      </c>
      <c r="B1437" t="s">
        <v>131</v>
      </c>
      <c r="C1437" t="str">
        <f>HYPERLINK("http://service.sap.com/sap/support/notes/1760796","1760796")</f>
        <v>1760796</v>
      </c>
      <c r="D1437">
        <v>1</v>
      </c>
      <c r="E1437" t="s">
        <v>211</v>
      </c>
      <c r="F1437" t="s">
        <v>17</v>
      </c>
    </row>
    <row r="1438" spans="1:6" x14ac:dyDescent="0.3">
      <c r="A1438" t="s">
        <v>208</v>
      </c>
      <c r="B1438" t="s">
        <v>131</v>
      </c>
      <c r="C1438" t="str">
        <f>HYPERLINK("http://service.sap.com/sap/support/notes/1935009","1935009")</f>
        <v>1935009</v>
      </c>
      <c r="D1438">
        <v>4</v>
      </c>
      <c r="E1438" t="s">
        <v>1928</v>
      </c>
      <c r="F1438" t="s">
        <v>17</v>
      </c>
    </row>
    <row r="1439" spans="1:6" x14ac:dyDescent="0.3">
      <c r="A1439" t="s">
        <v>208</v>
      </c>
      <c r="B1439" t="s">
        <v>131</v>
      </c>
      <c r="C1439" t="str">
        <f>HYPERLINK("http://service.sap.com/sap/support/notes/1938919","1938919")</f>
        <v>1938919</v>
      </c>
      <c r="D1439">
        <v>2</v>
      </c>
      <c r="E1439" t="s">
        <v>1929</v>
      </c>
      <c r="F1439" t="s">
        <v>17</v>
      </c>
    </row>
    <row r="1440" spans="1:6" x14ac:dyDescent="0.3">
      <c r="A1440" t="s">
        <v>208</v>
      </c>
      <c r="B1440" t="s">
        <v>131</v>
      </c>
      <c r="C1440" t="str">
        <f>HYPERLINK("http://service.sap.com/sap/support/notes/1949403","1949403")</f>
        <v>1949403</v>
      </c>
      <c r="D1440">
        <v>3</v>
      </c>
      <c r="E1440" t="s">
        <v>1930</v>
      </c>
      <c r="F1440" t="s">
        <v>17</v>
      </c>
    </row>
    <row r="1441" spans="1:6" x14ac:dyDescent="0.3">
      <c r="A1441" t="s">
        <v>223</v>
      </c>
      <c r="B1441" t="s">
        <v>224</v>
      </c>
      <c r="C1441" t="str">
        <f>HYPERLINK("http://service.sap.com/sap/support/notes/1789218","1789218")</f>
        <v>1789218</v>
      </c>
      <c r="D1441">
        <v>1</v>
      </c>
      <c r="E1441" t="s">
        <v>1931</v>
      </c>
      <c r="F1441" t="s">
        <v>17</v>
      </c>
    </row>
    <row r="1442" spans="1:6" x14ac:dyDescent="0.3">
      <c r="A1442" t="s">
        <v>223</v>
      </c>
      <c r="B1442" t="s">
        <v>224</v>
      </c>
      <c r="C1442" t="str">
        <f>HYPERLINK("http://service.sap.com/sap/support/notes/1898150","1898150")</f>
        <v>1898150</v>
      </c>
      <c r="D1442">
        <v>3</v>
      </c>
      <c r="E1442" t="s">
        <v>233</v>
      </c>
      <c r="F1442" t="s">
        <v>17</v>
      </c>
    </row>
    <row r="1443" spans="1:6" x14ac:dyDescent="0.3">
      <c r="A1443" t="s">
        <v>223</v>
      </c>
      <c r="B1443" t="s">
        <v>224</v>
      </c>
      <c r="C1443" t="str">
        <f>HYPERLINK("http://service.sap.com/sap/support/notes/1928361","1928361")</f>
        <v>1928361</v>
      </c>
      <c r="D1443">
        <v>2</v>
      </c>
      <c r="E1443" t="s">
        <v>1932</v>
      </c>
      <c r="F1443" t="s">
        <v>17</v>
      </c>
    </row>
    <row r="1444" spans="1:6" x14ac:dyDescent="0.3">
      <c r="A1444" t="s">
        <v>223</v>
      </c>
      <c r="B1444" t="s">
        <v>224</v>
      </c>
      <c r="C1444" t="str">
        <f>HYPERLINK("http://service.sap.com/sap/support/notes/1928710","1928710")</f>
        <v>1928710</v>
      </c>
      <c r="D1444">
        <v>3</v>
      </c>
      <c r="E1444" t="s">
        <v>1933</v>
      </c>
      <c r="F1444" t="s">
        <v>13</v>
      </c>
    </row>
    <row r="1445" spans="1:6" x14ac:dyDescent="0.3">
      <c r="A1445" t="s">
        <v>223</v>
      </c>
      <c r="B1445" t="s">
        <v>224</v>
      </c>
      <c r="C1445" t="str">
        <f>HYPERLINK("http://service.sap.com/sap/support/notes/1933070","1933070")</f>
        <v>1933070</v>
      </c>
      <c r="D1445">
        <v>1</v>
      </c>
      <c r="E1445" t="s">
        <v>1934</v>
      </c>
      <c r="F1445" t="s">
        <v>17</v>
      </c>
    </row>
    <row r="1446" spans="1:6" x14ac:dyDescent="0.3">
      <c r="A1446" t="s">
        <v>223</v>
      </c>
      <c r="B1446" t="s">
        <v>224</v>
      </c>
      <c r="C1446" t="str">
        <f>HYPERLINK("http://service.sap.com/sap/support/notes/1933479","1933479")</f>
        <v>1933479</v>
      </c>
      <c r="D1446">
        <v>5</v>
      </c>
      <c r="E1446" t="s">
        <v>1935</v>
      </c>
      <c r="F1446" t="s">
        <v>17</v>
      </c>
    </row>
    <row r="1447" spans="1:6" x14ac:dyDescent="0.3">
      <c r="A1447" t="s">
        <v>223</v>
      </c>
      <c r="B1447" t="s">
        <v>224</v>
      </c>
      <c r="C1447" t="str">
        <f>HYPERLINK("http://service.sap.com/sap/support/notes/1934129","1934129")</f>
        <v>1934129</v>
      </c>
      <c r="D1447">
        <v>1</v>
      </c>
      <c r="E1447" t="s">
        <v>1936</v>
      </c>
      <c r="F1447" t="s">
        <v>17</v>
      </c>
    </row>
    <row r="1448" spans="1:6" x14ac:dyDescent="0.3">
      <c r="A1448" t="s">
        <v>235</v>
      </c>
      <c r="B1448" t="s">
        <v>236</v>
      </c>
      <c r="C1448" t="str">
        <f>HYPERLINK("http://service.sap.com/sap/support/notes/1455874","1455874")</f>
        <v>1455874</v>
      </c>
      <c r="D1448">
        <v>2</v>
      </c>
      <c r="E1448" t="s">
        <v>1937</v>
      </c>
      <c r="F1448" t="s">
        <v>13</v>
      </c>
    </row>
    <row r="1449" spans="1:6" x14ac:dyDescent="0.3">
      <c r="A1449" t="s">
        <v>235</v>
      </c>
      <c r="B1449" t="s">
        <v>236</v>
      </c>
      <c r="C1449" t="str">
        <f>HYPERLINK("http://service.sap.com/sap/support/notes/1780814","1780814")</f>
        <v>1780814</v>
      </c>
      <c r="D1449">
        <v>2</v>
      </c>
      <c r="E1449" t="s">
        <v>1938</v>
      </c>
      <c r="F1449" t="s">
        <v>13</v>
      </c>
    </row>
    <row r="1450" spans="1:6" x14ac:dyDescent="0.3">
      <c r="A1450" t="s">
        <v>235</v>
      </c>
      <c r="B1450" t="s">
        <v>236</v>
      </c>
      <c r="C1450" t="str">
        <f>HYPERLINK("http://service.sap.com/sap/support/notes/1880624","1880624")</f>
        <v>1880624</v>
      </c>
      <c r="D1450">
        <v>1</v>
      </c>
      <c r="E1450" t="s">
        <v>1939</v>
      </c>
      <c r="F1450" t="s">
        <v>13</v>
      </c>
    </row>
    <row r="1451" spans="1:6" x14ac:dyDescent="0.3">
      <c r="A1451" t="s">
        <v>242</v>
      </c>
      <c r="B1451" t="s">
        <v>243</v>
      </c>
      <c r="C1451" t="str">
        <f>HYPERLINK("http://service.sap.com/sap/support/notes/1942120","1942120")</f>
        <v>1942120</v>
      </c>
      <c r="D1451">
        <v>1</v>
      </c>
      <c r="E1451" t="s">
        <v>1940</v>
      </c>
      <c r="F1451" t="s">
        <v>13</v>
      </c>
    </row>
    <row r="1452" spans="1:6" x14ac:dyDescent="0.3">
      <c r="A1452" t="s">
        <v>247</v>
      </c>
      <c r="B1452" t="s">
        <v>138</v>
      </c>
      <c r="C1452" t="str">
        <f>HYPERLINK("http://service.sap.com/sap/support/notes/1865304","1865304")</f>
        <v>1865304</v>
      </c>
      <c r="D1452">
        <v>1</v>
      </c>
      <c r="E1452" t="s">
        <v>1941</v>
      </c>
      <c r="F1452" t="s">
        <v>13</v>
      </c>
    </row>
    <row r="1453" spans="1:6" x14ac:dyDescent="0.3">
      <c r="A1453" t="s">
        <v>247</v>
      </c>
      <c r="B1453" t="s">
        <v>138</v>
      </c>
      <c r="C1453" t="str">
        <f>HYPERLINK("http://service.sap.com/sap/support/notes/1897624","1897624")</f>
        <v>1897624</v>
      </c>
      <c r="D1453">
        <v>1</v>
      </c>
      <c r="E1453" t="s">
        <v>1942</v>
      </c>
      <c r="F1453" t="s">
        <v>13</v>
      </c>
    </row>
    <row r="1454" spans="1:6" x14ac:dyDescent="0.3">
      <c r="A1454" t="s">
        <v>247</v>
      </c>
      <c r="B1454" t="s">
        <v>138</v>
      </c>
      <c r="C1454" t="str">
        <f>HYPERLINK("http://service.sap.com/sap/support/notes/1947311","1947311")</f>
        <v>1947311</v>
      </c>
      <c r="D1454">
        <v>1</v>
      </c>
      <c r="E1454" t="s">
        <v>1943</v>
      </c>
      <c r="F1454" t="s">
        <v>13</v>
      </c>
    </row>
    <row r="1455" spans="1:6" x14ac:dyDescent="0.3">
      <c r="A1455" t="s">
        <v>247</v>
      </c>
      <c r="B1455" t="s">
        <v>138</v>
      </c>
      <c r="C1455" t="str">
        <f>HYPERLINK("http://service.sap.com/sap/support/notes/1949801","1949801")</f>
        <v>1949801</v>
      </c>
      <c r="D1455">
        <v>2</v>
      </c>
      <c r="E1455" t="s">
        <v>1944</v>
      </c>
      <c r="F1455" t="s">
        <v>13</v>
      </c>
    </row>
    <row r="1456" spans="1:6" x14ac:dyDescent="0.3">
      <c r="A1456" t="s">
        <v>249</v>
      </c>
      <c r="B1456" t="s">
        <v>250</v>
      </c>
      <c r="C1456" t="str">
        <f>HYPERLINK("http://service.sap.com/sap/support/notes/1798111","1798111")</f>
        <v>1798111</v>
      </c>
      <c r="D1456">
        <v>2</v>
      </c>
      <c r="E1456" t="s">
        <v>1945</v>
      </c>
      <c r="F1456" t="s">
        <v>13</v>
      </c>
    </row>
    <row r="1457" spans="1:6" x14ac:dyDescent="0.3">
      <c r="A1457" t="s">
        <v>254</v>
      </c>
      <c r="B1457" t="s">
        <v>255</v>
      </c>
      <c r="C1457" t="str">
        <f>HYPERLINK("http://service.sap.com/sap/support/notes/1885986","1885986")</f>
        <v>1885986</v>
      </c>
      <c r="D1457">
        <v>1</v>
      </c>
      <c r="E1457" t="s">
        <v>1946</v>
      </c>
      <c r="F1457" t="s">
        <v>13</v>
      </c>
    </row>
    <row r="1458" spans="1:6" x14ac:dyDescent="0.3">
      <c r="A1458" t="s">
        <v>254</v>
      </c>
      <c r="B1458" t="s">
        <v>255</v>
      </c>
      <c r="C1458" t="str">
        <f>HYPERLINK("http://service.sap.com/sap/support/notes/1913379","1913379")</f>
        <v>1913379</v>
      </c>
      <c r="D1458">
        <v>2</v>
      </c>
      <c r="E1458" t="s">
        <v>1947</v>
      </c>
      <c r="F1458" t="s">
        <v>17</v>
      </c>
    </row>
    <row r="1459" spans="1:6" x14ac:dyDescent="0.3">
      <c r="A1459" t="s">
        <v>254</v>
      </c>
      <c r="B1459" t="s">
        <v>255</v>
      </c>
      <c r="C1459" t="str">
        <f>HYPERLINK("http://service.sap.com/sap/support/notes/1921222","1921222")</f>
        <v>1921222</v>
      </c>
      <c r="D1459">
        <v>2</v>
      </c>
      <c r="E1459" t="s">
        <v>1948</v>
      </c>
      <c r="F1459" t="s">
        <v>17</v>
      </c>
    </row>
    <row r="1460" spans="1:6" x14ac:dyDescent="0.3">
      <c r="A1460" t="s">
        <v>254</v>
      </c>
      <c r="B1460" t="s">
        <v>255</v>
      </c>
      <c r="C1460" t="str">
        <f>HYPERLINK("http://service.sap.com/sap/support/notes/1929150","1929150")</f>
        <v>1929150</v>
      </c>
      <c r="D1460">
        <v>1</v>
      </c>
      <c r="E1460" t="s">
        <v>1949</v>
      </c>
      <c r="F1460" t="s">
        <v>17</v>
      </c>
    </row>
    <row r="1461" spans="1:6" x14ac:dyDescent="0.3">
      <c r="A1461" t="s">
        <v>262</v>
      </c>
      <c r="B1461" t="s">
        <v>263</v>
      </c>
    </row>
    <row r="1462" spans="1:6" x14ac:dyDescent="0.3">
      <c r="A1462" t="s">
        <v>264</v>
      </c>
      <c r="B1462" t="s">
        <v>265</v>
      </c>
      <c r="C1462" t="str">
        <f>HYPERLINK("http://service.sap.com/sap/support/notes/1759860","1759860")</f>
        <v>1759860</v>
      </c>
      <c r="D1462">
        <v>12</v>
      </c>
      <c r="E1462" t="s">
        <v>1950</v>
      </c>
      <c r="F1462" t="s">
        <v>11</v>
      </c>
    </row>
    <row r="1463" spans="1:6" x14ac:dyDescent="0.3">
      <c r="A1463" t="s">
        <v>264</v>
      </c>
      <c r="B1463" t="s">
        <v>265</v>
      </c>
      <c r="C1463" t="str">
        <f>HYPERLINK("http://service.sap.com/sap/support/notes/1801449","1801449")</f>
        <v>1801449</v>
      </c>
      <c r="D1463">
        <v>5</v>
      </c>
      <c r="E1463" t="s">
        <v>1951</v>
      </c>
      <c r="F1463" t="s">
        <v>17</v>
      </c>
    </row>
    <row r="1464" spans="1:6" x14ac:dyDescent="0.3">
      <c r="A1464" t="s">
        <v>264</v>
      </c>
      <c r="B1464" t="s">
        <v>265</v>
      </c>
      <c r="C1464" t="str">
        <f>HYPERLINK("http://service.sap.com/sap/support/notes/1839343","1839343")</f>
        <v>1839343</v>
      </c>
      <c r="D1464">
        <v>3</v>
      </c>
      <c r="E1464" t="s">
        <v>1952</v>
      </c>
      <c r="F1464" t="s">
        <v>11</v>
      </c>
    </row>
    <row r="1465" spans="1:6" x14ac:dyDescent="0.3">
      <c r="A1465" t="s">
        <v>264</v>
      </c>
      <c r="B1465" t="s">
        <v>265</v>
      </c>
      <c r="C1465" t="str">
        <f>HYPERLINK("http://service.sap.com/sap/support/notes/1866071","1866071")</f>
        <v>1866071</v>
      </c>
      <c r="D1465">
        <v>4</v>
      </c>
      <c r="E1465" t="s">
        <v>1953</v>
      </c>
      <c r="F1465" t="s">
        <v>17</v>
      </c>
    </row>
    <row r="1466" spans="1:6" x14ac:dyDescent="0.3">
      <c r="A1466" t="s">
        <v>264</v>
      </c>
      <c r="B1466" t="s">
        <v>265</v>
      </c>
      <c r="C1466" t="str">
        <f>HYPERLINK("http://service.sap.com/sap/support/notes/1879298","1879298")</f>
        <v>1879298</v>
      </c>
      <c r="D1466">
        <v>3</v>
      </c>
      <c r="E1466" t="s">
        <v>1954</v>
      </c>
      <c r="F1466" t="s">
        <v>17</v>
      </c>
    </row>
    <row r="1467" spans="1:6" x14ac:dyDescent="0.3">
      <c r="A1467" t="s">
        <v>264</v>
      </c>
      <c r="B1467" t="s">
        <v>265</v>
      </c>
      <c r="C1467" t="str">
        <f>HYPERLINK("http://service.sap.com/sap/support/notes/1886349","1886349")</f>
        <v>1886349</v>
      </c>
      <c r="D1467">
        <v>4</v>
      </c>
      <c r="E1467" t="s">
        <v>1955</v>
      </c>
      <c r="F1467" t="s">
        <v>13</v>
      </c>
    </row>
    <row r="1468" spans="1:6" x14ac:dyDescent="0.3">
      <c r="A1468" t="s">
        <v>264</v>
      </c>
      <c r="B1468" t="s">
        <v>265</v>
      </c>
      <c r="C1468" t="str">
        <f>HYPERLINK("http://service.sap.com/sap/support/notes/1910599","1910599")</f>
        <v>1910599</v>
      </c>
      <c r="D1468">
        <v>3</v>
      </c>
      <c r="E1468" t="s">
        <v>1956</v>
      </c>
      <c r="F1468" t="s">
        <v>17</v>
      </c>
    </row>
    <row r="1469" spans="1:6" x14ac:dyDescent="0.3">
      <c r="A1469" t="s">
        <v>264</v>
      </c>
      <c r="B1469" t="s">
        <v>265</v>
      </c>
      <c r="C1469" t="str">
        <f>HYPERLINK("http://service.sap.com/sap/support/notes/1913564","1913564")</f>
        <v>1913564</v>
      </c>
      <c r="D1469">
        <v>4</v>
      </c>
      <c r="E1469" t="s">
        <v>1957</v>
      </c>
      <c r="F1469" t="s">
        <v>17</v>
      </c>
    </row>
    <row r="1470" spans="1:6" x14ac:dyDescent="0.3">
      <c r="A1470" t="s">
        <v>264</v>
      </c>
      <c r="B1470" t="s">
        <v>265</v>
      </c>
      <c r="C1470" t="str">
        <f>HYPERLINK("http://service.sap.com/sap/support/notes/1914938","1914938")</f>
        <v>1914938</v>
      </c>
      <c r="D1470">
        <v>2</v>
      </c>
      <c r="E1470" t="s">
        <v>1958</v>
      </c>
      <c r="F1470" t="s">
        <v>17</v>
      </c>
    </row>
    <row r="1471" spans="1:6" x14ac:dyDescent="0.3">
      <c r="A1471" t="s">
        <v>264</v>
      </c>
      <c r="B1471" t="s">
        <v>265</v>
      </c>
      <c r="C1471" t="str">
        <f>HYPERLINK("http://service.sap.com/sap/support/notes/1916892","1916892")</f>
        <v>1916892</v>
      </c>
      <c r="D1471">
        <v>2</v>
      </c>
      <c r="E1471" t="s">
        <v>1959</v>
      </c>
      <c r="F1471" t="s">
        <v>17</v>
      </c>
    </row>
    <row r="1472" spans="1:6" x14ac:dyDescent="0.3">
      <c r="A1472" t="s">
        <v>264</v>
      </c>
      <c r="B1472" t="s">
        <v>265</v>
      </c>
      <c r="C1472" t="str">
        <f>HYPERLINK("http://service.sap.com/sap/support/notes/1920867","1920867")</f>
        <v>1920867</v>
      </c>
      <c r="D1472">
        <v>6</v>
      </c>
      <c r="E1472" t="s">
        <v>1960</v>
      </c>
      <c r="F1472" t="s">
        <v>11</v>
      </c>
    </row>
    <row r="1473" spans="1:6" x14ac:dyDescent="0.3">
      <c r="A1473" t="s">
        <v>264</v>
      </c>
      <c r="B1473" t="s">
        <v>265</v>
      </c>
      <c r="C1473" t="str">
        <f>HYPERLINK("http://service.sap.com/sap/support/notes/1922820","1922820")</f>
        <v>1922820</v>
      </c>
      <c r="D1473">
        <v>2</v>
      </c>
      <c r="E1473" t="s">
        <v>1961</v>
      </c>
      <c r="F1473" t="s">
        <v>11</v>
      </c>
    </row>
    <row r="1474" spans="1:6" x14ac:dyDescent="0.3">
      <c r="A1474" t="s">
        <v>264</v>
      </c>
      <c r="B1474" t="s">
        <v>265</v>
      </c>
      <c r="C1474" t="str">
        <f>HYPERLINK("http://service.sap.com/sap/support/notes/1927482","1927482")</f>
        <v>1927482</v>
      </c>
      <c r="D1474">
        <v>3</v>
      </c>
      <c r="E1474" t="s">
        <v>1962</v>
      </c>
      <c r="F1474" t="s">
        <v>11</v>
      </c>
    </row>
    <row r="1475" spans="1:6" x14ac:dyDescent="0.3">
      <c r="A1475" t="s">
        <v>264</v>
      </c>
      <c r="B1475" t="s">
        <v>265</v>
      </c>
      <c r="C1475" t="str">
        <f>HYPERLINK("http://service.sap.com/sap/support/notes/1933158","1933158")</f>
        <v>1933158</v>
      </c>
      <c r="D1475">
        <v>2</v>
      </c>
      <c r="E1475" t="s">
        <v>1963</v>
      </c>
      <c r="F1475" t="s">
        <v>11</v>
      </c>
    </row>
    <row r="1476" spans="1:6" x14ac:dyDescent="0.3">
      <c r="A1476" t="s">
        <v>264</v>
      </c>
      <c r="B1476" t="s">
        <v>265</v>
      </c>
      <c r="C1476" t="str">
        <f>HYPERLINK("http://service.sap.com/sap/support/notes/1937533","1937533")</f>
        <v>1937533</v>
      </c>
      <c r="D1476">
        <v>2</v>
      </c>
      <c r="E1476" t="s">
        <v>1964</v>
      </c>
      <c r="F1476" t="s">
        <v>17</v>
      </c>
    </row>
    <row r="1477" spans="1:6" x14ac:dyDescent="0.3">
      <c r="A1477" t="s">
        <v>264</v>
      </c>
      <c r="B1477" t="s">
        <v>265</v>
      </c>
      <c r="C1477" t="str">
        <f>HYPERLINK("http://service.sap.com/sap/support/notes/1946229","1946229")</f>
        <v>1946229</v>
      </c>
      <c r="D1477">
        <v>1</v>
      </c>
      <c r="E1477" t="s">
        <v>1965</v>
      </c>
      <c r="F1477" t="s">
        <v>17</v>
      </c>
    </row>
    <row r="1478" spans="1:6" x14ac:dyDescent="0.3">
      <c r="A1478" t="s">
        <v>264</v>
      </c>
      <c r="B1478" t="s">
        <v>265</v>
      </c>
      <c r="C1478" t="str">
        <f>HYPERLINK("http://service.sap.com/sap/support/notes/1946956","1946956")</f>
        <v>1946956</v>
      </c>
      <c r="D1478">
        <v>3</v>
      </c>
      <c r="E1478" t="s">
        <v>1966</v>
      </c>
      <c r="F1478" t="s">
        <v>17</v>
      </c>
    </row>
    <row r="1479" spans="1:6" x14ac:dyDescent="0.3">
      <c r="A1479" t="s">
        <v>264</v>
      </c>
      <c r="B1479" t="s">
        <v>265</v>
      </c>
      <c r="C1479" t="str">
        <f>HYPERLINK("http://service.sap.com/sap/support/notes/1947318","1947318")</f>
        <v>1947318</v>
      </c>
      <c r="D1479">
        <v>1</v>
      </c>
      <c r="E1479" t="s">
        <v>1967</v>
      </c>
      <c r="F1479" t="s">
        <v>17</v>
      </c>
    </row>
    <row r="1480" spans="1:6" x14ac:dyDescent="0.3">
      <c r="A1480" t="s">
        <v>264</v>
      </c>
      <c r="B1480" t="s">
        <v>265</v>
      </c>
      <c r="C1480" t="str">
        <f>HYPERLINK("http://service.sap.com/sap/support/notes/1950694","1950694")</f>
        <v>1950694</v>
      </c>
      <c r="D1480">
        <v>3</v>
      </c>
      <c r="E1480" t="s">
        <v>1968</v>
      </c>
      <c r="F1480" t="s">
        <v>17</v>
      </c>
    </row>
    <row r="1481" spans="1:6" x14ac:dyDescent="0.3">
      <c r="A1481" t="s">
        <v>280</v>
      </c>
      <c r="B1481" t="s">
        <v>281</v>
      </c>
      <c r="C1481" t="str">
        <f>HYPERLINK("http://service.sap.com/sap/support/notes/1920815","1920815")</f>
        <v>1920815</v>
      </c>
      <c r="D1481">
        <v>1</v>
      </c>
      <c r="E1481" t="s">
        <v>1969</v>
      </c>
      <c r="F1481" t="s">
        <v>13</v>
      </c>
    </row>
    <row r="1482" spans="1:6" x14ac:dyDescent="0.3">
      <c r="A1482" t="s">
        <v>288</v>
      </c>
      <c r="B1482" t="s">
        <v>289</v>
      </c>
      <c r="C1482" t="str">
        <f>HYPERLINK("http://service.sap.com/sap/support/notes/1641508","1641508")</f>
        <v>1641508</v>
      </c>
      <c r="D1482">
        <v>8</v>
      </c>
      <c r="E1482" t="s">
        <v>292</v>
      </c>
      <c r="F1482" t="s">
        <v>13</v>
      </c>
    </row>
    <row r="1483" spans="1:6" x14ac:dyDescent="0.3">
      <c r="A1483" t="s">
        <v>288</v>
      </c>
      <c r="B1483" t="s">
        <v>289</v>
      </c>
      <c r="C1483" t="str">
        <f>HYPERLINK("http://service.sap.com/sap/support/notes/1917409","1917409")</f>
        <v>1917409</v>
      </c>
      <c r="D1483">
        <v>2</v>
      </c>
      <c r="E1483" t="s">
        <v>1970</v>
      </c>
      <c r="F1483" t="s">
        <v>13</v>
      </c>
    </row>
    <row r="1484" spans="1:6" x14ac:dyDescent="0.3">
      <c r="A1484" t="s">
        <v>288</v>
      </c>
      <c r="B1484" t="s">
        <v>289</v>
      </c>
      <c r="C1484" t="str">
        <f>HYPERLINK("http://service.sap.com/sap/support/notes/1918600","1918600")</f>
        <v>1918600</v>
      </c>
      <c r="D1484">
        <v>4</v>
      </c>
      <c r="E1484" t="s">
        <v>1971</v>
      </c>
      <c r="F1484" t="s">
        <v>13</v>
      </c>
    </row>
    <row r="1485" spans="1:6" x14ac:dyDescent="0.3">
      <c r="A1485" t="s">
        <v>301</v>
      </c>
      <c r="B1485" t="s">
        <v>302</v>
      </c>
      <c r="C1485" t="str">
        <f>HYPERLINK("http://service.sap.com/sap/support/notes/1912639","1912639")</f>
        <v>1912639</v>
      </c>
      <c r="D1485">
        <v>1</v>
      </c>
      <c r="E1485" t="s">
        <v>1972</v>
      </c>
      <c r="F1485" t="s">
        <v>17</v>
      </c>
    </row>
    <row r="1486" spans="1:6" x14ac:dyDescent="0.3">
      <c r="A1486" t="s">
        <v>301</v>
      </c>
      <c r="B1486" t="s">
        <v>302</v>
      </c>
      <c r="C1486" t="str">
        <f>HYPERLINK("http://service.sap.com/sap/support/notes/1914624","1914624")</f>
        <v>1914624</v>
      </c>
      <c r="D1486">
        <v>1</v>
      </c>
      <c r="E1486" t="s">
        <v>1973</v>
      </c>
      <c r="F1486" t="s">
        <v>17</v>
      </c>
    </row>
    <row r="1487" spans="1:6" x14ac:dyDescent="0.3">
      <c r="A1487" t="s">
        <v>301</v>
      </c>
      <c r="B1487" t="s">
        <v>302</v>
      </c>
      <c r="C1487" t="str">
        <f>HYPERLINK("http://service.sap.com/sap/support/notes/1926835","1926835")</f>
        <v>1926835</v>
      </c>
      <c r="D1487">
        <v>3</v>
      </c>
      <c r="E1487" t="s">
        <v>1974</v>
      </c>
      <c r="F1487" t="s">
        <v>17</v>
      </c>
    </row>
    <row r="1488" spans="1:6" x14ac:dyDescent="0.3">
      <c r="A1488" t="s">
        <v>301</v>
      </c>
      <c r="B1488" t="s">
        <v>302</v>
      </c>
      <c r="C1488" t="str">
        <f>HYPERLINK("http://service.sap.com/sap/support/notes/1927472","1927472")</f>
        <v>1927472</v>
      </c>
      <c r="D1488">
        <v>3</v>
      </c>
      <c r="E1488" t="s">
        <v>1975</v>
      </c>
      <c r="F1488" t="s">
        <v>17</v>
      </c>
    </row>
    <row r="1489" spans="1:6" x14ac:dyDescent="0.3">
      <c r="A1489" t="s">
        <v>301</v>
      </c>
      <c r="B1489" t="s">
        <v>302</v>
      </c>
      <c r="C1489" t="str">
        <f>HYPERLINK("http://service.sap.com/sap/support/notes/1929371","1929371")</f>
        <v>1929371</v>
      </c>
      <c r="D1489">
        <v>1</v>
      </c>
      <c r="E1489" t="s">
        <v>1976</v>
      </c>
      <c r="F1489" t="s">
        <v>11</v>
      </c>
    </row>
    <row r="1490" spans="1:6" x14ac:dyDescent="0.3">
      <c r="A1490" t="s">
        <v>301</v>
      </c>
      <c r="B1490" t="s">
        <v>302</v>
      </c>
      <c r="C1490" t="str">
        <f>HYPERLINK("http://service.sap.com/sap/support/notes/1932605","1932605")</f>
        <v>1932605</v>
      </c>
      <c r="D1490">
        <v>2</v>
      </c>
      <c r="E1490" t="s">
        <v>1977</v>
      </c>
      <c r="F1490" t="s">
        <v>17</v>
      </c>
    </row>
    <row r="1491" spans="1:6" x14ac:dyDescent="0.3">
      <c r="A1491" t="s">
        <v>301</v>
      </c>
      <c r="B1491" t="s">
        <v>302</v>
      </c>
      <c r="C1491" t="str">
        <f>HYPERLINK("http://service.sap.com/sap/support/notes/1935143","1935143")</f>
        <v>1935143</v>
      </c>
      <c r="D1491">
        <v>2</v>
      </c>
      <c r="E1491" t="s">
        <v>1978</v>
      </c>
      <c r="F1491" t="s">
        <v>13</v>
      </c>
    </row>
    <row r="1492" spans="1:6" x14ac:dyDescent="0.3">
      <c r="A1492" t="s">
        <v>301</v>
      </c>
      <c r="B1492" t="s">
        <v>302</v>
      </c>
      <c r="C1492" t="str">
        <f>HYPERLINK("http://service.sap.com/sap/support/notes/1936487","1936487")</f>
        <v>1936487</v>
      </c>
      <c r="D1492">
        <v>2</v>
      </c>
      <c r="E1492" t="s">
        <v>1979</v>
      </c>
      <c r="F1492" t="s">
        <v>17</v>
      </c>
    </row>
    <row r="1493" spans="1:6" x14ac:dyDescent="0.3">
      <c r="A1493" t="s">
        <v>324</v>
      </c>
      <c r="B1493" t="s">
        <v>325</v>
      </c>
      <c r="C1493" t="str">
        <f>HYPERLINK("http://service.sap.com/sap/support/notes/1920978","1920978")</f>
        <v>1920978</v>
      </c>
      <c r="D1493">
        <v>2</v>
      </c>
      <c r="E1493" t="s">
        <v>1980</v>
      </c>
      <c r="F1493" t="s">
        <v>17</v>
      </c>
    </row>
    <row r="1494" spans="1:6" x14ac:dyDescent="0.3">
      <c r="A1494" t="s">
        <v>328</v>
      </c>
      <c r="B1494" t="s">
        <v>329</v>
      </c>
      <c r="C1494" t="str">
        <f>HYPERLINK("http://service.sap.com/sap/support/notes/1915454","1915454")</f>
        <v>1915454</v>
      </c>
      <c r="D1494">
        <v>1</v>
      </c>
      <c r="E1494" t="s">
        <v>1981</v>
      </c>
      <c r="F1494" t="s">
        <v>17</v>
      </c>
    </row>
    <row r="1495" spans="1:6" x14ac:dyDescent="0.3">
      <c r="A1495" t="s">
        <v>332</v>
      </c>
      <c r="B1495" t="s">
        <v>333</v>
      </c>
      <c r="C1495" t="str">
        <f>HYPERLINK("http://service.sap.com/sap/support/notes/1905252","1905252")</f>
        <v>1905252</v>
      </c>
      <c r="D1495">
        <v>3</v>
      </c>
      <c r="E1495" t="s">
        <v>1982</v>
      </c>
      <c r="F1495" t="s">
        <v>13</v>
      </c>
    </row>
    <row r="1496" spans="1:6" x14ac:dyDescent="0.3">
      <c r="A1496" t="s">
        <v>332</v>
      </c>
      <c r="B1496" t="s">
        <v>333</v>
      </c>
      <c r="C1496" t="str">
        <f>HYPERLINK("http://service.sap.com/sap/support/notes/1910603","1910603")</f>
        <v>1910603</v>
      </c>
      <c r="D1496">
        <v>1</v>
      </c>
      <c r="E1496" t="s">
        <v>1983</v>
      </c>
      <c r="F1496" t="s">
        <v>17</v>
      </c>
    </row>
    <row r="1497" spans="1:6" x14ac:dyDescent="0.3">
      <c r="A1497" t="s">
        <v>332</v>
      </c>
      <c r="B1497" t="s">
        <v>333</v>
      </c>
      <c r="C1497" t="str">
        <f>HYPERLINK("http://service.sap.com/sap/support/notes/1924849","1924849")</f>
        <v>1924849</v>
      </c>
      <c r="D1497">
        <v>2</v>
      </c>
      <c r="E1497" t="s">
        <v>1984</v>
      </c>
      <c r="F1497" t="s">
        <v>17</v>
      </c>
    </row>
    <row r="1498" spans="1:6" x14ac:dyDescent="0.3">
      <c r="A1498" t="s">
        <v>332</v>
      </c>
      <c r="B1498" t="s">
        <v>333</v>
      </c>
      <c r="C1498" t="str">
        <f>HYPERLINK("http://service.sap.com/sap/support/notes/1937923","1937923")</f>
        <v>1937923</v>
      </c>
      <c r="D1498">
        <v>1</v>
      </c>
      <c r="E1498" t="s">
        <v>1985</v>
      </c>
      <c r="F1498" t="s">
        <v>17</v>
      </c>
    </row>
    <row r="1499" spans="1:6" x14ac:dyDescent="0.3">
      <c r="A1499" t="s">
        <v>332</v>
      </c>
      <c r="B1499" t="s">
        <v>333</v>
      </c>
      <c r="C1499" t="str">
        <f>HYPERLINK("http://service.sap.com/sap/support/notes/1939357","1939357")</f>
        <v>1939357</v>
      </c>
      <c r="D1499">
        <v>1</v>
      </c>
      <c r="E1499" t="s">
        <v>1986</v>
      </c>
      <c r="F1499" t="s">
        <v>17</v>
      </c>
    </row>
    <row r="1500" spans="1:6" x14ac:dyDescent="0.3">
      <c r="A1500" t="s">
        <v>338</v>
      </c>
      <c r="B1500" t="s">
        <v>339</v>
      </c>
    </row>
    <row r="1501" spans="1:6" x14ac:dyDescent="0.3">
      <c r="A1501" t="s">
        <v>355</v>
      </c>
      <c r="B1501" t="s">
        <v>356</v>
      </c>
    </row>
    <row r="1502" spans="1:6" x14ac:dyDescent="0.3">
      <c r="A1502" t="s">
        <v>357</v>
      </c>
      <c r="B1502" t="s">
        <v>358</v>
      </c>
      <c r="C1502" t="str">
        <f>HYPERLINK("http://service.sap.com/sap/support/notes/1898750","1898750")</f>
        <v>1898750</v>
      </c>
      <c r="D1502">
        <v>3</v>
      </c>
      <c r="E1502" t="s">
        <v>1987</v>
      </c>
      <c r="F1502" t="s">
        <v>13</v>
      </c>
    </row>
    <row r="1503" spans="1:6" x14ac:dyDescent="0.3">
      <c r="A1503" t="s">
        <v>360</v>
      </c>
      <c r="B1503" t="s">
        <v>361</v>
      </c>
    </row>
    <row r="1504" spans="1:6" x14ac:dyDescent="0.3">
      <c r="A1504" t="s">
        <v>362</v>
      </c>
      <c r="B1504" t="s">
        <v>363</v>
      </c>
    </row>
    <row r="1505" spans="1:6" x14ac:dyDescent="0.3">
      <c r="A1505" t="s">
        <v>369</v>
      </c>
      <c r="B1505" t="s">
        <v>370</v>
      </c>
      <c r="C1505" t="str">
        <f>HYPERLINK("http://service.sap.com/sap/support/notes/1921610","1921610")</f>
        <v>1921610</v>
      </c>
      <c r="D1505">
        <v>1</v>
      </c>
      <c r="E1505" t="s">
        <v>1988</v>
      </c>
      <c r="F1505" t="s">
        <v>13</v>
      </c>
    </row>
    <row r="1506" spans="1:6" x14ac:dyDescent="0.3">
      <c r="A1506" t="s">
        <v>369</v>
      </c>
      <c r="B1506" t="s">
        <v>370</v>
      </c>
      <c r="C1506" t="str">
        <f>HYPERLINK("http://service.sap.com/sap/support/notes/1927433","1927433")</f>
        <v>1927433</v>
      </c>
      <c r="D1506">
        <v>2</v>
      </c>
      <c r="E1506" t="s">
        <v>1989</v>
      </c>
      <c r="F1506" t="s">
        <v>17</v>
      </c>
    </row>
    <row r="1507" spans="1:6" x14ac:dyDescent="0.3">
      <c r="A1507" t="s">
        <v>369</v>
      </c>
      <c r="B1507" t="s">
        <v>370</v>
      </c>
      <c r="C1507" t="str">
        <f>HYPERLINK("http://service.sap.com/sap/support/notes/1934763","1934763")</f>
        <v>1934763</v>
      </c>
      <c r="D1507">
        <v>2</v>
      </c>
      <c r="E1507" t="s">
        <v>1990</v>
      </c>
      <c r="F1507" t="s">
        <v>17</v>
      </c>
    </row>
    <row r="1508" spans="1:6" x14ac:dyDescent="0.3">
      <c r="A1508" t="s">
        <v>376</v>
      </c>
      <c r="B1508" t="s">
        <v>377</v>
      </c>
    </row>
    <row r="1509" spans="1:6" x14ac:dyDescent="0.3">
      <c r="A1509" t="s">
        <v>386</v>
      </c>
      <c r="B1509" t="s">
        <v>387</v>
      </c>
      <c r="C1509" t="str">
        <f>HYPERLINK("http://service.sap.com/sap/support/notes/1539718","1539718")</f>
        <v>1539718</v>
      </c>
      <c r="D1509">
        <v>2</v>
      </c>
      <c r="E1509" t="s">
        <v>1991</v>
      </c>
      <c r="F1509" t="s">
        <v>13</v>
      </c>
    </row>
    <row r="1510" spans="1:6" x14ac:dyDescent="0.3">
      <c r="A1510" t="s">
        <v>386</v>
      </c>
      <c r="B1510" t="s">
        <v>387</v>
      </c>
      <c r="C1510" t="str">
        <f>HYPERLINK("http://service.sap.com/sap/support/notes/1920486","1920486")</f>
        <v>1920486</v>
      </c>
      <c r="D1510">
        <v>1</v>
      </c>
      <c r="E1510" t="s">
        <v>1992</v>
      </c>
      <c r="F1510" t="s">
        <v>13</v>
      </c>
    </row>
    <row r="1511" spans="1:6" x14ac:dyDescent="0.3">
      <c r="A1511" t="s">
        <v>386</v>
      </c>
      <c r="B1511" t="s">
        <v>387</v>
      </c>
      <c r="C1511" t="str">
        <f>HYPERLINK("http://service.sap.com/sap/support/notes/1930225","1930225")</f>
        <v>1930225</v>
      </c>
      <c r="D1511">
        <v>1</v>
      </c>
      <c r="E1511" t="s">
        <v>1993</v>
      </c>
      <c r="F1511" t="s">
        <v>13</v>
      </c>
    </row>
    <row r="1512" spans="1:6" x14ac:dyDescent="0.3">
      <c r="A1512" t="s">
        <v>386</v>
      </c>
      <c r="B1512" t="s">
        <v>387</v>
      </c>
      <c r="C1512" t="str">
        <f>HYPERLINK("http://service.sap.com/sap/support/notes/1937231","1937231")</f>
        <v>1937231</v>
      </c>
      <c r="D1512">
        <v>1</v>
      </c>
      <c r="E1512" t="s">
        <v>1994</v>
      </c>
      <c r="F1512" t="s">
        <v>13</v>
      </c>
    </row>
    <row r="1513" spans="1:6" x14ac:dyDescent="0.3">
      <c r="A1513" t="s">
        <v>386</v>
      </c>
      <c r="B1513" t="s">
        <v>387</v>
      </c>
      <c r="C1513" t="str">
        <f>HYPERLINK("http://service.sap.com/sap/support/notes/1938587","1938587")</f>
        <v>1938587</v>
      </c>
      <c r="D1513">
        <v>2</v>
      </c>
      <c r="E1513" t="s">
        <v>1995</v>
      </c>
      <c r="F1513" t="s">
        <v>13</v>
      </c>
    </row>
    <row r="1514" spans="1:6" x14ac:dyDescent="0.3">
      <c r="A1514" t="s">
        <v>1996</v>
      </c>
      <c r="B1514" t="s">
        <v>1997</v>
      </c>
      <c r="C1514" t="str">
        <f>HYPERLINK("http://service.sap.com/sap/support/notes/1927386","1927386")</f>
        <v>1927386</v>
      </c>
      <c r="D1514">
        <v>1</v>
      </c>
      <c r="E1514" t="s">
        <v>1998</v>
      </c>
      <c r="F1514" t="s">
        <v>13</v>
      </c>
    </row>
    <row r="1515" spans="1:6" x14ac:dyDescent="0.3">
      <c r="A1515" t="s">
        <v>394</v>
      </c>
      <c r="B1515" t="s">
        <v>395</v>
      </c>
    </row>
    <row r="1516" spans="1:6" x14ac:dyDescent="0.3">
      <c r="A1516" t="s">
        <v>396</v>
      </c>
      <c r="B1516" t="s">
        <v>397</v>
      </c>
      <c r="C1516" t="str">
        <f>HYPERLINK("http://service.sap.com/sap/support/notes/1897862","1897862")</f>
        <v>1897862</v>
      </c>
      <c r="D1516">
        <v>1</v>
      </c>
      <c r="E1516" t="s">
        <v>1999</v>
      </c>
      <c r="F1516" t="s">
        <v>17</v>
      </c>
    </row>
    <row r="1517" spans="1:6" x14ac:dyDescent="0.3">
      <c r="A1517" t="s">
        <v>396</v>
      </c>
      <c r="B1517" t="s">
        <v>397</v>
      </c>
      <c r="C1517" t="str">
        <f>HYPERLINK("http://service.sap.com/sap/support/notes/1930496","1930496")</f>
        <v>1930496</v>
      </c>
      <c r="D1517">
        <v>1</v>
      </c>
      <c r="E1517" t="s">
        <v>2000</v>
      </c>
      <c r="F1517" t="s">
        <v>17</v>
      </c>
    </row>
    <row r="1518" spans="1:6" x14ac:dyDescent="0.3">
      <c r="A1518" t="s">
        <v>396</v>
      </c>
      <c r="B1518" t="s">
        <v>397</v>
      </c>
      <c r="C1518" t="str">
        <f>HYPERLINK("http://service.sap.com/sap/support/notes/1933129","1933129")</f>
        <v>1933129</v>
      </c>
      <c r="D1518">
        <v>1</v>
      </c>
      <c r="E1518" t="s">
        <v>2001</v>
      </c>
      <c r="F1518" t="s">
        <v>17</v>
      </c>
    </row>
    <row r="1519" spans="1:6" x14ac:dyDescent="0.3">
      <c r="A1519" t="s">
        <v>409</v>
      </c>
      <c r="B1519" t="s">
        <v>138</v>
      </c>
      <c r="C1519" t="str">
        <f>HYPERLINK("http://service.sap.com/sap/support/notes/1900480","1900480")</f>
        <v>1900480</v>
      </c>
      <c r="D1519">
        <v>2</v>
      </c>
      <c r="E1519" t="s">
        <v>2002</v>
      </c>
      <c r="F1519" t="s">
        <v>17</v>
      </c>
    </row>
    <row r="1520" spans="1:6" x14ac:dyDescent="0.3">
      <c r="A1520" t="s">
        <v>409</v>
      </c>
      <c r="B1520" t="s">
        <v>138</v>
      </c>
      <c r="C1520" t="str">
        <f>HYPERLINK("http://service.sap.com/sap/support/notes/1906817","1906817")</f>
        <v>1906817</v>
      </c>
      <c r="D1520">
        <v>1</v>
      </c>
      <c r="E1520" t="s">
        <v>2003</v>
      </c>
      <c r="F1520" t="s">
        <v>17</v>
      </c>
    </row>
    <row r="1521" spans="1:6" x14ac:dyDescent="0.3">
      <c r="A1521" t="s">
        <v>409</v>
      </c>
      <c r="B1521" t="s">
        <v>138</v>
      </c>
      <c r="C1521" t="str">
        <f>HYPERLINK("http://service.sap.com/sap/support/notes/1923123","1923123")</f>
        <v>1923123</v>
      </c>
      <c r="D1521">
        <v>1</v>
      </c>
      <c r="E1521" t="s">
        <v>2004</v>
      </c>
      <c r="F1521" t="s">
        <v>17</v>
      </c>
    </row>
    <row r="1522" spans="1:6" x14ac:dyDescent="0.3">
      <c r="A1522" t="s">
        <v>409</v>
      </c>
      <c r="B1522" t="s">
        <v>138</v>
      </c>
      <c r="C1522" t="str">
        <f>HYPERLINK("http://service.sap.com/sap/support/notes/1942573","1942573")</f>
        <v>1942573</v>
      </c>
      <c r="D1522">
        <v>3</v>
      </c>
      <c r="E1522" t="s">
        <v>2005</v>
      </c>
      <c r="F1522" t="s">
        <v>17</v>
      </c>
    </row>
    <row r="1523" spans="1:6" x14ac:dyDescent="0.3">
      <c r="A1523" t="s">
        <v>426</v>
      </c>
      <c r="B1523" t="s">
        <v>61</v>
      </c>
    </row>
    <row r="1524" spans="1:6" x14ac:dyDescent="0.3">
      <c r="A1524" t="s">
        <v>427</v>
      </c>
      <c r="B1524" t="s">
        <v>63</v>
      </c>
      <c r="C1524" t="str">
        <f>HYPERLINK("http://service.sap.com/sap/support/notes/1930094","1930094")</f>
        <v>1930094</v>
      </c>
      <c r="D1524">
        <v>1</v>
      </c>
      <c r="E1524" t="s">
        <v>2006</v>
      </c>
      <c r="F1524" t="s">
        <v>17</v>
      </c>
    </row>
    <row r="1525" spans="1:6" x14ac:dyDescent="0.3">
      <c r="A1525" t="s">
        <v>427</v>
      </c>
      <c r="B1525" t="s">
        <v>63</v>
      </c>
      <c r="C1525" t="str">
        <f>HYPERLINK("http://service.sap.com/sap/support/notes/1934212","1934212")</f>
        <v>1934212</v>
      </c>
      <c r="D1525">
        <v>2</v>
      </c>
      <c r="E1525" t="s">
        <v>2007</v>
      </c>
      <c r="F1525" t="s">
        <v>11</v>
      </c>
    </row>
    <row r="1526" spans="1:6" x14ac:dyDescent="0.3">
      <c r="A1526" t="s">
        <v>427</v>
      </c>
      <c r="B1526" t="s">
        <v>63</v>
      </c>
      <c r="C1526" t="str">
        <f>HYPERLINK("http://service.sap.com/sap/support/notes/1939592","1939592")</f>
        <v>1939592</v>
      </c>
      <c r="D1526">
        <v>15</v>
      </c>
      <c r="E1526" t="s">
        <v>2008</v>
      </c>
      <c r="F1526" t="s">
        <v>94</v>
      </c>
    </row>
    <row r="1527" spans="1:6" x14ac:dyDescent="0.3">
      <c r="A1527" t="s">
        <v>427</v>
      </c>
      <c r="B1527" t="s">
        <v>63</v>
      </c>
      <c r="C1527" t="str">
        <f>HYPERLINK("http://service.sap.com/sap/support/notes/1945856","1945856")</f>
        <v>1945856</v>
      </c>
      <c r="D1527">
        <v>2</v>
      </c>
      <c r="E1527" t="s">
        <v>2009</v>
      </c>
      <c r="F1527" t="s">
        <v>17</v>
      </c>
    </row>
    <row r="1528" spans="1:6" x14ac:dyDescent="0.3">
      <c r="A1528" t="s">
        <v>427</v>
      </c>
      <c r="B1528" t="s">
        <v>63</v>
      </c>
      <c r="C1528" t="str">
        <f>HYPERLINK("http://service.sap.com/sap/support/notes/1949148","1949148")</f>
        <v>1949148</v>
      </c>
      <c r="D1528">
        <v>1</v>
      </c>
      <c r="E1528" t="s">
        <v>2010</v>
      </c>
      <c r="F1528" t="s">
        <v>17</v>
      </c>
    </row>
    <row r="1529" spans="1:6" x14ac:dyDescent="0.3">
      <c r="A1529" t="s">
        <v>427</v>
      </c>
      <c r="B1529" t="s">
        <v>63</v>
      </c>
      <c r="C1529" t="str">
        <f>HYPERLINK("http://service.sap.com/sap/support/notes/1951069","1951069")</f>
        <v>1951069</v>
      </c>
      <c r="D1529">
        <v>2</v>
      </c>
      <c r="E1529" t="s">
        <v>2011</v>
      </c>
      <c r="F1529" t="s">
        <v>17</v>
      </c>
    </row>
    <row r="1530" spans="1:6" x14ac:dyDescent="0.3">
      <c r="A1530" t="s">
        <v>441</v>
      </c>
      <c r="B1530" t="s">
        <v>346</v>
      </c>
      <c r="C1530" t="str">
        <f>HYPERLINK("http://service.sap.com/sap/support/notes/1931437","1931437")</f>
        <v>1931437</v>
      </c>
      <c r="D1530">
        <v>2</v>
      </c>
      <c r="E1530" t="s">
        <v>2012</v>
      </c>
      <c r="F1530" t="s">
        <v>17</v>
      </c>
    </row>
    <row r="1531" spans="1:6" x14ac:dyDescent="0.3">
      <c r="A1531" t="s">
        <v>441</v>
      </c>
      <c r="B1531" t="s">
        <v>346</v>
      </c>
      <c r="C1531" t="str">
        <f>HYPERLINK("http://service.sap.com/sap/support/notes/1942468","1942468")</f>
        <v>1942468</v>
      </c>
      <c r="D1531">
        <v>2</v>
      </c>
      <c r="E1531" t="s">
        <v>2013</v>
      </c>
      <c r="F1531" t="s">
        <v>17</v>
      </c>
    </row>
    <row r="1532" spans="1:6" x14ac:dyDescent="0.3">
      <c r="A1532" t="s">
        <v>441</v>
      </c>
      <c r="B1532" t="s">
        <v>346</v>
      </c>
      <c r="C1532" t="str">
        <f>HYPERLINK("http://service.sap.com/sap/support/notes/1942778","1942778")</f>
        <v>1942778</v>
      </c>
      <c r="D1532">
        <v>1</v>
      </c>
      <c r="E1532" t="s">
        <v>2014</v>
      </c>
      <c r="F1532" t="s">
        <v>17</v>
      </c>
    </row>
    <row r="1533" spans="1:6" x14ac:dyDescent="0.3">
      <c r="A1533" t="s">
        <v>441</v>
      </c>
      <c r="B1533" t="s">
        <v>346</v>
      </c>
      <c r="C1533" t="str">
        <f>HYPERLINK("http://service.sap.com/sap/support/notes/1947507","1947507")</f>
        <v>1947507</v>
      </c>
      <c r="D1533">
        <v>2</v>
      </c>
      <c r="E1533" t="s">
        <v>2015</v>
      </c>
      <c r="F1533" t="s">
        <v>17</v>
      </c>
    </row>
    <row r="1534" spans="1:6" x14ac:dyDescent="0.3">
      <c r="A1534" t="s">
        <v>441</v>
      </c>
      <c r="B1534" t="s">
        <v>346</v>
      </c>
      <c r="C1534" t="str">
        <f>HYPERLINK("http://service.sap.com/sap/support/notes/1948020","1948020")</f>
        <v>1948020</v>
      </c>
      <c r="D1534">
        <v>1</v>
      </c>
      <c r="E1534" t="s">
        <v>2016</v>
      </c>
      <c r="F1534" t="s">
        <v>13</v>
      </c>
    </row>
    <row r="1535" spans="1:6" x14ac:dyDescent="0.3">
      <c r="A1535" t="s">
        <v>441</v>
      </c>
      <c r="B1535" t="s">
        <v>346</v>
      </c>
      <c r="C1535" t="str">
        <f>HYPERLINK("http://service.sap.com/sap/support/notes/1951953","1951953")</f>
        <v>1951953</v>
      </c>
      <c r="D1535">
        <v>2</v>
      </c>
      <c r="E1535" t="s">
        <v>2017</v>
      </c>
      <c r="F1535" t="s">
        <v>17</v>
      </c>
    </row>
    <row r="1536" spans="1:6" x14ac:dyDescent="0.3">
      <c r="A1536" t="s">
        <v>451</v>
      </c>
      <c r="B1536" t="s">
        <v>138</v>
      </c>
      <c r="C1536" t="str">
        <f>HYPERLINK("http://service.sap.com/sap/support/notes/1387095","1387095")</f>
        <v>1387095</v>
      </c>
      <c r="D1536">
        <v>3</v>
      </c>
      <c r="E1536" t="s">
        <v>2018</v>
      </c>
      <c r="F1536" t="s">
        <v>17</v>
      </c>
    </row>
    <row r="1537" spans="1:6" x14ac:dyDescent="0.3">
      <c r="A1537" t="s">
        <v>451</v>
      </c>
      <c r="B1537" t="s">
        <v>138</v>
      </c>
      <c r="C1537" t="str">
        <f>HYPERLINK("http://service.sap.com/sap/support/notes/1795144","1795144")</f>
        <v>1795144</v>
      </c>
      <c r="D1537">
        <v>2</v>
      </c>
      <c r="E1537" t="s">
        <v>2019</v>
      </c>
      <c r="F1537" t="s">
        <v>13</v>
      </c>
    </row>
    <row r="1538" spans="1:6" x14ac:dyDescent="0.3">
      <c r="A1538" t="s">
        <v>451</v>
      </c>
      <c r="B1538" t="s">
        <v>138</v>
      </c>
      <c r="C1538" t="str">
        <f>HYPERLINK("http://service.sap.com/sap/support/notes/1917362","1917362")</f>
        <v>1917362</v>
      </c>
      <c r="D1538">
        <v>1</v>
      </c>
      <c r="E1538" t="s">
        <v>2020</v>
      </c>
      <c r="F1538" t="s">
        <v>17</v>
      </c>
    </row>
    <row r="1539" spans="1:6" x14ac:dyDescent="0.3">
      <c r="A1539" t="s">
        <v>451</v>
      </c>
      <c r="B1539" t="s">
        <v>138</v>
      </c>
      <c r="C1539" t="str">
        <f>HYPERLINK("http://service.sap.com/sap/support/notes/1919410","1919410")</f>
        <v>1919410</v>
      </c>
      <c r="D1539">
        <v>1</v>
      </c>
      <c r="E1539" t="s">
        <v>2021</v>
      </c>
      <c r="F1539" t="s">
        <v>17</v>
      </c>
    </row>
    <row r="1540" spans="1:6" x14ac:dyDescent="0.3">
      <c r="A1540" t="s">
        <v>451</v>
      </c>
      <c r="B1540" t="s">
        <v>138</v>
      </c>
      <c r="C1540" t="str">
        <f>HYPERLINK("http://service.sap.com/sap/support/notes/1920342","1920342")</f>
        <v>1920342</v>
      </c>
      <c r="D1540">
        <v>1</v>
      </c>
      <c r="E1540" t="s">
        <v>2022</v>
      </c>
      <c r="F1540" t="s">
        <v>17</v>
      </c>
    </row>
    <row r="1541" spans="1:6" x14ac:dyDescent="0.3">
      <c r="A1541" t="s">
        <v>451</v>
      </c>
      <c r="B1541" t="s">
        <v>138</v>
      </c>
      <c r="C1541" t="str">
        <f>HYPERLINK("http://service.sap.com/sap/support/notes/1934430","1934430")</f>
        <v>1934430</v>
      </c>
      <c r="D1541">
        <v>2</v>
      </c>
      <c r="E1541" t="s">
        <v>2023</v>
      </c>
      <c r="F1541" t="s">
        <v>17</v>
      </c>
    </row>
    <row r="1542" spans="1:6" x14ac:dyDescent="0.3">
      <c r="A1542" t="s">
        <v>451</v>
      </c>
      <c r="B1542" t="s">
        <v>138</v>
      </c>
      <c r="C1542" t="str">
        <f>HYPERLINK("http://service.sap.com/sap/support/notes/1935283","1935283")</f>
        <v>1935283</v>
      </c>
      <c r="D1542">
        <v>2</v>
      </c>
      <c r="E1542" t="s">
        <v>2024</v>
      </c>
      <c r="F1542" t="s">
        <v>17</v>
      </c>
    </row>
    <row r="1543" spans="1:6" x14ac:dyDescent="0.3">
      <c r="A1543" t="s">
        <v>451</v>
      </c>
      <c r="B1543" t="s">
        <v>138</v>
      </c>
      <c r="C1543" t="str">
        <f>HYPERLINK("http://service.sap.com/sap/support/notes/1941155","1941155")</f>
        <v>1941155</v>
      </c>
      <c r="D1543">
        <v>2</v>
      </c>
      <c r="E1543" t="s">
        <v>2025</v>
      </c>
      <c r="F1543" t="s">
        <v>17</v>
      </c>
    </row>
    <row r="1544" spans="1:6" x14ac:dyDescent="0.3">
      <c r="A1544" t="s">
        <v>462</v>
      </c>
      <c r="B1544" t="s">
        <v>463</v>
      </c>
      <c r="C1544" t="str">
        <f>HYPERLINK("http://service.sap.com/sap/support/notes/1908471","1908471")</f>
        <v>1908471</v>
      </c>
      <c r="D1544">
        <v>1</v>
      </c>
      <c r="E1544" t="s">
        <v>2026</v>
      </c>
      <c r="F1544" t="s">
        <v>13</v>
      </c>
    </row>
    <row r="1545" spans="1:6" x14ac:dyDescent="0.3">
      <c r="A1545" t="s">
        <v>466</v>
      </c>
      <c r="B1545" t="s">
        <v>467</v>
      </c>
      <c r="C1545" t="str">
        <f>HYPERLINK("http://service.sap.com/sap/support/notes/1910029","1910029")</f>
        <v>1910029</v>
      </c>
      <c r="D1545">
        <v>1</v>
      </c>
      <c r="E1545" t="s">
        <v>2027</v>
      </c>
      <c r="F1545" t="s">
        <v>13</v>
      </c>
    </row>
    <row r="1546" spans="1:6" x14ac:dyDescent="0.3">
      <c r="A1546" t="s">
        <v>466</v>
      </c>
      <c r="B1546" t="s">
        <v>467</v>
      </c>
      <c r="C1546" t="str">
        <f>HYPERLINK("http://service.sap.com/sap/support/notes/1926495","1926495")</f>
        <v>1926495</v>
      </c>
      <c r="D1546">
        <v>1</v>
      </c>
      <c r="E1546" t="s">
        <v>2028</v>
      </c>
      <c r="F1546" t="s">
        <v>17</v>
      </c>
    </row>
    <row r="1547" spans="1:6" x14ac:dyDescent="0.3">
      <c r="A1547" t="s">
        <v>466</v>
      </c>
      <c r="B1547" t="s">
        <v>467</v>
      </c>
      <c r="C1547" t="str">
        <f>HYPERLINK("http://service.sap.com/sap/support/notes/1940683","1940683")</f>
        <v>1940683</v>
      </c>
      <c r="D1547">
        <v>1</v>
      </c>
      <c r="E1547" t="s">
        <v>2029</v>
      </c>
      <c r="F1547" t="s">
        <v>11</v>
      </c>
    </row>
    <row r="1548" spans="1:6" x14ac:dyDescent="0.3">
      <c r="A1548" t="s">
        <v>466</v>
      </c>
      <c r="B1548" t="s">
        <v>467</v>
      </c>
      <c r="C1548" t="str">
        <f>HYPERLINK("http://service.sap.com/sap/support/notes/1941484","1941484")</f>
        <v>1941484</v>
      </c>
      <c r="D1548">
        <v>1</v>
      </c>
      <c r="E1548" t="s">
        <v>2030</v>
      </c>
      <c r="F1548" t="s">
        <v>17</v>
      </c>
    </row>
    <row r="1549" spans="1:6" x14ac:dyDescent="0.3">
      <c r="A1549" t="s">
        <v>466</v>
      </c>
      <c r="B1549" t="s">
        <v>467</v>
      </c>
      <c r="C1549" t="str">
        <f>HYPERLINK("http://service.sap.com/sap/support/notes/1947643","1947643")</f>
        <v>1947643</v>
      </c>
      <c r="D1549">
        <v>2</v>
      </c>
      <c r="E1549" t="s">
        <v>2031</v>
      </c>
      <c r="F1549" t="s">
        <v>17</v>
      </c>
    </row>
    <row r="1550" spans="1:6" x14ac:dyDescent="0.3">
      <c r="A1550" t="s">
        <v>498</v>
      </c>
      <c r="B1550" t="s">
        <v>243</v>
      </c>
      <c r="C1550" t="str">
        <f>HYPERLINK("http://service.sap.com/sap/support/notes/1904902","1904902")</f>
        <v>1904902</v>
      </c>
      <c r="D1550">
        <v>1</v>
      </c>
      <c r="E1550" t="s">
        <v>2032</v>
      </c>
      <c r="F1550" t="s">
        <v>17</v>
      </c>
    </row>
    <row r="1551" spans="1:6" x14ac:dyDescent="0.3">
      <c r="A1551" t="s">
        <v>498</v>
      </c>
      <c r="B1551" t="s">
        <v>243</v>
      </c>
      <c r="C1551" t="str">
        <f>HYPERLINK("http://service.sap.com/sap/support/notes/1912862","1912862")</f>
        <v>1912862</v>
      </c>
      <c r="D1551">
        <v>2</v>
      </c>
      <c r="E1551" t="s">
        <v>2033</v>
      </c>
      <c r="F1551" t="s">
        <v>17</v>
      </c>
    </row>
    <row r="1552" spans="1:6" x14ac:dyDescent="0.3">
      <c r="A1552" t="s">
        <v>498</v>
      </c>
      <c r="B1552" t="s">
        <v>243</v>
      </c>
      <c r="C1552" t="str">
        <f>HYPERLINK("http://service.sap.com/sap/support/notes/1922265","1922265")</f>
        <v>1922265</v>
      </c>
      <c r="D1552">
        <v>1</v>
      </c>
      <c r="E1552" t="s">
        <v>2034</v>
      </c>
      <c r="F1552" t="s">
        <v>17</v>
      </c>
    </row>
    <row r="1553" spans="1:6" x14ac:dyDescent="0.3">
      <c r="A1553" t="s">
        <v>498</v>
      </c>
      <c r="B1553" t="s">
        <v>243</v>
      </c>
      <c r="C1553" t="str">
        <f>HYPERLINK("http://service.sap.com/sap/support/notes/1922778","1922778")</f>
        <v>1922778</v>
      </c>
      <c r="D1553">
        <v>1</v>
      </c>
      <c r="E1553" t="s">
        <v>2035</v>
      </c>
      <c r="F1553" t="s">
        <v>17</v>
      </c>
    </row>
    <row r="1554" spans="1:6" x14ac:dyDescent="0.3">
      <c r="A1554" t="s">
        <v>498</v>
      </c>
      <c r="B1554" t="s">
        <v>243</v>
      </c>
      <c r="C1554" t="str">
        <f>HYPERLINK("http://service.sap.com/sap/support/notes/1926839","1926839")</f>
        <v>1926839</v>
      </c>
      <c r="D1554">
        <v>1</v>
      </c>
      <c r="E1554" t="s">
        <v>2036</v>
      </c>
      <c r="F1554" t="s">
        <v>17</v>
      </c>
    </row>
    <row r="1555" spans="1:6" x14ac:dyDescent="0.3">
      <c r="A1555" t="s">
        <v>498</v>
      </c>
      <c r="B1555" t="s">
        <v>243</v>
      </c>
      <c r="C1555" t="str">
        <f>HYPERLINK("http://service.sap.com/sap/support/notes/1931146","1931146")</f>
        <v>1931146</v>
      </c>
      <c r="D1555">
        <v>1</v>
      </c>
      <c r="E1555" t="s">
        <v>2037</v>
      </c>
      <c r="F1555" t="s">
        <v>17</v>
      </c>
    </row>
    <row r="1556" spans="1:6" x14ac:dyDescent="0.3">
      <c r="A1556" t="s">
        <v>498</v>
      </c>
      <c r="B1556" t="s">
        <v>243</v>
      </c>
      <c r="C1556" t="str">
        <f>HYPERLINK("http://service.sap.com/sap/support/notes/1934113","1934113")</f>
        <v>1934113</v>
      </c>
      <c r="D1556">
        <v>1</v>
      </c>
      <c r="E1556" t="s">
        <v>2038</v>
      </c>
      <c r="F1556" t="s">
        <v>17</v>
      </c>
    </row>
    <row r="1557" spans="1:6" x14ac:dyDescent="0.3">
      <c r="A1557" t="s">
        <v>498</v>
      </c>
      <c r="B1557" t="s">
        <v>243</v>
      </c>
      <c r="C1557" t="str">
        <f>HYPERLINK("http://service.sap.com/sap/support/notes/1943234","1943234")</f>
        <v>1943234</v>
      </c>
      <c r="D1557">
        <v>1</v>
      </c>
      <c r="E1557" t="s">
        <v>2039</v>
      </c>
      <c r="F1557" t="s">
        <v>17</v>
      </c>
    </row>
    <row r="1558" spans="1:6" x14ac:dyDescent="0.3">
      <c r="A1558" t="s">
        <v>520</v>
      </c>
      <c r="B1558" t="s">
        <v>521</v>
      </c>
    </row>
    <row r="1559" spans="1:6" x14ac:dyDescent="0.3">
      <c r="A1559" t="s">
        <v>522</v>
      </c>
      <c r="B1559" t="s">
        <v>523</v>
      </c>
      <c r="C1559" t="str">
        <f>HYPERLINK("http://service.sap.com/sap/support/notes/1923189","1923189")</f>
        <v>1923189</v>
      </c>
      <c r="D1559">
        <v>8</v>
      </c>
      <c r="E1559" t="s">
        <v>2040</v>
      </c>
      <c r="F1559" t="s">
        <v>13</v>
      </c>
    </row>
    <row r="1560" spans="1:6" x14ac:dyDescent="0.3">
      <c r="A1560" t="s">
        <v>522</v>
      </c>
      <c r="B1560" t="s">
        <v>523</v>
      </c>
      <c r="C1560" t="str">
        <f>HYPERLINK("http://service.sap.com/sap/support/notes/1944680","1944680")</f>
        <v>1944680</v>
      </c>
      <c r="D1560">
        <v>3</v>
      </c>
      <c r="E1560" t="s">
        <v>2041</v>
      </c>
      <c r="F1560" t="s">
        <v>17</v>
      </c>
    </row>
    <row r="1561" spans="1:6" x14ac:dyDescent="0.3">
      <c r="A1561" t="s">
        <v>522</v>
      </c>
      <c r="B1561" t="s">
        <v>523</v>
      </c>
      <c r="C1561" t="str">
        <f>HYPERLINK("http://service.sap.com/sap/support/notes/1949377","1949377")</f>
        <v>1949377</v>
      </c>
      <c r="D1561">
        <v>4</v>
      </c>
      <c r="E1561" t="s">
        <v>2042</v>
      </c>
      <c r="F1561" t="s">
        <v>17</v>
      </c>
    </row>
    <row r="1562" spans="1:6" x14ac:dyDescent="0.3">
      <c r="A1562" t="s">
        <v>526</v>
      </c>
      <c r="B1562" t="s">
        <v>527</v>
      </c>
    </row>
    <row r="1563" spans="1:6" x14ac:dyDescent="0.3">
      <c r="A1563" t="s">
        <v>529</v>
      </c>
      <c r="B1563" t="s">
        <v>346</v>
      </c>
    </row>
    <row r="1564" spans="1:6" x14ac:dyDescent="0.3">
      <c r="A1564" t="s">
        <v>530</v>
      </c>
      <c r="B1564" t="s">
        <v>531</v>
      </c>
      <c r="C1564" t="str">
        <f>HYPERLINK("http://service.sap.com/sap/support/notes/1914696","1914696")</f>
        <v>1914696</v>
      </c>
      <c r="D1564">
        <v>5</v>
      </c>
      <c r="E1564" t="s">
        <v>2043</v>
      </c>
      <c r="F1564" t="s">
        <v>13</v>
      </c>
    </row>
    <row r="1565" spans="1:6" x14ac:dyDescent="0.3">
      <c r="A1565" t="s">
        <v>530</v>
      </c>
      <c r="B1565" t="s">
        <v>531</v>
      </c>
      <c r="C1565" t="str">
        <f>HYPERLINK("http://service.sap.com/sap/support/notes/1918232","1918232")</f>
        <v>1918232</v>
      </c>
      <c r="D1565">
        <v>3</v>
      </c>
      <c r="E1565" t="s">
        <v>2044</v>
      </c>
      <c r="F1565" t="s">
        <v>17</v>
      </c>
    </row>
    <row r="1566" spans="1:6" x14ac:dyDescent="0.3">
      <c r="A1566" t="s">
        <v>530</v>
      </c>
      <c r="B1566" t="s">
        <v>531</v>
      </c>
      <c r="C1566" t="str">
        <f>HYPERLINK("http://service.sap.com/sap/support/notes/1919815","1919815")</f>
        <v>1919815</v>
      </c>
      <c r="D1566">
        <v>1</v>
      </c>
      <c r="E1566" t="s">
        <v>2045</v>
      </c>
      <c r="F1566" t="s">
        <v>17</v>
      </c>
    </row>
    <row r="1567" spans="1:6" x14ac:dyDescent="0.3">
      <c r="A1567" t="s">
        <v>530</v>
      </c>
      <c r="B1567" t="s">
        <v>531</v>
      </c>
      <c r="C1567" t="str">
        <f>HYPERLINK("http://service.sap.com/sap/support/notes/1922372","1922372")</f>
        <v>1922372</v>
      </c>
      <c r="D1567">
        <v>2</v>
      </c>
      <c r="E1567" t="s">
        <v>2046</v>
      </c>
      <c r="F1567" t="s">
        <v>17</v>
      </c>
    </row>
    <row r="1568" spans="1:6" x14ac:dyDescent="0.3">
      <c r="A1568" t="s">
        <v>530</v>
      </c>
      <c r="B1568" t="s">
        <v>531</v>
      </c>
      <c r="C1568" t="str">
        <f>HYPERLINK("http://service.sap.com/sap/support/notes/1923775","1923775")</f>
        <v>1923775</v>
      </c>
      <c r="D1568">
        <v>2</v>
      </c>
      <c r="E1568" t="s">
        <v>2047</v>
      </c>
      <c r="F1568" t="s">
        <v>17</v>
      </c>
    </row>
    <row r="1569" spans="1:6" x14ac:dyDescent="0.3">
      <c r="A1569" t="s">
        <v>530</v>
      </c>
      <c r="B1569" t="s">
        <v>531</v>
      </c>
      <c r="C1569" t="str">
        <f>HYPERLINK("http://service.sap.com/sap/support/notes/1925776","1925776")</f>
        <v>1925776</v>
      </c>
      <c r="D1569">
        <v>3</v>
      </c>
      <c r="E1569" t="s">
        <v>2048</v>
      </c>
      <c r="F1569" t="s">
        <v>17</v>
      </c>
    </row>
    <row r="1570" spans="1:6" x14ac:dyDescent="0.3">
      <c r="A1570" t="s">
        <v>530</v>
      </c>
      <c r="B1570" t="s">
        <v>531</v>
      </c>
      <c r="C1570" t="str">
        <f>HYPERLINK("http://service.sap.com/sap/support/notes/1927435","1927435")</f>
        <v>1927435</v>
      </c>
      <c r="D1570">
        <v>1</v>
      </c>
      <c r="E1570" t="s">
        <v>2049</v>
      </c>
      <c r="F1570" t="s">
        <v>17</v>
      </c>
    </row>
    <row r="1571" spans="1:6" x14ac:dyDescent="0.3">
      <c r="A1571" t="s">
        <v>530</v>
      </c>
      <c r="B1571" t="s">
        <v>531</v>
      </c>
      <c r="C1571" t="str">
        <f>HYPERLINK("http://service.sap.com/sap/support/notes/1927484","1927484")</f>
        <v>1927484</v>
      </c>
      <c r="D1571">
        <v>1</v>
      </c>
      <c r="E1571" t="s">
        <v>2050</v>
      </c>
      <c r="F1571" t="s">
        <v>13</v>
      </c>
    </row>
    <row r="1572" spans="1:6" x14ac:dyDescent="0.3">
      <c r="A1572" t="s">
        <v>530</v>
      </c>
      <c r="B1572" t="s">
        <v>531</v>
      </c>
      <c r="C1572" t="str">
        <f>HYPERLINK("http://service.sap.com/sap/support/notes/1937363","1937363")</f>
        <v>1937363</v>
      </c>
      <c r="D1572">
        <v>1</v>
      </c>
      <c r="E1572" t="s">
        <v>2051</v>
      </c>
      <c r="F1572" t="s">
        <v>17</v>
      </c>
    </row>
    <row r="1573" spans="1:6" x14ac:dyDescent="0.3">
      <c r="A1573" t="s">
        <v>530</v>
      </c>
      <c r="B1573" t="s">
        <v>531</v>
      </c>
      <c r="C1573" t="str">
        <f>HYPERLINK("http://service.sap.com/sap/support/notes/1940579","1940579")</f>
        <v>1940579</v>
      </c>
      <c r="D1573">
        <v>2</v>
      </c>
      <c r="E1573" t="s">
        <v>2052</v>
      </c>
      <c r="F1573" t="s">
        <v>17</v>
      </c>
    </row>
    <row r="1574" spans="1:6" x14ac:dyDescent="0.3">
      <c r="A1574" t="s">
        <v>530</v>
      </c>
      <c r="B1574" t="s">
        <v>531</v>
      </c>
      <c r="C1574" t="str">
        <f>HYPERLINK("http://service.sap.com/sap/support/notes/1947966","1947966")</f>
        <v>1947966</v>
      </c>
      <c r="D1574">
        <v>2</v>
      </c>
      <c r="E1574" t="s">
        <v>2053</v>
      </c>
      <c r="F1574" t="s">
        <v>17</v>
      </c>
    </row>
    <row r="1575" spans="1:6" x14ac:dyDescent="0.3">
      <c r="A1575" t="s">
        <v>549</v>
      </c>
      <c r="B1575" t="s">
        <v>550</v>
      </c>
      <c r="C1575" t="str">
        <f>HYPERLINK("http://service.sap.com/sap/support/notes/1785683","1785683")</f>
        <v>1785683</v>
      </c>
      <c r="D1575">
        <v>1</v>
      </c>
      <c r="E1575" t="s">
        <v>2054</v>
      </c>
      <c r="F1575" t="s">
        <v>17</v>
      </c>
    </row>
    <row r="1576" spans="1:6" x14ac:dyDescent="0.3">
      <c r="A1576" t="s">
        <v>549</v>
      </c>
      <c r="B1576" t="s">
        <v>550</v>
      </c>
      <c r="C1576" t="str">
        <f>HYPERLINK("http://service.sap.com/sap/support/notes/1895821","1895821")</f>
        <v>1895821</v>
      </c>
      <c r="D1576">
        <v>7</v>
      </c>
      <c r="E1576" t="s">
        <v>2055</v>
      </c>
      <c r="F1576" t="s">
        <v>11</v>
      </c>
    </row>
    <row r="1577" spans="1:6" x14ac:dyDescent="0.3">
      <c r="A1577" t="s">
        <v>549</v>
      </c>
      <c r="B1577" t="s">
        <v>550</v>
      </c>
      <c r="C1577" t="str">
        <f>HYPERLINK("http://service.sap.com/sap/support/notes/1899514","1899514")</f>
        <v>1899514</v>
      </c>
      <c r="D1577">
        <v>1</v>
      </c>
      <c r="E1577" t="s">
        <v>2056</v>
      </c>
      <c r="F1577" t="s">
        <v>13</v>
      </c>
    </row>
    <row r="1578" spans="1:6" x14ac:dyDescent="0.3">
      <c r="A1578" t="s">
        <v>549</v>
      </c>
      <c r="B1578" t="s">
        <v>550</v>
      </c>
      <c r="C1578" t="str">
        <f>HYPERLINK("http://service.sap.com/sap/support/notes/1921021","1921021")</f>
        <v>1921021</v>
      </c>
      <c r="D1578">
        <v>2</v>
      </c>
      <c r="E1578" t="s">
        <v>2057</v>
      </c>
      <c r="F1578" t="s">
        <v>11</v>
      </c>
    </row>
    <row r="1579" spans="1:6" x14ac:dyDescent="0.3">
      <c r="A1579" t="s">
        <v>549</v>
      </c>
      <c r="B1579" t="s">
        <v>550</v>
      </c>
      <c r="C1579" t="str">
        <f>HYPERLINK("http://service.sap.com/sap/support/notes/1925266","1925266")</f>
        <v>1925266</v>
      </c>
      <c r="D1579">
        <v>8</v>
      </c>
      <c r="E1579" t="s">
        <v>2058</v>
      </c>
      <c r="F1579" t="s">
        <v>17</v>
      </c>
    </row>
    <row r="1580" spans="1:6" x14ac:dyDescent="0.3">
      <c r="A1580" t="s">
        <v>549</v>
      </c>
      <c r="B1580" t="s">
        <v>550</v>
      </c>
      <c r="C1580" t="str">
        <f>HYPERLINK("http://service.sap.com/sap/support/notes/1928122","1928122")</f>
        <v>1928122</v>
      </c>
      <c r="D1580">
        <v>2</v>
      </c>
      <c r="E1580" t="s">
        <v>2059</v>
      </c>
      <c r="F1580" t="s">
        <v>11</v>
      </c>
    </row>
    <row r="1581" spans="1:6" x14ac:dyDescent="0.3">
      <c r="A1581" t="s">
        <v>549</v>
      </c>
      <c r="B1581" t="s">
        <v>550</v>
      </c>
      <c r="C1581" t="str">
        <f>HYPERLINK("http://service.sap.com/sap/support/notes/1929050","1929050")</f>
        <v>1929050</v>
      </c>
      <c r="D1581">
        <v>3</v>
      </c>
      <c r="E1581" t="s">
        <v>2060</v>
      </c>
      <c r="F1581" t="s">
        <v>11</v>
      </c>
    </row>
    <row r="1582" spans="1:6" x14ac:dyDescent="0.3">
      <c r="A1582" t="s">
        <v>549</v>
      </c>
      <c r="B1582" t="s">
        <v>550</v>
      </c>
      <c r="C1582" t="str">
        <f>HYPERLINK("http://service.sap.com/sap/support/notes/1929598","1929598")</f>
        <v>1929598</v>
      </c>
      <c r="D1582">
        <v>2</v>
      </c>
      <c r="E1582" t="s">
        <v>2061</v>
      </c>
      <c r="F1582" t="s">
        <v>13</v>
      </c>
    </row>
    <row r="1583" spans="1:6" x14ac:dyDescent="0.3">
      <c r="A1583" t="s">
        <v>549</v>
      </c>
      <c r="B1583" t="s">
        <v>550</v>
      </c>
      <c r="C1583" t="str">
        <f>HYPERLINK("http://service.sap.com/sap/support/notes/1930055","1930055")</f>
        <v>1930055</v>
      </c>
      <c r="D1583">
        <v>1</v>
      </c>
      <c r="E1583" t="s">
        <v>2062</v>
      </c>
      <c r="F1583" t="s">
        <v>17</v>
      </c>
    </row>
    <row r="1584" spans="1:6" x14ac:dyDescent="0.3">
      <c r="A1584" t="s">
        <v>549</v>
      </c>
      <c r="B1584" t="s">
        <v>550</v>
      </c>
      <c r="C1584" t="str">
        <f>HYPERLINK("http://service.sap.com/sap/support/notes/1932222","1932222")</f>
        <v>1932222</v>
      </c>
      <c r="D1584">
        <v>1</v>
      </c>
      <c r="E1584" t="s">
        <v>2063</v>
      </c>
      <c r="F1584" t="s">
        <v>17</v>
      </c>
    </row>
    <row r="1585" spans="1:6" x14ac:dyDescent="0.3">
      <c r="A1585" t="s">
        <v>549</v>
      </c>
      <c r="B1585" t="s">
        <v>550</v>
      </c>
      <c r="C1585" t="str">
        <f>HYPERLINK("http://service.sap.com/sap/support/notes/1932492","1932492")</f>
        <v>1932492</v>
      </c>
      <c r="D1585">
        <v>1</v>
      </c>
      <c r="E1585" t="s">
        <v>2064</v>
      </c>
      <c r="F1585" t="s">
        <v>13</v>
      </c>
    </row>
    <row r="1586" spans="1:6" x14ac:dyDescent="0.3">
      <c r="A1586" t="s">
        <v>549</v>
      </c>
      <c r="B1586" t="s">
        <v>550</v>
      </c>
      <c r="C1586" t="str">
        <f>HYPERLINK("http://service.sap.com/sap/support/notes/1940292","1940292")</f>
        <v>1940292</v>
      </c>
      <c r="D1586">
        <v>1</v>
      </c>
      <c r="E1586" t="s">
        <v>2065</v>
      </c>
      <c r="F1586" t="s">
        <v>17</v>
      </c>
    </row>
    <row r="1587" spans="1:6" x14ac:dyDescent="0.3">
      <c r="A1587" t="s">
        <v>549</v>
      </c>
      <c r="B1587" t="s">
        <v>550</v>
      </c>
      <c r="C1587" t="str">
        <f>HYPERLINK("http://service.sap.com/sap/support/notes/1940790","1940790")</f>
        <v>1940790</v>
      </c>
      <c r="D1587">
        <v>1</v>
      </c>
      <c r="E1587" t="s">
        <v>2066</v>
      </c>
      <c r="F1587" t="s">
        <v>17</v>
      </c>
    </row>
    <row r="1588" spans="1:6" x14ac:dyDescent="0.3">
      <c r="A1588" t="s">
        <v>549</v>
      </c>
      <c r="B1588" t="s">
        <v>550</v>
      </c>
      <c r="C1588" t="str">
        <f>HYPERLINK("http://service.sap.com/sap/support/notes/1941747","1941747")</f>
        <v>1941747</v>
      </c>
      <c r="D1588">
        <v>1</v>
      </c>
      <c r="E1588" t="s">
        <v>2067</v>
      </c>
      <c r="F1588" t="s">
        <v>17</v>
      </c>
    </row>
    <row r="1589" spans="1:6" x14ac:dyDescent="0.3">
      <c r="A1589" t="s">
        <v>549</v>
      </c>
      <c r="B1589" t="s">
        <v>550</v>
      </c>
      <c r="C1589" t="str">
        <f>HYPERLINK("http://service.sap.com/sap/support/notes/1942536","1942536")</f>
        <v>1942536</v>
      </c>
      <c r="D1589">
        <v>1</v>
      </c>
      <c r="E1589" t="s">
        <v>2068</v>
      </c>
      <c r="F1589" t="s">
        <v>17</v>
      </c>
    </row>
    <row r="1590" spans="1:6" x14ac:dyDescent="0.3">
      <c r="A1590" t="s">
        <v>549</v>
      </c>
      <c r="B1590" t="s">
        <v>550</v>
      </c>
      <c r="C1590" t="str">
        <f>HYPERLINK("http://service.sap.com/sap/support/notes/1944684","1944684")</f>
        <v>1944684</v>
      </c>
      <c r="D1590">
        <v>2</v>
      </c>
      <c r="E1590" t="s">
        <v>2069</v>
      </c>
      <c r="F1590" t="s">
        <v>17</v>
      </c>
    </row>
    <row r="1591" spans="1:6" x14ac:dyDescent="0.3">
      <c r="A1591" t="s">
        <v>549</v>
      </c>
      <c r="B1591" t="s">
        <v>550</v>
      </c>
      <c r="C1591" t="str">
        <f>HYPERLINK("http://service.sap.com/sap/support/notes/1944685","1944685")</f>
        <v>1944685</v>
      </c>
      <c r="D1591">
        <v>1</v>
      </c>
      <c r="E1591" t="s">
        <v>2070</v>
      </c>
      <c r="F1591" t="s">
        <v>17</v>
      </c>
    </row>
    <row r="1592" spans="1:6" x14ac:dyDescent="0.3">
      <c r="A1592" t="s">
        <v>549</v>
      </c>
      <c r="B1592" t="s">
        <v>550</v>
      </c>
      <c r="C1592" t="str">
        <f>HYPERLINK("http://service.sap.com/sap/support/notes/1945607","1945607")</f>
        <v>1945607</v>
      </c>
      <c r="D1592">
        <v>2</v>
      </c>
      <c r="E1592" t="s">
        <v>2071</v>
      </c>
      <c r="F1592" t="s">
        <v>17</v>
      </c>
    </row>
    <row r="1593" spans="1:6" x14ac:dyDescent="0.3">
      <c r="A1593" t="s">
        <v>549</v>
      </c>
      <c r="B1593" t="s">
        <v>550</v>
      </c>
      <c r="C1593" t="str">
        <f>HYPERLINK("http://service.sap.com/sap/support/notes/1945852","1945852")</f>
        <v>1945852</v>
      </c>
      <c r="D1593">
        <v>1</v>
      </c>
      <c r="E1593" t="s">
        <v>2072</v>
      </c>
      <c r="F1593" t="s">
        <v>17</v>
      </c>
    </row>
    <row r="1594" spans="1:6" x14ac:dyDescent="0.3">
      <c r="A1594" t="s">
        <v>549</v>
      </c>
      <c r="B1594" t="s">
        <v>550</v>
      </c>
      <c r="C1594" t="str">
        <f>HYPERLINK("http://service.sap.com/sap/support/notes/1946061","1946061")</f>
        <v>1946061</v>
      </c>
      <c r="D1594">
        <v>1</v>
      </c>
      <c r="E1594" t="s">
        <v>2073</v>
      </c>
      <c r="F1594" t="s">
        <v>11</v>
      </c>
    </row>
    <row r="1595" spans="1:6" x14ac:dyDescent="0.3">
      <c r="A1595" t="s">
        <v>549</v>
      </c>
      <c r="B1595" t="s">
        <v>550</v>
      </c>
      <c r="C1595" t="str">
        <f>HYPERLINK("http://service.sap.com/sap/support/notes/1951434","1951434")</f>
        <v>1951434</v>
      </c>
      <c r="D1595">
        <v>3</v>
      </c>
      <c r="E1595" t="s">
        <v>2074</v>
      </c>
      <c r="F1595" t="s">
        <v>11</v>
      </c>
    </row>
    <row r="1596" spans="1:6" x14ac:dyDescent="0.3">
      <c r="A1596" t="s">
        <v>599</v>
      </c>
      <c r="B1596" t="s">
        <v>600</v>
      </c>
      <c r="C1596" t="str">
        <f>HYPERLINK("http://service.sap.com/sap/support/notes/1557907","1557907")</f>
        <v>1557907</v>
      </c>
      <c r="D1596">
        <v>8</v>
      </c>
      <c r="E1596" t="s">
        <v>2075</v>
      </c>
      <c r="F1596" t="s">
        <v>17</v>
      </c>
    </row>
    <row r="1597" spans="1:6" x14ac:dyDescent="0.3">
      <c r="A1597" t="s">
        <v>599</v>
      </c>
      <c r="B1597" t="s">
        <v>600</v>
      </c>
      <c r="C1597" t="str">
        <f>HYPERLINK("http://service.sap.com/sap/support/notes/1857318","1857318")</f>
        <v>1857318</v>
      </c>
      <c r="D1597">
        <v>6</v>
      </c>
      <c r="E1597" t="s">
        <v>2076</v>
      </c>
      <c r="F1597" t="s">
        <v>17</v>
      </c>
    </row>
    <row r="1598" spans="1:6" x14ac:dyDescent="0.3">
      <c r="A1598" t="s">
        <v>599</v>
      </c>
      <c r="B1598" t="s">
        <v>600</v>
      </c>
      <c r="C1598" t="str">
        <f>HYPERLINK("http://service.sap.com/sap/support/notes/1891774","1891774")</f>
        <v>1891774</v>
      </c>
      <c r="D1598">
        <v>3</v>
      </c>
      <c r="E1598" t="s">
        <v>2077</v>
      </c>
      <c r="F1598" t="s">
        <v>17</v>
      </c>
    </row>
    <row r="1599" spans="1:6" x14ac:dyDescent="0.3">
      <c r="A1599" t="s">
        <v>599</v>
      </c>
      <c r="B1599" t="s">
        <v>600</v>
      </c>
      <c r="C1599" t="str">
        <f>HYPERLINK("http://service.sap.com/sap/support/notes/1906050","1906050")</f>
        <v>1906050</v>
      </c>
      <c r="D1599">
        <v>4</v>
      </c>
      <c r="E1599" t="s">
        <v>2078</v>
      </c>
      <c r="F1599" t="s">
        <v>11</v>
      </c>
    </row>
    <row r="1600" spans="1:6" x14ac:dyDescent="0.3">
      <c r="A1600" t="s">
        <v>599</v>
      </c>
      <c r="B1600" t="s">
        <v>600</v>
      </c>
      <c r="C1600" t="str">
        <f>HYPERLINK("http://service.sap.com/sap/support/notes/1914907","1914907")</f>
        <v>1914907</v>
      </c>
      <c r="D1600">
        <v>1</v>
      </c>
      <c r="E1600" t="s">
        <v>2079</v>
      </c>
      <c r="F1600" t="s">
        <v>17</v>
      </c>
    </row>
    <row r="1601" spans="1:6" x14ac:dyDescent="0.3">
      <c r="A1601" t="s">
        <v>599</v>
      </c>
      <c r="B1601" t="s">
        <v>600</v>
      </c>
      <c r="C1601" t="str">
        <f>HYPERLINK("http://service.sap.com/sap/support/notes/1915115","1915115")</f>
        <v>1915115</v>
      </c>
      <c r="D1601">
        <v>3</v>
      </c>
      <c r="E1601" t="s">
        <v>2080</v>
      </c>
      <c r="F1601" t="s">
        <v>11</v>
      </c>
    </row>
    <row r="1602" spans="1:6" x14ac:dyDescent="0.3">
      <c r="A1602" t="s">
        <v>599</v>
      </c>
      <c r="B1602" t="s">
        <v>600</v>
      </c>
      <c r="C1602" t="str">
        <f>HYPERLINK("http://service.sap.com/sap/support/notes/1918185","1918185")</f>
        <v>1918185</v>
      </c>
      <c r="D1602">
        <v>2</v>
      </c>
      <c r="E1602" t="s">
        <v>2081</v>
      </c>
      <c r="F1602" t="s">
        <v>11</v>
      </c>
    </row>
    <row r="1603" spans="1:6" x14ac:dyDescent="0.3">
      <c r="A1603" t="s">
        <v>599</v>
      </c>
      <c r="B1603" t="s">
        <v>600</v>
      </c>
      <c r="C1603" t="str">
        <f>HYPERLINK("http://service.sap.com/sap/support/notes/1921714","1921714")</f>
        <v>1921714</v>
      </c>
      <c r="D1603">
        <v>1</v>
      </c>
      <c r="E1603" t="s">
        <v>2082</v>
      </c>
      <c r="F1603" t="s">
        <v>17</v>
      </c>
    </row>
    <row r="1604" spans="1:6" x14ac:dyDescent="0.3">
      <c r="A1604" t="s">
        <v>599</v>
      </c>
      <c r="B1604" t="s">
        <v>600</v>
      </c>
      <c r="C1604" t="str">
        <f>HYPERLINK("http://service.sap.com/sap/support/notes/1923419","1923419")</f>
        <v>1923419</v>
      </c>
      <c r="D1604">
        <v>5</v>
      </c>
      <c r="E1604" t="s">
        <v>2083</v>
      </c>
      <c r="F1604" t="s">
        <v>17</v>
      </c>
    </row>
    <row r="1605" spans="1:6" x14ac:dyDescent="0.3">
      <c r="A1605" t="s">
        <v>599</v>
      </c>
      <c r="B1605" t="s">
        <v>600</v>
      </c>
      <c r="C1605" t="str">
        <f>HYPERLINK("http://service.sap.com/sap/support/notes/1926663","1926663")</f>
        <v>1926663</v>
      </c>
      <c r="D1605">
        <v>2</v>
      </c>
      <c r="E1605" t="s">
        <v>2084</v>
      </c>
      <c r="F1605" t="s">
        <v>11</v>
      </c>
    </row>
    <row r="1606" spans="1:6" x14ac:dyDescent="0.3">
      <c r="A1606" t="s">
        <v>599</v>
      </c>
      <c r="B1606" t="s">
        <v>600</v>
      </c>
      <c r="C1606" t="str">
        <f>HYPERLINK("http://service.sap.com/sap/support/notes/1937262","1937262")</f>
        <v>1937262</v>
      </c>
      <c r="D1606">
        <v>2</v>
      </c>
      <c r="E1606" t="s">
        <v>2085</v>
      </c>
      <c r="F1606" t="s">
        <v>17</v>
      </c>
    </row>
    <row r="1607" spans="1:6" x14ac:dyDescent="0.3">
      <c r="A1607" t="s">
        <v>599</v>
      </c>
      <c r="B1607" t="s">
        <v>600</v>
      </c>
      <c r="C1607" t="str">
        <f>HYPERLINK("http://service.sap.com/sap/support/notes/1949093","1949093")</f>
        <v>1949093</v>
      </c>
      <c r="D1607">
        <v>1</v>
      </c>
      <c r="E1607" t="s">
        <v>2086</v>
      </c>
      <c r="F1607" t="s">
        <v>11</v>
      </c>
    </row>
    <row r="1608" spans="1:6" x14ac:dyDescent="0.3">
      <c r="A1608" t="s">
        <v>599</v>
      </c>
      <c r="B1608" t="s">
        <v>600</v>
      </c>
      <c r="C1608" t="str">
        <f>HYPERLINK("http://service.sap.com/sap/support/notes/1950903","1950903")</f>
        <v>1950903</v>
      </c>
      <c r="D1608">
        <v>1</v>
      </c>
      <c r="E1608" t="s">
        <v>2087</v>
      </c>
      <c r="F1608" t="s">
        <v>17</v>
      </c>
    </row>
    <row r="1609" spans="1:6" x14ac:dyDescent="0.3">
      <c r="A1609" t="s">
        <v>2088</v>
      </c>
      <c r="B1609" t="s">
        <v>2089</v>
      </c>
      <c r="C1609" t="str">
        <f>HYPERLINK("http://service.sap.com/sap/support/notes/1821469","1821469")</f>
        <v>1821469</v>
      </c>
      <c r="D1609">
        <v>1</v>
      </c>
      <c r="E1609" t="s">
        <v>2090</v>
      </c>
      <c r="F1609" t="s">
        <v>11</v>
      </c>
    </row>
    <row r="1610" spans="1:6" x14ac:dyDescent="0.3">
      <c r="A1610" t="s">
        <v>630</v>
      </c>
      <c r="B1610" t="s">
        <v>631</v>
      </c>
      <c r="C1610" t="str">
        <f>HYPERLINK("http://service.sap.com/sap/support/notes/1926253","1926253")</f>
        <v>1926253</v>
      </c>
      <c r="D1610">
        <v>1</v>
      </c>
      <c r="E1610" t="s">
        <v>2091</v>
      </c>
      <c r="F1610" t="s">
        <v>17</v>
      </c>
    </row>
    <row r="1611" spans="1:6" x14ac:dyDescent="0.3">
      <c r="A1611" t="s">
        <v>630</v>
      </c>
      <c r="B1611" t="s">
        <v>631</v>
      </c>
      <c r="C1611" t="str">
        <f>HYPERLINK("http://service.sap.com/sap/support/notes/1926702","1926702")</f>
        <v>1926702</v>
      </c>
      <c r="D1611">
        <v>1</v>
      </c>
      <c r="E1611" t="s">
        <v>2092</v>
      </c>
      <c r="F1611" t="s">
        <v>13</v>
      </c>
    </row>
    <row r="1612" spans="1:6" x14ac:dyDescent="0.3">
      <c r="A1612" t="s">
        <v>634</v>
      </c>
      <c r="B1612" t="s">
        <v>635</v>
      </c>
      <c r="C1612" t="str">
        <f>HYPERLINK("http://service.sap.com/sap/support/notes/1916859","1916859")</f>
        <v>1916859</v>
      </c>
      <c r="D1612">
        <v>4</v>
      </c>
      <c r="E1612" t="s">
        <v>2093</v>
      </c>
      <c r="F1612" t="s">
        <v>11</v>
      </c>
    </row>
    <row r="1613" spans="1:6" x14ac:dyDescent="0.3">
      <c r="A1613" t="s">
        <v>634</v>
      </c>
      <c r="B1613" t="s">
        <v>635</v>
      </c>
      <c r="C1613" t="str">
        <f>HYPERLINK("http://service.sap.com/sap/support/notes/1918218","1918218")</f>
        <v>1918218</v>
      </c>
      <c r="D1613">
        <v>1</v>
      </c>
      <c r="E1613" t="s">
        <v>2094</v>
      </c>
      <c r="F1613" t="s">
        <v>13</v>
      </c>
    </row>
    <row r="1614" spans="1:6" x14ac:dyDescent="0.3">
      <c r="A1614" t="s">
        <v>634</v>
      </c>
      <c r="B1614" t="s">
        <v>635</v>
      </c>
      <c r="C1614" t="str">
        <f>HYPERLINK("http://service.sap.com/sap/support/notes/1929824","1929824")</f>
        <v>1929824</v>
      </c>
      <c r="D1614">
        <v>1</v>
      </c>
      <c r="E1614" t="s">
        <v>2095</v>
      </c>
      <c r="F1614" t="s">
        <v>17</v>
      </c>
    </row>
    <row r="1615" spans="1:6" x14ac:dyDescent="0.3">
      <c r="A1615" t="s">
        <v>634</v>
      </c>
      <c r="B1615" t="s">
        <v>635</v>
      </c>
      <c r="C1615" t="str">
        <f>HYPERLINK("http://service.sap.com/sap/support/notes/1934483","1934483")</f>
        <v>1934483</v>
      </c>
      <c r="D1615">
        <v>3</v>
      </c>
      <c r="E1615" t="s">
        <v>2096</v>
      </c>
      <c r="F1615" t="s">
        <v>17</v>
      </c>
    </row>
    <row r="1616" spans="1:6" x14ac:dyDescent="0.3">
      <c r="A1616" t="s">
        <v>634</v>
      </c>
      <c r="B1616" t="s">
        <v>635</v>
      </c>
      <c r="C1616" t="str">
        <f>HYPERLINK("http://service.sap.com/sap/support/notes/1934531","1934531")</f>
        <v>1934531</v>
      </c>
      <c r="D1616">
        <v>2</v>
      </c>
      <c r="E1616" t="s">
        <v>2097</v>
      </c>
      <c r="F1616" t="s">
        <v>94</v>
      </c>
    </row>
    <row r="1617" spans="1:6" x14ac:dyDescent="0.3">
      <c r="A1617" t="s">
        <v>634</v>
      </c>
      <c r="B1617" t="s">
        <v>635</v>
      </c>
      <c r="C1617" t="str">
        <f>HYPERLINK("http://service.sap.com/sap/support/notes/1938429","1938429")</f>
        <v>1938429</v>
      </c>
      <c r="D1617">
        <v>2</v>
      </c>
      <c r="E1617" t="s">
        <v>2098</v>
      </c>
      <c r="F1617" t="s">
        <v>17</v>
      </c>
    </row>
    <row r="1618" spans="1:6" x14ac:dyDescent="0.3">
      <c r="A1618" t="s">
        <v>634</v>
      </c>
      <c r="B1618" t="s">
        <v>635</v>
      </c>
      <c r="C1618" t="str">
        <f>HYPERLINK("http://service.sap.com/sap/support/notes/1943365","1943365")</f>
        <v>1943365</v>
      </c>
      <c r="D1618">
        <v>1</v>
      </c>
      <c r="E1618" t="s">
        <v>2099</v>
      </c>
      <c r="F1618" t="s">
        <v>17</v>
      </c>
    </row>
    <row r="1619" spans="1:6" x14ac:dyDescent="0.3">
      <c r="A1619" t="s">
        <v>645</v>
      </c>
      <c r="B1619" t="s">
        <v>646</v>
      </c>
      <c r="C1619" t="str">
        <f>HYPERLINK("http://service.sap.com/sap/support/notes/1899628","1899628")</f>
        <v>1899628</v>
      </c>
      <c r="D1619">
        <v>4</v>
      </c>
      <c r="E1619" t="s">
        <v>2100</v>
      </c>
      <c r="F1619" t="s">
        <v>17</v>
      </c>
    </row>
    <row r="1620" spans="1:6" x14ac:dyDescent="0.3">
      <c r="A1620" t="s">
        <v>648</v>
      </c>
      <c r="B1620" t="s">
        <v>138</v>
      </c>
      <c r="C1620" t="str">
        <f>HYPERLINK("http://service.sap.com/sap/support/notes/1936112","1936112")</f>
        <v>1936112</v>
      </c>
      <c r="D1620">
        <v>2</v>
      </c>
      <c r="E1620" t="s">
        <v>2101</v>
      </c>
      <c r="F1620" t="s">
        <v>13</v>
      </c>
    </row>
    <row r="1621" spans="1:6" x14ac:dyDescent="0.3">
      <c r="A1621" t="s">
        <v>655</v>
      </c>
      <c r="B1621" t="s">
        <v>656</v>
      </c>
      <c r="C1621" t="str">
        <f>HYPERLINK("http://service.sap.com/sap/support/notes/1827320","1827320")</f>
        <v>1827320</v>
      </c>
      <c r="D1621">
        <v>2</v>
      </c>
      <c r="E1621" t="s">
        <v>2102</v>
      </c>
      <c r="F1621" t="s">
        <v>13</v>
      </c>
    </row>
    <row r="1622" spans="1:6" x14ac:dyDescent="0.3">
      <c r="A1622" t="s">
        <v>655</v>
      </c>
      <c r="B1622" t="s">
        <v>656</v>
      </c>
      <c r="C1622" t="str">
        <f>HYPERLINK("http://service.sap.com/sap/support/notes/1845866","1845866")</f>
        <v>1845866</v>
      </c>
      <c r="D1622">
        <v>3</v>
      </c>
      <c r="E1622" t="s">
        <v>2103</v>
      </c>
      <c r="F1622" t="s">
        <v>17</v>
      </c>
    </row>
    <row r="1623" spans="1:6" x14ac:dyDescent="0.3">
      <c r="A1623" t="s">
        <v>655</v>
      </c>
      <c r="B1623" t="s">
        <v>656</v>
      </c>
      <c r="C1623" t="str">
        <f>HYPERLINK("http://service.sap.com/sap/support/notes/1907522","1907522")</f>
        <v>1907522</v>
      </c>
      <c r="D1623">
        <v>3</v>
      </c>
      <c r="E1623" t="s">
        <v>2104</v>
      </c>
      <c r="F1623" t="s">
        <v>17</v>
      </c>
    </row>
    <row r="1624" spans="1:6" x14ac:dyDescent="0.3">
      <c r="A1624" t="s">
        <v>655</v>
      </c>
      <c r="B1624" t="s">
        <v>656</v>
      </c>
      <c r="C1624" t="str">
        <f>HYPERLINK("http://service.sap.com/sap/support/notes/1947177","1947177")</f>
        <v>1947177</v>
      </c>
      <c r="D1624">
        <v>1</v>
      </c>
      <c r="E1624" t="s">
        <v>2105</v>
      </c>
      <c r="F1624" t="s">
        <v>17</v>
      </c>
    </row>
    <row r="1625" spans="1:6" x14ac:dyDescent="0.3">
      <c r="A1625" t="s">
        <v>660</v>
      </c>
      <c r="B1625" t="s">
        <v>661</v>
      </c>
      <c r="C1625" t="str">
        <f>HYPERLINK("http://service.sap.com/sap/support/notes/1425580","1425580")</f>
        <v>1425580</v>
      </c>
      <c r="D1625">
        <v>2</v>
      </c>
      <c r="E1625" t="s">
        <v>2106</v>
      </c>
      <c r="F1625" t="s">
        <v>17</v>
      </c>
    </row>
    <row r="1626" spans="1:6" x14ac:dyDescent="0.3">
      <c r="A1626" t="s">
        <v>660</v>
      </c>
      <c r="B1626" t="s">
        <v>661</v>
      </c>
      <c r="C1626" t="str">
        <f>HYPERLINK("http://service.sap.com/sap/support/notes/1900313","1900313")</f>
        <v>1900313</v>
      </c>
      <c r="D1626">
        <v>3</v>
      </c>
      <c r="E1626" t="s">
        <v>667</v>
      </c>
      <c r="F1626" t="s">
        <v>17</v>
      </c>
    </row>
    <row r="1627" spans="1:6" x14ac:dyDescent="0.3">
      <c r="A1627" t="s">
        <v>660</v>
      </c>
      <c r="B1627" t="s">
        <v>661</v>
      </c>
      <c r="C1627" t="str">
        <f>HYPERLINK("http://service.sap.com/sap/support/notes/1914630","1914630")</f>
        <v>1914630</v>
      </c>
      <c r="D1627">
        <v>1</v>
      </c>
      <c r="E1627" t="s">
        <v>2107</v>
      </c>
      <c r="F1627" t="s">
        <v>11</v>
      </c>
    </row>
    <row r="1628" spans="1:6" x14ac:dyDescent="0.3">
      <c r="A1628" t="s">
        <v>660</v>
      </c>
      <c r="B1628" t="s">
        <v>661</v>
      </c>
      <c r="C1628" t="str">
        <f>HYPERLINK("http://service.sap.com/sap/support/notes/1918864","1918864")</f>
        <v>1918864</v>
      </c>
      <c r="D1628">
        <v>1</v>
      </c>
      <c r="E1628" t="s">
        <v>2108</v>
      </c>
      <c r="F1628" t="s">
        <v>17</v>
      </c>
    </row>
    <row r="1629" spans="1:6" x14ac:dyDescent="0.3">
      <c r="A1629" t="s">
        <v>660</v>
      </c>
      <c r="B1629" t="s">
        <v>661</v>
      </c>
      <c r="C1629" t="str">
        <f>HYPERLINK("http://service.sap.com/sap/support/notes/1933495","1933495")</f>
        <v>1933495</v>
      </c>
      <c r="D1629">
        <v>2</v>
      </c>
      <c r="E1629" t="s">
        <v>2109</v>
      </c>
      <c r="F1629" t="s">
        <v>17</v>
      </c>
    </row>
    <row r="1630" spans="1:6" x14ac:dyDescent="0.3">
      <c r="A1630" t="s">
        <v>660</v>
      </c>
      <c r="B1630" t="s">
        <v>661</v>
      </c>
      <c r="C1630" t="str">
        <f>HYPERLINK("http://service.sap.com/sap/support/notes/1934156","1934156")</f>
        <v>1934156</v>
      </c>
      <c r="D1630">
        <v>2</v>
      </c>
      <c r="E1630" t="s">
        <v>2110</v>
      </c>
      <c r="F1630" t="s">
        <v>17</v>
      </c>
    </row>
    <row r="1631" spans="1:6" x14ac:dyDescent="0.3">
      <c r="A1631" t="s">
        <v>683</v>
      </c>
      <c r="B1631" t="s">
        <v>684</v>
      </c>
      <c r="C1631" t="str">
        <f>HYPERLINK("http://service.sap.com/sap/support/notes/1939209","1939209")</f>
        <v>1939209</v>
      </c>
      <c r="D1631">
        <v>1</v>
      </c>
      <c r="E1631" t="s">
        <v>2111</v>
      </c>
      <c r="F1631" t="s">
        <v>17</v>
      </c>
    </row>
    <row r="1632" spans="1:6" x14ac:dyDescent="0.3">
      <c r="A1632" t="s">
        <v>683</v>
      </c>
      <c r="B1632" t="s">
        <v>684</v>
      </c>
      <c r="C1632" t="str">
        <f>HYPERLINK("http://service.sap.com/sap/support/notes/1940388","1940388")</f>
        <v>1940388</v>
      </c>
      <c r="D1632">
        <v>1</v>
      </c>
      <c r="E1632" t="s">
        <v>2112</v>
      </c>
      <c r="F1632" t="s">
        <v>17</v>
      </c>
    </row>
    <row r="1633" spans="1:6" x14ac:dyDescent="0.3">
      <c r="A1633" t="s">
        <v>688</v>
      </c>
      <c r="B1633" t="s">
        <v>689</v>
      </c>
      <c r="C1633" t="str">
        <f>HYPERLINK("http://service.sap.com/sap/support/notes/1793899","1793899")</f>
        <v>1793899</v>
      </c>
      <c r="D1633">
        <v>2</v>
      </c>
      <c r="E1633" t="s">
        <v>2113</v>
      </c>
      <c r="F1633" t="s">
        <v>13</v>
      </c>
    </row>
    <row r="1634" spans="1:6" x14ac:dyDescent="0.3">
      <c r="A1634" t="s">
        <v>688</v>
      </c>
      <c r="B1634" t="s">
        <v>689</v>
      </c>
      <c r="C1634" t="str">
        <f>HYPERLINK("http://service.sap.com/sap/support/notes/1941824","1941824")</f>
        <v>1941824</v>
      </c>
      <c r="D1634">
        <v>1</v>
      </c>
      <c r="E1634" t="s">
        <v>2114</v>
      </c>
      <c r="F1634" t="s">
        <v>17</v>
      </c>
    </row>
    <row r="1635" spans="1:6" x14ac:dyDescent="0.3">
      <c r="A1635" t="s">
        <v>696</v>
      </c>
      <c r="B1635" t="s">
        <v>346</v>
      </c>
    </row>
    <row r="1636" spans="1:6" x14ac:dyDescent="0.3">
      <c r="A1636" t="s">
        <v>700</v>
      </c>
      <c r="B1636" t="s">
        <v>531</v>
      </c>
      <c r="C1636" t="str">
        <f>HYPERLINK("http://service.sap.com/sap/support/notes/1895272","1895272")</f>
        <v>1895272</v>
      </c>
      <c r="D1636">
        <v>6</v>
      </c>
      <c r="E1636" t="s">
        <v>2115</v>
      </c>
      <c r="F1636" t="s">
        <v>13</v>
      </c>
    </row>
    <row r="1637" spans="1:6" x14ac:dyDescent="0.3">
      <c r="A1637" t="s">
        <v>700</v>
      </c>
      <c r="B1637" t="s">
        <v>531</v>
      </c>
      <c r="C1637" t="str">
        <f>HYPERLINK("http://service.sap.com/sap/support/notes/1923657","1923657")</f>
        <v>1923657</v>
      </c>
      <c r="D1637">
        <v>1</v>
      </c>
      <c r="E1637" t="s">
        <v>2116</v>
      </c>
      <c r="F1637" t="s">
        <v>17</v>
      </c>
    </row>
    <row r="1638" spans="1:6" x14ac:dyDescent="0.3">
      <c r="A1638" t="s">
        <v>700</v>
      </c>
      <c r="B1638" t="s">
        <v>531</v>
      </c>
      <c r="C1638" t="str">
        <f>HYPERLINK("http://service.sap.com/sap/support/notes/1926178","1926178")</f>
        <v>1926178</v>
      </c>
      <c r="D1638">
        <v>1</v>
      </c>
      <c r="E1638" t="s">
        <v>2117</v>
      </c>
      <c r="F1638" t="s">
        <v>17</v>
      </c>
    </row>
    <row r="1639" spans="1:6" x14ac:dyDescent="0.3">
      <c r="A1639" t="s">
        <v>700</v>
      </c>
      <c r="B1639" t="s">
        <v>531</v>
      </c>
      <c r="C1639" t="str">
        <f>HYPERLINK("http://service.sap.com/sap/support/notes/1926392","1926392")</f>
        <v>1926392</v>
      </c>
      <c r="D1639">
        <v>2</v>
      </c>
      <c r="E1639" t="s">
        <v>2118</v>
      </c>
      <c r="F1639" t="s">
        <v>17</v>
      </c>
    </row>
    <row r="1640" spans="1:6" x14ac:dyDescent="0.3">
      <c r="A1640" t="s">
        <v>700</v>
      </c>
      <c r="B1640" t="s">
        <v>531</v>
      </c>
      <c r="C1640" t="str">
        <f>HYPERLINK("http://service.sap.com/sap/support/notes/1929527","1929527")</f>
        <v>1929527</v>
      </c>
      <c r="D1640">
        <v>1</v>
      </c>
      <c r="E1640" t="s">
        <v>2119</v>
      </c>
      <c r="F1640" t="s">
        <v>17</v>
      </c>
    </row>
    <row r="1641" spans="1:6" x14ac:dyDescent="0.3">
      <c r="A1641" t="s">
        <v>700</v>
      </c>
      <c r="B1641" t="s">
        <v>531</v>
      </c>
      <c r="C1641" t="str">
        <f>HYPERLINK("http://service.sap.com/sap/support/notes/1944195","1944195")</f>
        <v>1944195</v>
      </c>
      <c r="D1641">
        <v>2</v>
      </c>
      <c r="E1641" t="s">
        <v>2120</v>
      </c>
      <c r="F1641" t="s">
        <v>11</v>
      </c>
    </row>
    <row r="1642" spans="1:6" x14ac:dyDescent="0.3">
      <c r="A1642" t="s">
        <v>709</v>
      </c>
      <c r="B1642" t="s">
        <v>710</v>
      </c>
      <c r="C1642" t="str">
        <f>HYPERLINK("http://service.sap.com/sap/support/notes/1824575","1824575")</f>
        <v>1824575</v>
      </c>
      <c r="D1642">
        <v>4</v>
      </c>
      <c r="E1642" t="s">
        <v>2121</v>
      </c>
      <c r="F1642" t="s">
        <v>17</v>
      </c>
    </row>
    <row r="1643" spans="1:6" x14ac:dyDescent="0.3">
      <c r="A1643" t="s">
        <v>709</v>
      </c>
      <c r="B1643" t="s">
        <v>710</v>
      </c>
      <c r="C1643" t="str">
        <f>HYPERLINK("http://service.sap.com/sap/support/notes/1896434","1896434")</f>
        <v>1896434</v>
      </c>
      <c r="D1643">
        <v>1</v>
      </c>
      <c r="E1643" t="s">
        <v>2122</v>
      </c>
      <c r="F1643" t="s">
        <v>17</v>
      </c>
    </row>
    <row r="1644" spans="1:6" x14ac:dyDescent="0.3">
      <c r="A1644" t="s">
        <v>709</v>
      </c>
      <c r="B1644" t="s">
        <v>710</v>
      </c>
      <c r="C1644" t="str">
        <f>HYPERLINK("http://service.sap.com/sap/support/notes/1901612","1901612")</f>
        <v>1901612</v>
      </c>
      <c r="D1644">
        <v>1</v>
      </c>
      <c r="E1644" t="s">
        <v>2123</v>
      </c>
      <c r="F1644" t="s">
        <v>17</v>
      </c>
    </row>
    <row r="1645" spans="1:6" x14ac:dyDescent="0.3">
      <c r="A1645" t="s">
        <v>709</v>
      </c>
      <c r="B1645" t="s">
        <v>710</v>
      </c>
      <c r="C1645" t="str">
        <f>HYPERLINK("http://service.sap.com/sap/support/notes/1902376","1902376")</f>
        <v>1902376</v>
      </c>
      <c r="D1645">
        <v>2</v>
      </c>
      <c r="E1645" t="s">
        <v>2124</v>
      </c>
      <c r="F1645" t="s">
        <v>13</v>
      </c>
    </row>
    <row r="1646" spans="1:6" x14ac:dyDescent="0.3">
      <c r="A1646" t="s">
        <v>709</v>
      </c>
      <c r="B1646" t="s">
        <v>710</v>
      </c>
      <c r="C1646" t="str">
        <f>HYPERLINK("http://service.sap.com/sap/support/notes/1926249","1926249")</f>
        <v>1926249</v>
      </c>
      <c r="D1646">
        <v>1</v>
      </c>
      <c r="E1646" t="s">
        <v>2125</v>
      </c>
      <c r="F1646" t="s">
        <v>13</v>
      </c>
    </row>
    <row r="1647" spans="1:6" x14ac:dyDescent="0.3">
      <c r="A1647" t="s">
        <v>709</v>
      </c>
      <c r="B1647" t="s">
        <v>710</v>
      </c>
      <c r="C1647" t="str">
        <f>HYPERLINK("http://service.sap.com/sap/support/notes/1929534","1929534")</f>
        <v>1929534</v>
      </c>
      <c r="D1647">
        <v>1</v>
      </c>
      <c r="E1647" t="s">
        <v>2126</v>
      </c>
      <c r="F1647" t="s">
        <v>17</v>
      </c>
    </row>
    <row r="1648" spans="1:6" x14ac:dyDescent="0.3">
      <c r="A1648" t="s">
        <v>709</v>
      </c>
      <c r="B1648" t="s">
        <v>710</v>
      </c>
      <c r="C1648" t="str">
        <f>HYPERLINK("http://service.sap.com/sap/support/notes/1929739","1929739")</f>
        <v>1929739</v>
      </c>
      <c r="D1648">
        <v>2</v>
      </c>
      <c r="E1648" t="s">
        <v>2127</v>
      </c>
      <c r="F1648" t="s">
        <v>17</v>
      </c>
    </row>
    <row r="1649" spans="1:6" x14ac:dyDescent="0.3">
      <c r="A1649" t="s">
        <v>709</v>
      </c>
      <c r="B1649" t="s">
        <v>710</v>
      </c>
      <c r="C1649" t="str">
        <f>HYPERLINK("http://service.sap.com/sap/support/notes/1941965","1941965")</f>
        <v>1941965</v>
      </c>
      <c r="D1649">
        <v>2</v>
      </c>
      <c r="E1649" t="s">
        <v>2128</v>
      </c>
      <c r="F1649" t="s">
        <v>17</v>
      </c>
    </row>
    <row r="1650" spans="1:6" x14ac:dyDescent="0.3">
      <c r="A1650" t="s">
        <v>709</v>
      </c>
      <c r="B1650" t="s">
        <v>710</v>
      </c>
      <c r="C1650" t="str">
        <f>HYPERLINK("http://service.sap.com/sap/support/notes/1942834","1942834")</f>
        <v>1942834</v>
      </c>
      <c r="D1650">
        <v>2</v>
      </c>
      <c r="E1650" t="s">
        <v>2129</v>
      </c>
      <c r="F1650" t="s">
        <v>13</v>
      </c>
    </row>
    <row r="1651" spans="1:6" x14ac:dyDescent="0.3">
      <c r="A1651" t="s">
        <v>709</v>
      </c>
      <c r="B1651" t="s">
        <v>710</v>
      </c>
      <c r="C1651" t="str">
        <f>HYPERLINK("http://service.sap.com/sap/support/notes/1945475","1945475")</f>
        <v>1945475</v>
      </c>
      <c r="D1651">
        <v>1</v>
      </c>
      <c r="E1651" t="s">
        <v>2130</v>
      </c>
      <c r="F1651" t="s">
        <v>17</v>
      </c>
    </row>
    <row r="1652" spans="1:6" x14ac:dyDescent="0.3">
      <c r="A1652" t="s">
        <v>709</v>
      </c>
      <c r="B1652" t="s">
        <v>710</v>
      </c>
      <c r="C1652" t="str">
        <f>HYPERLINK("http://service.sap.com/sap/support/notes/1946177","1946177")</f>
        <v>1946177</v>
      </c>
      <c r="D1652">
        <v>1</v>
      </c>
      <c r="E1652" t="s">
        <v>2131</v>
      </c>
      <c r="F1652" t="s">
        <v>17</v>
      </c>
    </row>
    <row r="1653" spans="1:6" x14ac:dyDescent="0.3">
      <c r="A1653" t="s">
        <v>709</v>
      </c>
      <c r="B1653" t="s">
        <v>710</v>
      </c>
      <c r="C1653" t="str">
        <f>HYPERLINK("http://service.sap.com/sap/support/notes/1946858","1946858")</f>
        <v>1946858</v>
      </c>
      <c r="D1653">
        <v>1</v>
      </c>
      <c r="E1653" t="s">
        <v>2132</v>
      </c>
      <c r="F1653" t="s">
        <v>17</v>
      </c>
    </row>
    <row r="1654" spans="1:6" x14ac:dyDescent="0.3">
      <c r="A1654" t="s">
        <v>709</v>
      </c>
      <c r="B1654" t="s">
        <v>710</v>
      </c>
      <c r="C1654" t="str">
        <f>HYPERLINK("http://service.sap.com/sap/support/notes/1950496","1950496")</f>
        <v>1950496</v>
      </c>
      <c r="D1654">
        <v>1</v>
      </c>
      <c r="E1654" t="s">
        <v>2133</v>
      </c>
      <c r="F1654" t="s">
        <v>17</v>
      </c>
    </row>
    <row r="1655" spans="1:6" x14ac:dyDescent="0.3">
      <c r="A1655" t="s">
        <v>709</v>
      </c>
      <c r="B1655" t="s">
        <v>710</v>
      </c>
      <c r="C1655" t="str">
        <f>HYPERLINK("http://service.sap.com/sap/support/notes/1950678","1950678")</f>
        <v>1950678</v>
      </c>
      <c r="D1655">
        <v>2</v>
      </c>
      <c r="E1655" t="s">
        <v>2134</v>
      </c>
      <c r="F1655" t="s">
        <v>17</v>
      </c>
    </row>
    <row r="1656" spans="1:6" x14ac:dyDescent="0.3">
      <c r="A1656" t="s">
        <v>732</v>
      </c>
      <c r="B1656" t="s">
        <v>733</v>
      </c>
      <c r="C1656" t="str">
        <f>HYPERLINK("http://service.sap.com/sap/support/notes/1913409","1913409")</f>
        <v>1913409</v>
      </c>
      <c r="D1656">
        <v>2</v>
      </c>
      <c r="E1656" t="s">
        <v>2135</v>
      </c>
      <c r="F1656" t="s">
        <v>13</v>
      </c>
    </row>
    <row r="1657" spans="1:6" x14ac:dyDescent="0.3">
      <c r="A1657" t="s">
        <v>732</v>
      </c>
      <c r="B1657" t="s">
        <v>733</v>
      </c>
      <c r="C1657" t="str">
        <f>HYPERLINK("http://service.sap.com/sap/support/notes/1918696","1918696")</f>
        <v>1918696</v>
      </c>
      <c r="D1657">
        <v>1</v>
      </c>
      <c r="E1657" t="s">
        <v>2136</v>
      </c>
      <c r="F1657" t="s">
        <v>13</v>
      </c>
    </row>
    <row r="1658" spans="1:6" x14ac:dyDescent="0.3">
      <c r="A1658" t="s">
        <v>732</v>
      </c>
      <c r="B1658" t="s">
        <v>733</v>
      </c>
      <c r="C1658" t="str">
        <f>HYPERLINK("http://service.sap.com/sap/support/notes/1923680","1923680")</f>
        <v>1923680</v>
      </c>
      <c r="D1658">
        <v>1</v>
      </c>
      <c r="E1658" t="s">
        <v>2137</v>
      </c>
      <c r="F1658" t="s">
        <v>13</v>
      </c>
    </row>
    <row r="1659" spans="1:6" x14ac:dyDescent="0.3">
      <c r="A1659" t="s">
        <v>2138</v>
      </c>
      <c r="B1659" t="s">
        <v>631</v>
      </c>
      <c r="C1659" t="str">
        <f>HYPERLINK("http://service.sap.com/sap/support/notes/1928745","1928745")</f>
        <v>1928745</v>
      </c>
      <c r="D1659">
        <v>2</v>
      </c>
      <c r="E1659" t="s">
        <v>2139</v>
      </c>
      <c r="F1659" t="s">
        <v>13</v>
      </c>
    </row>
    <row r="1660" spans="1:6" x14ac:dyDescent="0.3">
      <c r="A1660" t="s">
        <v>2138</v>
      </c>
      <c r="B1660" t="s">
        <v>631</v>
      </c>
      <c r="C1660" t="str">
        <f>HYPERLINK("http://service.sap.com/sap/support/notes/1946261","1946261")</f>
        <v>1946261</v>
      </c>
      <c r="D1660">
        <v>3</v>
      </c>
      <c r="E1660" t="s">
        <v>2140</v>
      </c>
      <c r="F1660" t="s">
        <v>17</v>
      </c>
    </row>
    <row r="1661" spans="1:6" x14ac:dyDescent="0.3">
      <c r="A1661" t="s">
        <v>740</v>
      </c>
      <c r="B1661" t="s">
        <v>635</v>
      </c>
      <c r="C1661" t="str">
        <f>HYPERLINK("http://service.sap.com/sap/support/notes/1886547","1886547")</f>
        <v>1886547</v>
      </c>
      <c r="D1661">
        <v>5</v>
      </c>
      <c r="E1661" t="s">
        <v>2141</v>
      </c>
      <c r="F1661" t="s">
        <v>17</v>
      </c>
    </row>
    <row r="1662" spans="1:6" x14ac:dyDescent="0.3">
      <c r="A1662" t="s">
        <v>740</v>
      </c>
      <c r="B1662" t="s">
        <v>635</v>
      </c>
      <c r="C1662" t="str">
        <f>HYPERLINK("http://service.sap.com/sap/support/notes/1911996","1911996")</f>
        <v>1911996</v>
      </c>
      <c r="D1662">
        <v>4</v>
      </c>
      <c r="E1662" t="s">
        <v>2142</v>
      </c>
      <c r="F1662" t="s">
        <v>17</v>
      </c>
    </row>
    <row r="1663" spans="1:6" x14ac:dyDescent="0.3">
      <c r="A1663" t="s">
        <v>740</v>
      </c>
      <c r="B1663" t="s">
        <v>635</v>
      </c>
      <c r="C1663" t="str">
        <f>HYPERLINK("http://service.sap.com/sap/support/notes/1934079","1934079")</f>
        <v>1934079</v>
      </c>
      <c r="D1663">
        <v>1</v>
      </c>
      <c r="E1663" t="s">
        <v>2143</v>
      </c>
      <c r="F1663" t="s">
        <v>17</v>
      </c>
    </row>
    <row r="1664" spans="1:6" x14ac:dyDescent="0.3">
      <c r="A1664" t="s">
        <v>743</v>
      </c>
      <c r="B1664" t="s">
        <v>138</v>
      </c>
      <c r="C1664" t="str">
        <f>HYPERLINK("http://service.sap.com/sap/support/notes/1913478","1913478")</f>
        <v>1913478</v>
      </c>
      <c r="D1664">
        <v>2</v>
      </c>
      <c r="E1664" t="s">
        <v>2144</v>
      </c>
      <c r="F1664" t="s">
        <v>17</v>
      </c>
    </row>
    <row r="1665" spans="1:6" x14ac:dyDescent="0.3">
      <c r="A1665" t="s">
        <v>743</v>
      </c>
      <c r="B1665" t="s">
        <v>138</v>
      </c>
      <c r="C1665" t="str">
        <f>HYPERLINK("http://service.sap.com/sap/support/notes/1922280","1922280")</f>
        <v>1922280</v>
      </c>
      <c r="D1665">
        <v>1</v>
      </c>
      <c r="E1665" t="s">
        <v>2145</v>
      </c>
      <c r="F1665" t="s">
        <v>13</v>
      </c>
    </row>
    <row r="1666" spans="1:6" x14ac:dyDescent="0.3">
      <c r="A1666" t="s">
        <v>743</v>
      </c>
      <c r="B1666" t="s">
        <v>138</v>
      </c>
      <c r="C1666" t="str">
        <f>HYPERLINK("http://service.sap.com/sap/support/notes/1928717","1928717")</f>
        <v>1928717</v>
      </c>
      <c r="D1666">
        <v>2</v>
      </c>
      <c r="E1666" t="s">
        <v>2146</v>
      </c>
      <c r="F1666" t="s">
        <v>13</v>
      </c>
    </row>
    <row r="1667" spans="1:6" x14ac:dyDescent="0.3">
      <c r="A1667" t="s">
        <v>743</v>
      </c>
      <c r="B1667" t="s">
        <v>138</v>
      </c>
      <c r="C1667" t="str">
        <f>HYPERLINK("http://service.sap.com/sap/support/notes/1929401","1929401")</f>
        <v>1929401</v>
      </c>
      <c r="D1667">
        <v>1</v>
      </c>
      <c r="E1667" t="s">
        <v>2147</v>
      </c>
      <c r="F1667" t="s">
        <v>13</v>
      </c>
    </row>
    <row r="1668" spans="1:6" x14ac:dyDescent="0.3">
      <c r="A1668" t="s">
        <v>743</v>
      </c>
      <c r="B1668" t="s">
        <v>138</v>
      </c>
      <c r="C1668" t="str">
        <f>HYPERLINK("http://service.sap.com/sap/support/notes/1931327","1931327")</f>
        <v>1931327</v>
      </c>
      <c r="D1668">
        <v>1</v>
      </c>
      <c r="E1668" t="s">
        <v>2148</v>
      </c>
      <c r="F1668" t="s">
        <v>17</v>
      </c>
    </row>
    <row r="1669" spans="1:6" x14ac:dyDescent="0.3">
      <c r="A1669" t="s">
        <v>743</v>
      </c>
      <c r="B1669" t="s">
        <v>138</v>
      </c>
      <c r="C1669" t="str">
        <f>HYPERLINK("http://service.sap.com/sap/support/notes/1932735","1932735")</f>
        <v>1932735</v>
      </c>
      <c r="D1669">
        <v>1</v>
      </c>
      <c r="E1669" t="s">
        <v>2149</v>
      </c>
      <c r="F1669" t="s">
        <v>17</v>
      </c>
    </row>
    <row r="1670" spans="1:6" x14ac:dyDescent="0.3">
      <c r="A1670" t="s">
        <v>743</v>
      </c>
      <c r="B1670" t="s">
        <v>138</v>
      </c>
      <c r="C1670" t="str">
        <f>HYPERLINK("http://service.sap.com/sap/support/notes/1935067","1935067")</f>
        <v>1935067</v>
      </c>
      <c r="D1670">
        <v>1</v>
      </c>
      <c r="E1670" t="s">
        <v>2150</v>
      </c>
      <c r="F1670" t="s">
        <v>17</v>
      </c>
    </row>
    <row r="1671" spans="1:6" x14ac:dyDescent="0.3">
      <c r="A1671" t="s">
        <v>743</v>
      </c>
      <c r="B1671" t="s">
        <v>138</v>
      </c>
      <c r="C1671" t="str">
        <f>HYPERLINK("http://service.sap.com/sap/support/notes/1936109","1936109")</f>
        <v>1936109</v>
      </c>
      <c r="D1671">
        <v>1</v>
      </c>
      <c r="E1671" t="s">
        <v>2151</v>
      </c>
      <c r="F1671" t="s">
        <v>17</v>
      </c>
    </row>
    <row r="1672" spans="1:6" x14ac:dyDescent="0.3">
      <c r="A1672" t="s">
        <v>760</v>
      </c>
      <c r="B1672" t="s">
        <v>761</v>
      </c>
      <c r="C1672" t="str">
        <f>HYPERLINK("http://service.sap.com/sap/support/notes/1915590","1915590")</f>
        <v>1915590</v>
      </c>
      <c r="D1672">
        <v>1</v>
      </c>
      <c r="E1672" t="s">
        <v>2152</v>
      </c>
      <c r="F1672" t="s">
        <v>17</v>
      </c>
    </row>
    <row r="1673" spans="1:6" x14ac:dyDescent="0.3">
      <c r="A1673" t="s">
        <v>768</v>
      </c>
      <c r="B1673" t="s">
        <v>769</v>
      </c>
    </row>
    <row r="1674" spans="1:6" x14ac:dyDescent="0.3">
      <c r="A1674" t="s">
        <v>770</v>
      </c>
      <c r="B1674" t="s">
        <v>138</v>
      </c>
      <c r="C1674" t="str">
        <f>HYPERLINK("http://service.sap.com/sap/support/notes/1942600","1942600")</f>
        <v>1942600</v>
      </c>
      <c r="D1674">
        <v>1</v>
      </c>
      <c r="E1674" t="s">
        <v>2153</v>
      </c>
      <c r="F1674" t="s">
        <v>17</v>
      </c>
    </row>
    <row r="1675" spans="1:6" x14ac:dyDescent="0.3">
      <c r="A1675" t="s">
        <v>770</v>
      </c>
      <c r="B1675" t="s">
        <v>138</v>
      </c>
      <c r="C1675" t="str">
        <f>HYPERLINK("http://service.sap.com/sap/support/notes/1946034","1946034")</f>
        <v>1946034</v>
      </c>
      <c r="D1675">
        <v>1</v>
      </c>
      <c r="E1675" t="s">
        <v>2154</v>
      </c>
      <c r="F1675" t="s">
        <v>17</v>
      </c>
    </row>
    <row r="1676" spans="1:6" x14ac:dyDescent="0.3">
      <c r="A1676" t="s">
        <v>775</v>
      </c>
      <c r="B1676" t="s">
        <v>776</v>
      </c>
    </row>
    <row r="1677" spans="1:6" x14ac:dyDescent="0.3">
      <c r="A1677" t="s">
        <v>777</v>
      </c>
      <c r="B1677" t="s">
        <v>778</v>
      </c>
      <c r="C1677" t="str">
        <f>HYPERLINK("http://service.sap.com/sap/support/notes/899430","899430")</f>
        <v>899430</v>
      </c>
      <c r="D1677">
        <v>1</v>
      </c>
      <c r="E1677">
        <v>899430</v>
      </c>
      <c r="F1677" t="s">
        <v>94</v>
      </c>
    </row>
    <row r="1678" spans="1:6" x14ac:dyDescent="0.3">
      <c r="A1678" t="s">
        <v>777</v>
      </c>
      <c r="B1678" t="s">
        <v>778</v>
      </c>
      <c r="C1678" t="str">
        <f>HYPERLINK("http://service.sap.com/sap/support/notes/1800092","1800092")</f>
        <v>1800092</v>
      </c>
      <c r="D1678">
        <v>3</v>
      </c>
      <c r="E1678" t="s">
        <v>2155</v>
      </c>
      <c r="F1678" t="s">
        <v>17</v>
      </c>
    </row>
    <row r="1679" spans="1:6" x14ac:dyDescent="0.3">
      <c r="A1679" t="s">
        <v>777</v>
      </c>
      <c r="B1679" t="s">
        <v>778</v>
      </c>
      <c r="C1679" t="str">
        <f>HYPERLINK("http://service.sap.com/sap/support/notes/1855245","1855245")</f>
        <v>1855245</v>
      </c>
      <c r="D1679">
        <v>2</v>
      </c>
      <c r="E1679" t="s">
        <v>2156</v>
      </c>
      <c r="F1679" t="s">
        <v>13</v>
      </c>
    </row>
    <row r="1680" spans="1:6" x14ac:dyDescent="0.3">
      <c r="A1680" t="s">
        <v>777</v>
      </c>
      <c r="B1680" t="s">
        <v>778</v>
      </c>
      <c r="C1680" t="str">
        <f>HYPERLINK("http://service.sap.com/sap/support/notes/1861786","1861786")</f>
        <v>1861786</v>
      </c>
      <c r="D1680">
        <v>1</v>
      </c>
      <c r="E1680" t="s">
        <v>2157</v>
      </c>
      <c r="F1680" t="s">
        <v>17</v>
      </c>
    </row>
    <row r="1681" spans="1:6" x14ac:dyDescent="0.3">
      <c r="A1681" t="s">
        <v>777</v>
      </c>
      <c r="B1681" t="s">
        <v>778</v>
      </c>
      <c r="C1681" t="str">
        <f>HYPERLINK("http://service.sap.com/sap/support/notes/1866353","1866353")</f>
        <v>1866353</v>
      </c>
      <c r="D1681">
        <v>1</v>
      </c>
      <c r="E1681" t="s">
        <v>2158</v>
      </c>
      <c r="F1681" t="s">
        <v>13</v>
      </c>
    </row>
    <row r="1682" spans="1:6" x14ac:dyDescent="0.3">
      <c r="A1682" t="s">
        <v>777</v>
      </c>
      <c r="B1682" t="s">
        <v>778</v>
      </c>
      <c r="C1682" t="str">
        <f>HYPERLINK("http://service.sap.com/sap/support/notes/1889630","1889630")</f>
        <v>1889630</v>
      </c>
      <c r="D1682">
        <v>2</v>
      </c>
      <c r="E1682" t="s">
        <v>2159</v>
      </c>
      <c r="F1682" t="s">
        <v>13</v>
      </c>
    </row>
    <row r="1683" spans="1:6" x14ac:dyDescent="0.3">
      <c r="A1683" t="s">
        <v>777</v>
      </c>
      <c r="B1683" t="s">
        <v>778</v>
      </c>
      <c r="C1683" t="str">
        <f>HYPERLINK("http://service.sap.com/sap/support/notes/1892231","1892231")</f>
        <v>1892231</v>
      </c>
      <c r="D1683">
        <v>2</v>
      </c>
      <c r="E1683" t="s">
        <v>2160</v>
      </c>
      <c r="F1683" t="s">
        <v>11</v>
      </c>
    </row>
    <row r="1684" spans="1:6" x14ac:dyDescent="0.3">
      <c r="A1684" t="s">
        <v>777</v>
      </c>
      <c r="B1684" t="s">
        <v>778</v>
      </c>
      <c r="C1684" t="str">
        <f>HYPERLINK("http://service.sap.com/sap/support/notes/1896321","1896321")</f>
        <v>1896321</v>
      </c>
      <c r="D1684">
        <v>3</v>
      </c>
      <c r="E1684" t="s">
        <v>2161</v>
      </c>
      <c r="F1684" t="s">
        <v>13</v>
      </c>
    </row>
    <row r="1685" spans="1:6" x14ac:dyDescent="0.3">
      <c r="A1685" t="s">
        <v>777</v>
      </c>
      <c r="B1685" t="s">
        <v>778</v>
      </c>
      <c r="C1685" t="str">
        <f>HYPERLINK("http://service.sap.com/sap/support/notes/1898230","1898230")</f>
        <v>1898230</v>
      </c>
      <c r="D1685">
        <v>1</v>
      </c>
      <c r="E1685" t="s">
        <v>2162</v>
      </c>
      <c r="F1685" t="s">
        <v>17</v>
      </c>
    </row>
    <row r="1686" spans="1:6" x14ac:dyDescent="0.3">
      <c r="A1686" t="s">
        <v>777</v>
      </c>
      <c r="B1686" t="s">
        <v>778</v>
      </c>
      <c r="C1686" t="str">
        <f>HYPERLINK("http://service.sap.com/sap/support/notes/1898695","1898695")</f>
        <v>1898695</v>
      </c>
      <c r="D1686">
        <v>1</v>
      </c>
      <c r="E1686" t="s">
        <v>2163</v>
      </c>
      <c r="F1686" t="s">
        <v>17</v>
      </c>
    </row>
    <row r="1687" spans="1:6" x14ac:dyDescent="0.3">
      <c r="A1687" t="s">
        <v>777</v>
      </c>
      <c r="B1687" t="s">
        <v>778</v>
      </c>
      <c r="C1687" t="str">
        <f>HYPERLINK("http://service.sap.com/sap/support/notes/1909175","1909175")</f>
        <v>1909175</v>
      </c>
      <c r="D1687">
        <v>1</v>
      </c>
      <c r="E1687" t="s">
        <v>2164</v>
      </c>
      <c r="F1687" t="s">
        <v>13</v>
      </c>
    </row>
    <row r="1688" spans="1:6" x14ac:dyDescent="0.3">
      <c r="A1688" t="s">
        <v>777</v>
      </c>
      <c r="B1688" t="s">
        <v>778</v>
      </c>
      <c r="C1688" t="str">
        <f>HYPERLINK("http://service.sap.com/sap/support/notes/1920394","1920394")</f>
        <v>1920394</v>
      </c>
      <c r="D1688">
        <v>2</v>
      </c>
      <c r="E1688" t="s">
        <v>2165</v>
      </c>
      <c r="F1688" t="s">
        <v>13</v>
      </c>
    </row>
    <row r="1689" spans="1:6" x14ac:dyDescent="0.3">
      <c r="A1689" t="s">
        <v>777</v>
      </c>
      <c r="B1689" t="s">
        <v>778</v>
      </c>
      <c r="C1689" t="str">
        <f>HYPERLINK("http://service.sap.com/sap/support/notes/1926119","1926119")</f>
        <v>1926119</v>
      </c>
      <c r="D1689">
        <v>2</v>
      </c>
      <c r="E1689" t="s">
        <v>2166</v>
      </c>
      <c r="F1689" t="s">
        <v>17</v>
      </c>
    </row>
    <row r="1690" spans="1:6" x14ac:dyDescent="0.3">
      <c r="A1690" t="s">
        <v>777</v>
      </c>
      <c r="B1690" t="s">
        <v>778</v>
      </c>
      <c r="C1690" t="str">
        <f>HYPERLINK("http://service.sap.com/sap/support/notes/1927071","1927071")</f>
        <v>1927071</v>
      </c>
      <c r="D1690">
        <v>5</v>
      </c>
      <c r="E1690" t="s">
        <v>2167</v>
      </c>
      <c r="F1690" t="s">
        <v>17</v>
      </c>
    </row>
    <row r="1691" spans="1:6" x14ac:dyDescent="0.3">
      <c r="A1691" t="s">
        <v>777</v>
      </c>
      <c r="B1691" t="s">
        <v>778</v>
      </c>
      <c r="C1691" t="str">
        <f>HYPERLINK("http://service.sap.com/sap/support/notes/1930877","1930877")</f>
        <v>1930877</v>
      </c>
      <c r="D1691">
        <v>1</v>
      </c>
      <c r="E1691" t="s">
        <v>2168</v>
      </c>
      <c r="F1691" t="s">
        <v>11</v>
      </c>
    </row>
    <row r="1692" spans="1:6" x14ac:dyDescent="0.3">
      <c r="A1692" t="s">
        <v>777</v>
      </c>
      <c r="B1692" t="s">
        <v>778</v>
      </c>
      <c r="C1692" t="str">
        <f>HYPERLINK("http://service.sap.com/sap/support/notes/1936848","1936848")</f>
        <v>1936848</v>
      </c>
      <c r="D1692">
        <v>2</v>
      </c>
      <c r="E1692" t="s">
        <v>2169</v>
      </c>
      <c r="F1692" t="s">
        <v>17</v>
      </c>
    </row>
    <row r="1693" spans="1:6" x14ac:dyDescent="0.3">
      <c r="A1693" t="s">
        <v>777</v>
      </c>
      <c r="B1693" t="s">
        <v>778</v>
      </c>
      <c r="C1693" t="str">
        <f>HYPERLINK("http://service.sap.com/sap/support/notes/1945386","1945386")</f>
        <v>1945386</v>
      </c>
      <c r="D1693">
        <v>1</v>
      </c>
      <c r="E1693" t="s">
        <v>2170</v>
      </c>
      <c r="F1693" t="s">
        <v>17</v>
      </c>
    </row>
    <row r="1694" spans="1:6" x14ac:dyDescent="0.3">
      <c r="A1694" t="s">
        <v>796</v>
      </c>
      <c r="B1694" t="s">
        <v>797</v>
      </c>
      <c r="C1694" t="str">
        <f>HYPERLINK("http://service.sap.com/sap/support/notes/1921049","1921049")</f>
        <v>1921049</v>
      </c>
      <c r="D1694">
        <v>4</v>
      </c>
      <c r="E1694" t="s">
        <v>2171</v>
      </c>
      <c r="F1694" t="s">
        <v>17</v>
      </c>
    </row>
    <row r="1695" spans="1:6" x14ac:dyDescent="0.3">
      <c r="A1695" t="s">
        <v>812</v>
      </c>
      <c r="B1695" t="s">
        <v>813</v>
      </c>
      <c r="C1695" t="str">
        <f>HYPERLINK("http://service.sap.com/sap/support/notes/1746117","1746117")</f>
        <v>1746117</v>
      </c>
      <c r="D1695">
        <v>4</v>
      </c>
      <c r="E1695" t="s">
        <v>2172</v>
      </c>
      <c r="F1695" t="s">
        <v>17</v>
      </c>
    </row>
    <row r="1696" spans="1:6" x14ac:dyDescent="0.3">
      <c r="A1696" t="s">
        <v>812</v>
      </c>
      <c r="B1696" t="s">
        <v>813</v>
      </c>
      <c r="C1696" t="str">
        <f>HYPERLINK("http://service.sap.com/sap/support/notes/1853156","1853156")</f>
        <v>1853156</v>
      </c>
      <c r="D1696">
        <v>4</v>
      </c>
      <c r="E1696" t="s">
        <v>2173</v>
      </c>
      <c r="F1696" t="s">
        <v>17</v>
      </c>
    </row>
    <row r="1697" spans="1:6" x14ac:dyDescent="0.3">
      <c r="A1697" t="s">
        <v>812</v>
      </c>
      <c r="B1697" t="s">
        <v>813</v>
      </c>
      <c r="C1697" t="str">
        <f>HYPERLINK("http://service.sap.com/sap/support/notes/1901716","1901716")</f>
        <v>1901716</v>
      </c>
      <c r="D1697">
        <v>5</v>
      </c>
      <c r="E1697" t="s">
        <v>2174</v>
      </c>
      <c r="F1697" t="s">
        <v>17</v>
      </c>
    </row>
    <row r="1698" spans="1:6" x14ac:dyDescent="0.3">
      <c r="A1698" t="s">
        <v>812</v>
      </c>
      <c r="B1698" t="s">
        <v>813</v>
      </c>
      <c r="C1698" t="str">
        <f>HYPERLINK("http://service.sap.com/sap/support/notes/1903484","1903484")</f>
        <v>1903484</v>
      </c>
      <c r="D1698">
        <v>2</v>
      </c>
      <c r="E1698" t="s">
        <v>2175</v>
      </c>
      <c r="F1698" t="s">
        <v>17</v>
      </c>
    </row>
    <row r="1699" spans="1:6" x14ac:dyDescent="0.3">
      <c r="A1699" t="s">
        <v>812</v>
      </c>
      <c r="B1699" t="s">
        <v>813</v>
      </c>
      <c r="C1699" t="str">
        <f>HYPERLINK("http://service.sap.com/sap/support/notes/1910570","1910570")</f>
        <v>1910570</v>
      </c>
      <c r="D1699">
        <v>2</v>
      </c>
      <c r="E1699" t="s">
        <v>2176</v>
      </c>
      <c r="F1699" t="s">
        <v>17</v>
      </c>
    </row>
    <row r="1700" spans="1:6" x14ac:dyDescent="0.3">
      <c r="A1700" t="s">
        <v>812</v>
      </c>
      <c r="B1700" t="s">
        <v>813</v>
      </c>
      <c r="C1700" t="str">
        <f>HYPERLINK("http://service.sap.com/sap/support/notes/1917979","1917979")</f>
        <v>1917979</v>
      </c>
      <c r="D1700">
        <v>1</v>
      </c>
      <c r="E1700" t="s">
        <v>2177</v>
      </c>
      <c r="F1700" t="s">
        <v>17</v>
      </c>
    </row>
    <row r="1701" spans="1:6" x14ac:dyDescent="0.3">
      <c r="A1701" t="s">
        <v>812</v>
      </c>
      <c r="B1701" t="s">
        <v>813</v>
      </c>
      <c r="C1701" t="str">
        <f>HYPERLINK("http://service.sap.com/sap/support/notes/1922823","1922823")</f>
        <v>1922823</v>
      </c>
      <c r="D1701">
        <v>1</v>
      </c>
      <c r="E1701" t="s">
        <v>2178</v>
      </c>
      <c r="F1701" t="s">
        <v>17</v>
      </c>
    </row>
    <row r="1702" spans="1:6" x14ac:dyDescent="0.3">
      <c r="A1702" t="s">
        <v>812</v>
      </c>
      <c r="B1702" t="s">
        <v>813</v>
      </c>
      <c r="C1702" t="str">
        <f>HYPERLINK("http://service.sap.com/sap/support/notes/1929018","1929018")</f>
        <v>1929018</v>
      </c>
      <c r="D1702">
        <v>2</v>
      </c>
      <c r="E1702" t="s">
        <v>2179</v>
      </c>
      <c r="F1702" t="s">
        <v>17</v>
      </c>
    </row>
    <row r="1703" spans="1:6" x14ac:dyDescent="0.3">
      <c r="A1703" t="s">
        <v>812</v>
      </c>
      <c r="B1703" t="s">
        <v>813</v>
      </c>
      <c r="C1703" t="str">
        <f>HYPERLINK("http://service.sap.com/sap/support/notes/1929067","1929067")</f>
        <v>1929067</v>
      </c>
      <c r="D1703">
        <v>1</v>
      </c>
      <c r="E1703" t="s">
        <v>2180</v>
      </c>
      <c r="F1703" t="s">
        <v>17</v>
      </c>
    </row>
    <row r="1704" spans="1:6" x14ac:dyDescent="0.3">
      <c r="A1704" t="s">
        <v>812</v>
      </c>
      <c r="B1704" t="s">
        <v>813</v>
      </c>
      <c r="C1704" t="str">
        <f>HYPERLINK("http://service.sap.com/sap/support/notes/1931874","1931874")</f>
        <v>1931874</v>
      </c>
      <c r="D1704">
        <v>1</v>
      </c>
      <c r="E1704" t="s">
        <v>2181</v>
      </c>
      <c r="F1704" t="s">
        <v>17</v>
      </c>
    </row>
    <row r="1705" spans="1:6" x14ac:dyDescent="0.3">
      <c r="A1705" t="s">
        <v>812</v>
      </c>
      <c r="B1705" t="s">
        <v>813</v>
      </c>
      <c r="C1705" t="str">
        <f>HYPERLINK("http://service.sap.com/sap/support/notes/1932783","1932783")</f>
        <v>1932783</v>
      </c>
      <c r="D1705">
        <v>2</v>
      </c>
      <c r="E1705" t="s">
        <v>2182</v>
      </c>
      <c r="F1705" t="s">
        <v>17</v>
      </c>
    </row>
    <row r="1706" spans="1:6" x14ac:dyDescent="0.3">
      <c r="A1706" t="s">
        <v>812</v>
      </c>
      <c r="B1706" t="s">
        <v>813</v>
      </c>
      <c r="C1706" t="str">
        <f>HYPERLINK("http://service.sap.com/sap/support/notes/1949743","1949743")</f>
        <v>1949743</v>
      </c>
      <c r="D1706">
        <v>2</v>
      </c>
      <c r="E1706" t="s">
        <v>2183</v>
      </c>
      <c r="F1706" t="s">
        <v>17</v>
      </c>
    </row>
    <row r="1707" spans="1:6" x14ac:dyDescent="0.3">
      <c r="A1707" t="s">
        <v>825</v>
      </c>
      <c r="B1707" t="s">
        <v>826</v>
      </c>
      <c r="C1707" t="str">
        <f>HYPERLINK("http://service.sap.com/sap/support/notes/1931645","1931645")</f>
        <v>1931645</v>
      </c>
      <c r="D1707">
        <v>1</v>
      </c>
      <c r="E1707" t="s">
        <v>2184</v>
      </c>
      <c r="F1707" t="s">
        <v>17</v>
      </c>
    </row>
    <row r="1708" spans="1:6" x14ac:dyDescent="0.3">
      <c r="A1708" t="s">
        <v>825</v>
      </c>
      <c r="B1708" t="s">
        <v>826</v>
      </c>
      <c r="C1708" t="str">
        <f>HYPERLINK("http://service.sap.com/sap/support/notes/1933085","1933085")</f>
        <v>1933085</v>
      </c>
      <c r="D1708">
        <v>2</v>
      </c>
      <c r="E1708" t="s">
        <v>2185</v>
      </c>
      <c r="F1708" t="s">
        <v>17</v>
      </c>
    </row>
    <row r="1709" spans="1:6" x14ac:dyDescent="0.3">
      <c r="A1709" t="s">
        <v>839</v>
      </c>
      <c r="B1709" t="s">
        <v>840</v>
      </c>
      <c r="C1709" t="str">
        <f>HYPERLINK("http://service.sap.com/sap/support/notes/1849988","1849988")</f>
        <v>1849988</v>
      </c>
      <c r="D1709">
        <v>1</v>
      </c>
      <c r="E1709" t="s">
        <v>2186</v>
      </c>
      <c r="F1709" t="s">
        <v>13</v>
      </c>
    </row>
    <row r="1710" spans="1:6" x14ac:dyDescent="0.3">
      <c r="A1710" t="s">
        <v>839</v>
      </c>
      <c r="B1710" t="s">
        <v>840</v>
      </c>
      <c r="C1710" t="str">
        <f>HYPERLINK("http://service.sap.com/sap/support/notes/1854671","1854671")</f>
        <v>1854671</v>
      </c>
      <c r="D1710">
        <v>2</v>
      </c>
      <c r="E1710" t="s">
        <v>2187</v>
      </c>
      <c r="F1710" t="s">
        <v>13</v>
      </c>
    </row>
    <row r="1711" spans="1:6" x14ac:dyDescent="0.3">
      <c r="A1711" t="s">
        <v>839</v>
      </c>
      <c r="B1711" t="s">
        <v>840</v>
      </c>
      <c r="C1711" t="str">
        <f>HYPERLINK("http://service.sap.com/sap/support/notes/1935970","1935970")</f>
        <v>1935970</v>
      </c>
      <c r="D1711">
        <v>1</v>
      </c>
      <c r="E1711" t="s">
        <v>2188</v>
      </c>
      <c r="F1711" t="s">
        <v>17</v>
      </c>
    </row>
    <row r="1712" spans="1:6" x14ac:dyDescent="0.3">
      <c r="A1712" t="s">
        <v>839</v>
      </c>
      <c r="B1712" t="s">
        <v>840</v>
      </c>
      <c r="C1712" t="str">
        <f>HYPERLINK("http://service.sap.com/sap/support/notes/1937165","1937165")</f>
        <v>1937165</v>
      </c>
      <c r="D1712">
        <v>1</v>
      </c>
      <c r="E1712" t="s">
        <v>2189</v>
      </c>
      <c r="F1712" t="s">
        <v>17</v>
      </c>
    </row>
    <row r="1713" spans="1:6" x14ac:dyDescent="0.3">
      <c r="A1713" t="s">
        <v>848</v>
      </c>
      <c r="B1713" t="s">
        <v>849</v>
      </c>
      <c r="C1713" t="str">
        <f>HYPERLINK("http://service.sap.com/sap/support/notes/1866476","1866476")</f>
        <v>1866476</v>
      </c>
      <c r="D1713">
        <v>4</v>
      </c>
      <c r="E1713" t="s">
        <v>2190</v>
      </c>
      <c r="F1713" t="s">
        <v>17</v>
      </c>
    </row>
    <row r="1714" spans="1:6" x14ac:dyDescent="0.3">
      <c r="A1714" t="s">
        <v>848</v>
      </c>
      <c r="B1714" t="s">
        <v>849</v>
      </c>
      <c r="C1714" t="str">
        <f>HYPERLINK("http://service.sap.com/sap/support/notes/1908646","1908646")</f>
        <v>1908646</v>
      </c>
      <c r="D1714">
        <v>5</v>
      </c>
      <c r="E1714" t="s">
        <v>860</v>
      </c>
      <c r="F1714" t="s">
        <v>13</v>
      </c>
    </row>
    <row r="1715" spans="1:6" x14ac:dyDescent="0.3">
      <c r="A1715" t="s">
        <v>848</v>
      </c>
      <c r="B1715" t="s">
        <v>849</v>
      </c>
      <c r="C1715" t="str">
        <f>HYPERLINK("http://service.sap.com/sap/support/notes/1927133","1927133")</f>
        <v>1927133</v>
      </c>
      <c r="D1715">
        <v>2</v>
      </c>
      <c r="E1715" t="s">
        <v>2191</v>
      </c>
      <c r="F1715" t="s">
        <v>13</v>
      </c>
    </row>
    <row r="1716" spans="1:6" x14ac:dyDescent="0.3">
      <c r="A1716" t="s">
        <v>848</v>
      </c>
      <c r="B1716" t="s">
        <v>849</v>
      </c>
      <c r="C1716" t="str">
        <f>HYPERLINK("http://service.sap.com/sap/support/notes/1935715","1935715")</f>
        <v>1935715</v>
      </c>
      <c r="D1716">
        <v>1</v>
      </c>
      <c r="E1716" t="s">
        <v>2192</v>
      </c>
      <c r="F1716" t="s">
        <v>17</v>
      </c>
    </row>
    <row r="1717" spans="1:6" x14ac:dyDescent="0.3">
      <c r="A1717" t="s">
        <v>848</v>
      </c>
      <c r="B1717" t="s">
        <v>849</v>
      </c>
      <c r="C1717" t="str">
        <f>HYPERLINK("http://service.sap.com/sap/support/notes/1949738","1949738")</f>
        <v>1949738</v>
      </c>
      <c r="D1717">
        <v>5</v>
      </c>
      <c r="E1717" t="s">
        <v>2193</v>
      </c>
      <c r="F1717" t="s">
        <v>17</v>
      </c>
    </row>
    <row r="1718" spans="1:6" x14ac:dyDescent="0.3">
      <c r="A1718" t="s">
        <v>848</v>
      </c>
      <c r="B1718" t="s">
        <v>849</v>
      </c>
      <c r="C1718" t="str">
        <f>HYPERLINK("http://service.sap.com/sap/support/notes/1951331","1951331")</f>
        <v>1951331</v>
      </c>
      <c r="D1718">
        <v>2</v>
      </c>
      <c r="E1718" t="s">
        <v>2194</v>
      </c>
      <c r="F1718" t="s">
        <v>17</v>
      </c>
    </row>
    <row r="1719" spans="1:6" x14ac:dyDescent="0.3">
      <c r="A1719" t="s">
        <v>848</v>
      </c>
      <c r="B1719" t="s">
        <v>849</v>
      </c>
      <c r="C1719" t="str">
        <f>HYPERLINK("http://service.sap.com/sap/support/notes/1952572","1952572")</f>
        <v>1952572</v>
      </c>
      <c r="D1719">
        <v>1</v>
      </c>
      <c r="E1719" t="s">
        <v>2195</v>
      </c>
      <c r="F1719" t="s">
        <v>17</v>
      </c>
    </row>
    <row r="1720" spans="1:6" x14ac:dyDescent="0.3">
      <c r="A1720" t="s">
        <v>848</v>
      </c>
      <c r="B1720" t="s">
        <v>849</v>
      </c>
      <c r="C1720" t="str">
        <f>HYPERLINK("http://service.sap.com/sap/support/notes/1953011","1953011")</f>
        <v>1953011</v>
      </c>
      <c r="D1720">
        <v>2</v>
      </c>
      <c r="E1720" t="s">
        <v>2196</v>
      </c>
      <c r="F1720" t="s">
        <v>17</v>
      </c>
    </row>
    <row r="1721" spans="1:6" x14ac:dyDescent="0.3">
      <c r="A1721" t="s">
        <v>861</v>
      </c>
      <c r="B1721" t="s">
        <v>862</v>
      </c>
      <c r="C1721" t="str">
        <f>HYPERLINK("http://service.sap.com/sap/support/notes/1940367","1940367")</f>
        <v>1940367</v>
      </c>
      <c r="D1721">
        <v>9</v>
      </c>
      <c r="E1721" t="s">
        <v>2197</v>
      </c>
      <c r="F1721" t="s">
        <v>17</v>
      </c>
    </row>
    <row r="1722" spans="1:6" x14ac:dyDescent="0.3">
      <c r="A1722" t="s">
        <v>871</v>
      </c>
      <c r="B1722" t="s">
        <v>872</v>
      </c>
    </row>
    <row r="1723" spans="1:6" x14ac:dyDescent="0.3">
      <c r="A1723" t="s">
        <v>873</v>
      </c>
      <c r="B1723" t="s">
        <v>874</v>
      </c>
      <c r="C1723" t="str">
        <f>HYPERLINK("http://service.sap.com/sap/support/notes/1837700","1837700")</f>
        <v>1837700</v>
      </c>
      <c r="D1723">
        <v>2</v>
      </c>
      <c r="E1723" t="s">
        <v>2198</v>
      </c>
      <c r="F1723" t="s">
        <v>17</v>
      </c>
    </row>
    <row r="1724" spans="1:6" x14ac:dyDescent="0.3">
      <c r="A1724" t="s">
        <v>873</v>
      </c>
      <c r="B1724" t="s">
        <v>874</v>
      </c>
      <c r="C1724" t="str">
        <f>HYPERLINK("http://service.sap.com/sap/support/notes/1840141","1840141")</f>
        <v>1840141</v>
      </c>
      <c r="D1724">
        <v>2</v>
      </c>
      <c r="E1724" t="s">
        <v>2199</v>
      </c>
      <c r="F1724" t="s">
        <v>17</v>
      </c>
    </row>
    <row r="1725" spans="1:6" x14ac:dyDescent="0.3">
      <c r="A1725" t="s">
        <v>873</v>
      </c>
      <c r="B1725" t="s">
        <v>874</v>
      </c>
      <c r="C1725" t="str">
        <f>HYPERLINK("http://service.sap.com/sap/support/notes/1914795","1914795")</f>
        <v>1914795</v>
      </c>
      <c r="D1725">
        <v>1</v>
      </c>
      <c r="E1725" t="s">
        <v>2200</v>
      </c>
      <c r="F1725" t="s">
        <v>17</v>
      </c>
    </row>
    <row r="1726" spans="1:6" x14ac:dyDescent="0.3">
      <c r="A1726" t="s">
        <v>873</v>
      </c>
      <c r="B1726" t="s">
        <v>874</v>
      </c>
      <c r="C1726" t="str">
        <f>HYPERLINK("http://service.sap.com/sap/support/notes/1915234","1915234")</f>
        <v>1915234</v>
      </c>
      <c r="D1726">
        <v>2</v>
      </c>
      <c r="E1726" t="s">
        <v>2201</v>
      </c>
      <c r="F1726" t="s">
        <v>13</v>
      </c>
    </row>
    <row r="1727" spans="1:6" x14ac:dyDescent="0.3">
      <c r="A1727" t="s">
        <v>873</v>
      </c>
      <c r="B1727" t="s">
        <v>874</v>
      </c>
      <c r="C1727" t="str">
        <f>HYPERLINK("http://service.sap.com/sap/support/notes/1926922","1926922")</f>
        <v>1926922</v>
      </c>
      <c r="D1727">
        <v>1</v>
      </c>
      <c r="E1727" t="s">
        <v>2202</v>
      </c>
      <c r="F1727" t="s">
        <v>13</v>
      </c>
    </row>
    <row r="1728" spans="1:6" x14ac:dyDescent="0.3">
      <c r="A1728" t="s">
        <v>873</v>
      </c>
      <c r="B1728" t="s">
        <v>874</v>
      </c>
      <c r="C1728" t="str">
        <f>HYPERLINK("http://service.sap.com/sap/support/notes/1927623","1927623")</f>
        <v>1927623</v>
      </c>
      <c r="D1728">
        <v>1</v>
      </c>
      <c r="E1728" t="s">
        <v>2203</v>
      </c>
      <c r="F1728" t="s">
        <v>11</v>
      </c>
    </row>
    <row r="1729" spans="1:6" x14ac:dyDescent="0.3">
      <c r="A1729" t="s">
        <v>873</v>
      </c>
      <c r="B1729" t="s">
        <v>874</v>
      </c>
      <c r="C1729" t="str">
        <f>HYPERLINK("http://service.sap.com/sap/support/notes/1929113","1929113")</f>
        <v>1929113</v>
      </c>
      <c r="D1729">
        <v>1</v>
      </c>
      <c r="E1729" t="s">
        <v>2204</v>
      </c>
      <c r="F1729" t="s">
        <v>17</v>
      </c>
    </row>
    <row r="1730" spans="1:6" x14ac:dyDescent="0.3">
      <c r="A1730" t="s">
        <v>887</v>
      </c>
      <c r="B1730" t="s">
        <v>888</v>
      </c>
      <c r="C1730" t="str">
        <f>HYPERLINK("http://service.sap.com/sap/support/notes/855538","855538")</f>
        <v>855538</v>
      </c>
      <c r="D1730">
        <v>1</v>
      </c>
      <c r="E1730" t="s">
        <v>889</v>
      </c>
      <c r="F1730" t="s">
        <v>13</v>
      </c>
    </row>
    <row r="1731" spans="1:6" x14ac:dyDescent="0.3">
      <c r="A1731" t="s">
        <v>887</v>
      </c>
      <c r="B1731" t="s">
        <v>888</v>
      </c>
      <c r="C1731" t="str">
        <f>HYPERLINK("http://service.sap.com/sap/support/notes/1928146","1928146")</f>
        <v>1928146</v>
      </c>
      <c r="D1731">
        <v>1</v>
      </c>
      <c r="E1731" t="s">
        <v>2205</v>
      </c>
      <c r="F1731" t="s">
        <v>17</v>
      </c>
    </row>
    <row r="1732" spans="1:6" x14ac:dyDescent="0.3">
      <c r="A1732" t="s">
        <v>887</v>
      </c>
      <c r="B1732" t="s">
        <v>888</v>
      </c>
      <c r="C1732" t="str">
        <f>HYPERLINK("http://service.sap.com/sap/support/notes/1934490","1934490")</f>
        <v>1934490</v>
      </c>
      <c r="D1732">
        <v>1</v>
      </c>
      <c r="E1732" t="s">
        <v>2206</v>
      </c>
      <c r="F1732" t="s">
        <v>17</v>
      </c>
    </row>
    <row r="1733" spans="1:6" x14ac:dyDescent="0.3">
      <c r="A1733" t="s">
        <v>887</v>
      </c>
      <c r="B1733" t="s">
        <v>888</v>
      </c>
      <c r="C1733" t="str">
        <f>HYPERLINK("http://service.sap.com/sap/support/notes/1948327","1948327")</f>
        <v>1948327</v>
      </c>
      <c r="D1733">
        <v>2</v>
      </c>
      <c r="E1733" t="s">
        <v>2207</v>
      </c>
      <c r="F1733" t="s">
        <v>17</v>
      </c>
    </row>
    <row r="1734" spans="1:6" x14ac:dyDescent="0.3">
      <c r="A1734" t="s">
        <v>906</v>
      </c>
      <c r="B1734" t="s">
        <v>346</v>
      </c>
      <c r="C1734" t="str">
        <f>HYPERLINK("http://service.sap.com/sap/support/notes/1882138","1882138")</f>
        <v>1882138</v>
      </c>
      <c r="D1734">
        <v>2</v>
      </c>
      <c r="E1734" t="s">
        <v>2208</v>
      </c>
      <c r="F1734" t="s">
        <v>17</v>
      </c>
    </row>
    <row r="1735" spans="1:6" x14ac:dyDescent="0.3">
      <c r="A1735" t="s">
        <v>906</v>
      </c>
      <c r="B1735" t="s">
        <v>346</v>
      </c>
      <c r="C1735" t="str">
        <f>HYPERLINK("http://service.sap.com/sap/support/notes/1931776","1931776")</f>
        <v>1931776</v>
      </c>
      <c r="D1735">
        <v>3</v>
      </c>
      <c r="E1735" t="s">
        <v>2209</v>
      </c>
      <c r="F1735" t="s">
        <v>13</v>
      </c>
    </row>
    <row r="1736" spans="1:6" x14ac:dyDescent="0.3">
      <c r="A1736" t="s">
        <v>906</v>
      </c>
      <c r="B1736" t="s">
        <v>346</v>
      </c>
      <c r="C1736" t="str">
        <f>HYPERLINK("http://service.sap.com/sap/support/notes/1945238","1945238")</f>
        <v>1945238</v>
      </c>
      <c r="D1736">
        <v>3</v>
      </c>
      <c r="E1736" t="s">
        <v>2210</v>
      </c>
      <c r="F1736" t="s">
        <v>17</v>
      </c>
    </row>
    <row r="1737" spans="1:6" x14ac:dyDescent="0.3">
      <c r="A1737" t="s">
        <v>906</v>
      </c>
      <c r="B1737" t="s">
        <v>346</v>
      </c>
      <c r="C1737" t="str">
        <f>HYPERLINK("http://service.sap.com/sap/support/notes/1949158","1949158")</f>
        <v>1949158</v>
      </c>
      <c r="D1737">
        <v>1</v>
      </c>
      <c r="E1737" t="s">
        <v>2211</v>
      </c>
      <c r="F1737" t="s">
        <v>17</v>
      </c>
    </row>
    <row r="1738" spans="1:6" x14ac:dyDescent="0.3">
      <c r="A1738" t="s">
        <v>906</v>
      </c>
      <c r="B1738" t="s">
        <v>346</v>
      </c>
      <c r="C1738" t="str">
        <f>HYPERLINK("http://service.sap.com/sap/support/notes/1951461","1951461")</f>
        <v>1951461</v>
      </c>
      <c r="D1738">
        <v>2</v>
      </c>
      <c r="E1738" t="s">
        <v>2212</v>
      </c>
      <c r="F1738" t="s">
        <v>17</v>
      </c>
    </row>
    <row r="1739" spans="1:6" x14ac:dyDescent="0.3">
      <c r="A1739" t="s">
        <v>908</v>
      </c>
      <c r="B1739" t="s">
        <v>909</v>
      </c>
      <c r="C1739" t="str">
        <f>HYPERLINK("http://service.sap.com/sap/support/notes/1567125","1567125")</f>
        <v>1567125</v>
      </c>
      <c r="D1739">
        <v>3</v>
      </c>
      <c r="E1739" t="s">
        <v>2213</v>
      </c>
      <c r="F1739" t="s">
        <v>11</v>
      </c>
    </row>
    <row r="1740" spans="1:6" x14ac:dyDescent="0.3">
      <c r="A1740" t="s">
        <v>908</v>
      </c>
      <c r="B1740" t="s">
        <v>909</v>
      </c>
      <c r="C1740" t="str">
        <f>HYPERLINK("http://service.sap.com/sap/support/notes/1914688","1914688")</f>
        <v>1914688</v>
      </c>
      <c r="D1740">
        <v>1</v>
      </c>
      <c r="E1740" t="s">
        <v>2214</v>
      </c>
      <c r="F1740" t="s">
        <v>17</v>
      </c>
    </row>
    <row r="1741" spans="1:6" x14ac:dyDescent="0.3">
      <c r="A1741" t="s">
        <v>908</v>
      </c>
      <c r="B1741" t="s">
        <v>909</v>
      </c>
      <c r="C1741" t="str">
        <f>HYPERLINK("http://service.sap.com/sap/support/notes/1918723","1918723")</f>
        <v>1918723</v>
      </c>
      <c r="D1741">
        <v>2</v>
      </c>
      <c r="E1741" t="s">
        <v>2215</v>
      </c>
      <c r="F1741" t="s">
        <v>17</v>
      </c>
    </row>
    <row r="1742" spans="1:6" x14ac:dyDescent="0.3">
      <c r="A1742" t="s">
        <v>908</v>
      </c>
      <c r="B1742" t="s">
        <v>909</v>
      </c>
      <c r="C1742" t="str">
        <f>HYPERLINK("http://service.sap.com/sap/support/notes/1921088","1921088")</f>
        <v>1921088</v>
      </c>
      <c r="D1742">
        <v>1</v>
      </c>
      <c r="E1742" t="s">
        <v>2216</v>
      </c>
      <c r="F1742" t="s">
        <v>17</v>
      </c>
    </row>
    <row r="1743" spans="1:6" x14ac:dyDescent="0.3">
      <c r="A1743" t="s">
        <v>908</v>
      </c>
      <c r="B1743" t="s">
        <v>909</v>
      </c>
      <c r="C1743" t="str">
        <f>HYPERLINK("http://service.sap.com/sap/support/notes/1932102","1932102")</f>
        <v>1932102</v>
      </c>
      <c r="D1743">
        <v>1</v>
      </c>
      <c r="E1743" t="s">
        <v>2217</v>
      </c>
      <c r="F1743" t="s">
        <v>17</v>
      </c>
    </row>
    <row r="1744" spans="1:6" x14ac:dyDescent="0.3">
      <c r="A1744" t="s">
        <v>908</v>
      </c>
      <c r="B1744" t="s">
        <v>909</v>
      </c>
      <c r="C1744" t="str">
        <f>HYPERLINK("http://service.sap.com/sap/support/notes/1938324","1938324")</f>
        <v>1938324</v>
      </c>
      <c r="D1744">
        <v>1</v>
      </c>
      <c r="E1744" t="s">
        <v>2218</v>
      </c>
      <c r="F1744" t="s">
        <v>17</v>
      </c>
    </row>
    <row r="1745" spans="1:6" x14ac:dyDescent="0.3">
      <c r="A1745" t="s">
        <v>908</v>
      </c>
      <c r="B1745" t="s">
        <v>909</v>
      </c>
      <c r="C1745" t="str">
        <f>HYPERLINK("http://service.sap.com/sap/support/notes/1938534","1938534")</f>
        <v>1938534</v>
      </c>
      <c r="D1745">
        <v>3</v>
      </c>
      <c r="E1745" t="s">
        <v>2219</v>
      </c>
      <c r="F1745" t="s">
        <v>17</v>
      </c>
    </row>
    <row r="1746" spans="1:6" x14ac:dyDescent="0.3">
      <c r="A1746" t="s">
        <v>908</v>
      </c>
      <c r="B1746" t="s">
        <v>909</v>
      </c>
      <c r="C1746" t="str">
        <f>HYPERLINK("http://service.sap.com/sap/support/notes/1938652","1938652")</f>
        <v>1938652</v>
      </c>
      <c r="D1746">
        <v>2</v>
      </c>
      <c r="E1746" t="s">
        <v>2220</v>
      </c>
      <c r="F1746" t="s">
        <v>17</v>
      </c>
    </row>
    <row r="1747" spans="1:6" x14ac:dyDescent="0.3">
      <c r="A1747" t="s">
        <v>908</v>
      </c>
      <c r="B1747" t="s">
        <v>909</v>
      </c>
      <c r="C1747" t="str">
        <f>HYPERLINK("http://service.sap.com/sap/support/notes/1952227","1952227")</f>
        <v>1952227</v>
      </c>
      <c r="D1747">
        <v>1</v>
      </c>
      <c r="E1747" t="s">
        <v>2221</v>
      </c>
      <c r="F1747" t="s">
        <v>13</v>
      </c>
    </row>
    <row r="1748" spans="1:6" x14ac:dyDescent="0.3">
      <c r="A1748" t="s">
        <v>929</v>
      </c>
      <c r="B1748" t="s">
        <v>930</v>
      </c>
      <c r="C1748" t="str">
        <f>HYPERLINK("http://service.sap.com/sap/support/notes/1920583","1920583")</f>
        <v>1920583</v>
      </c>
      <c r="D1748">
        <v>4</v>
      </c>
      <c r="E1748" t="s">
        <v>2222</v>
      </c>
      <c r="F1748" t="s">
        <v>13</v>
      </c>
    </row>
    <row r="1749" spans="1:6" x14ac:dyDescent="0.3">
      <c r="A1749" t="s">
        <v>2223</v>
      </c>
      <c r="B1749" t="s">
        <v>2224</v>
      </c>
      <c r="C1749" t="str">
        <f>HYPERLINK("http://service.sap.com/sap/support/notes/1921868","1921868")</f>
        <v>1921868</v>
      </c>
      <c r="D1749">
        <v>1</v>
      </c>
      <c r="E1749" t="s">
        <v>2225</v>
      </c>
      <c r="F1749" t="s">
        <v>13</v>
      </c>
    </row>
    <row r="1750" spans="1:6" x14ac:dyDescent="0.3">
      <c r="A1750" t="s">
        <v>933</v>
      </c>
      <c r="B1750" t="s">
        <v>733</v>
      </c>
      <c r="C1750" t="str">
        <f>HYPERLINK("http://service.sap.com/sap/support/notes/1918625","1918625")</f>
        <v>1918625</v>
      </c>
      <c r="D1750">
        <v>1</v>
      </c>
      <c r="E1750" t="s">
        <v>2226</v>
      </c>
      <c r="F1750" t="s">
        <v>11</v>
      </c>
    </row>
    <row r="1751" spans="1:6" x14ac:dyDescent="0.3">
      <c r="A1751" t="s">
        <v>933</v>
      </c>
      <c r="B1751" t="s">
        <v>733</v>
      </c>
      <c r="C1751" t="str">
        <f>HYPERLINK("http://service.sap.com/sap/support/notes/1940481","1940481")</f>
        <v>1940481</v>
      </c>
      <c r="D1751">
        <v>1</v>
      </c>
      <c r="E1751" t="s">
        <v>2227</v>
      </c>
      <c r="F1751" t="s">
        <v>17</v>
      </c>
    </row>
    <row r="1752" spans="1:6" x14ac:dyDescent="0.3">
      <c r="A1752" t="s">
        <v>933</v>
      </c>
      <c r="B1752" t="s">
        <v>733</v>
      </c>
      <c r="C1752" t="str">
        <f>HYPERLINK("http://service.sap.com/sap/support/notes/1943241","1943241")</f>
        <v>1943241</v>
      </c>
      <c r="D1752">
        <v>1</v>
      </c>
      <c r="E1752" t="s">
        <v>2228</v>
      </c>
      <c r="F1752" t="s">
        <v>17</v>
      </c>
    </row>
    <row r="1753" spans="1:6" x14ac:dyDescent="0.3">
      <c r="A1753" t="s">
        <v>933</v>
      </c>
      <c r="B1753" t="s">
        <v>733</v>
      </c>
      <c r="C1753" t="str">
        <f>HYPERLINK("http://service.sap.com/sap/support/notes/1943984","1943984")</f>
        <v>1943984</v>
      </c>
      <c r="D1753">
        <v>1</v>
      </c>
      <c r="E1753" t="s">
        <v>2229</v>
      </c>
      <c r="F1753" t="s">
        <v>17</v>
      </c>
    </row>
    <row r="1754" spans="1:6" x14ac:dyDescent="0.3">
      <c r="A1754" t="s">
        <v>933</v>
      </c>
      <c r="B1754" t="s">
        <v>733</v>
      </c>
      <c r="C1754" t="str">
        <f>HYPERLINK("http://service.sap.com/sap/support/notes/1946038","1946038")</f>
        <v>1946038</v>
      </c>
      <c r="D1754">
        <v>1</v>
      </c>
      <c r="E1754" t="s">
        <v>2227</v>
      </c>
      <c r="F1754" t="s">
        <v>17</v>
      </c>
    </row>
    <row r="1755" spans="1:6" x14ac:dyDescent="0.3">
      <c r="A1755" t="s">
        <v>933</v>
      </c>
      <c r="B1755" t="s">
        <v>733</v>
      </c>
      <c r="C1755" t="str">
        <f>HYPERLINK("http://service.sap.com/sap/support/notes/1949189","1949189")</f>
        <v>1949189</v>
      </c>
      <c r="D1755">
        <v>2</v>
      </c>
      <c r="E1755" t="s">
        <v>2230</v>
      </c>
      <c r="F1755" t="s">
        <v>17</v>
      </c>
    </row>
    <row r="1756" spans="1:6" x14ac:dyDescent="0.3">
      <c r="A1756" t="s">
        <v>942</v>
      </c>
      <c r="B1756" t="s">
        <v>943</v>
      </c>
      <c r="C1756" t="str">
        <f>HYPERLINK("http://service.sap.com/sap/support/notes/1897340","1897340")</f>
        <v>1897340</v>
      </c>
      <c r="D1756">
        <v>2</v>
      </c>
      <c r="E1756" t="s">
        <v>2231</v>
      </c>
      <c r="F1756" t="s">
        <v>11</v>
      </c>
    </row>
    <row r="1757" spans="1:6" x14ac:dyDescent="0.3">
      <c r="A1757" t="s">
        <v>942</v>
      </c>
      <c r="B1757" t="s">
        <v>943</v>
      </c>
      <c r="C1757" t="str">
        <f>HYPERLINK("http://service.sap.com/sap/support/notes/1914272","1914272")</f>
        <v>1914272</v>
      </c>
      <c r="D1757">
        <v>2</v>
      </c>
      <c r="E1757" t="s">
        <v>2232</v>
      </c>
      <c r="F1757" t="s">
        <v>17</v>
      </c>
    </row>
    <row r="1758" spans="1:6" x14ac:dyDescent="0.3">
      <c r="A1758" t="s">
        <v>942</v>
      </c>
      <c r="B1758" t="s">
        <v>943</v>
      </c>
      <c r="C1758" t="str">
        <f>HYPERLINK("http://service.sap.com/sap/support/notes/1916751","1916751")</f>
        <v>1916751</v>
      </c>
      <c r="D1758">
        <v>3</v>
      </c>
      <c r="E1758" t="s">
        <v>2233</v>
      </c>
      <c r="F1758" t="s">
        <v>11</v>
      </c>
    </row>
    <row r="1759" spans="1:6" x14ac:dyDescent="0.3">
      <c r="A1759" t="s">
        <v>942</v>
      </c>
      <c r="B1759" t="s">
        <v>943</v>
      </c>
      <c r="C1759" t="str">
        <f>HYPERLINK("http://service.sap.com/sap/support/notes/1917495","1917495")</f>
        <v>1917495</v>
      </c>
      <c r="D1759">
        <v>2</v>
      </c>
      <c r="E1759" t="s">
        <v>2234</v>
      </c>
      <c r="F1759" t="s">
        <v>17</v>
      </c>
    </row>
    <row r="1760" spans="1:6" x14ac:dyDescent="0.3">
      <c r="A1760" t="s">
        <v>942</v>
      </c>
      <c r="B1760" t="s">
        <v>943</v>
      </c>
      <c r="C1760" t="str">
        <f>HYPERLINK("http://service.sap.com/sap/support/notes/1919253","1919253")</f>
        <v>1919253</v>
      </c>
      <c r="D1760">
        <v>3</v>
      </c>
      <c r="E1760" t="s">
        <v>2235</v>
      </c>
      <c r="F1760" t="s">
        <v>11</v>
      </c>
    </row>
    <row r="1761" spans="1:6" x14ac:dyDescent="0.3">
      <c r="A1761" t="s">
        <v>942</v>
      </c>
      <c r="B1761" t="s">
        <v>943</v>
      </c>
      <c r="C1761" t="str">
        <f>HYPERLINK("http://service.sap.com/sap/support/notes/1922362","1922362")</f>
        <v>1922362</v>
      </c>
      <c r="D1761">
        <v>1</v>
      </c>
      <c r="E1761" t="s">
        <v>2236</v>
      </c>
      <c r="F1761" t="s">
        <v>11</v>
      </c>
    </row>
    <row r="1762" spans="1:6" x14ac:dyDescent="0.3">
      <c r="A1762" t="s">
        <v>942</v>
      </c>
      <c r="B1762" t="s">
        <v>943</v>
      </c>
      <c r="C1762" t="str">
        <f>HYPERLINK("http://service.sap.com/sap/support/notes/1928318","1928318")</f>
        <v>1928318</v>
      </c>
      <c r="D1762">
        <v>1</v>
      </c>
      <c r="E1762" t="s">
        <v>2237</v>
      </c>
      <c r="F1762" t="s">
        <v>13</v>
      </c>
    </row>
    <row r="1763" spans="1:6" x14ac:dyDescent="0.3">
      <c r="A1763" t="s">
        <v>942</v>
      </c>
      <c r="B1763" t="s">
        <v>943</v>
      </c>
      <c r="C1763" t="str">
        <f>HYPERLINK("http://service.sap.com/sap/support/notes/1935365","1935365")</f>
        <v>1935365</v>
      </c>
      <c r="D1763">
        <v>2</v>
      </c>
      <c r="E1763" t="s">
        <v>2238</v>
      </c>
      <c r="F1763" t="s">
        <v>17</v>
      </c>
    </row>
    <row r="1764" spans="1:6" x14ac:dyDescent="0.3">
      <c r="A1764" t="s">
        <v>942</v>
      </c>
      <c r="B1764" t="s">
        <v>943</v>
      </c>
      <c r="C1764" t="str">
        <f>HYPERLINK("http://service.sap.com/sap/support/notes/1943169","1943169")</f>
        <v>1943169</v>
      </c>
      <c r="D1764">
        <v>2</v>
      </c>
      <c r="E1764" t="s">
        <v>2239</v>
      </c>
      <c r="F1764" t="s">
        <v>17</v>
      </c>
    </row>
    <row r="1765" spans="1:6" x14ac:dyDescent="0.3">
      <c r="A1765" t="s">
        <v>978</v>
      </c>
      <c r="B1765" t="s">
        <v>979</v>
      </c>
      <c r="C1765" t="str">
        <f>HYPERLINK("http://service.sap.com/sap/support/notes/1742975","1742975")</f>
        <v>1742975</v>
      </c>
      <c r="D1765">
        <v>5</v>
      </c>
      <c r="E1765" t="s">
        <v>2240</v>
      </c>
      <c r="F1765" t="s">
        <v>17</v>
      </c>
    </row>
    <row r="1766" spans="1:6" x14ac:dyDescent="0.3">
      <c r="A1766" t="s">
        <v>978</v>
      </c>
      <c r="B1766" t="s">
        <v>979</v>
      </c>
      <c r="C1766" t="str">
        <f>HYPERLINK("http://service.sap.com/sap/support/notes/1761328","1761328")</f>
        <v>1761328</v>
      </c>
      <c r="D1766">
        <v>3</v>
      </c>
      <c r="E1766" t="s">
        <v>2241</v>
      </c>
      <c r="F1766" t="s">
        <v>17</v>
      </c>
    </row>
    <row r="1767" spans="1:6" x14ac:dyDescent="0.3">
      <c r="A1767" t="s">
        <v>978</v>
      </c>
      <c r="B1767" t="s">
        <v>979</v>
      </c>
      <c r="C1767" t="str">
        <f>HYPERLINK("http://service.sap.com/sap/support/notes/1807238","1807238")</f>
        <v>1807238</v>
      </c>
      <c r="D1767">
        <v>4</v>
      </c>
      <c r="E1767" t="s">
        <v>2242</v>
      </c>
      <c r="F1767" t="s">
        <v>17</v>
      </c>
    </row>
    <row r="1768" spans="1:6" x14ac:dyDescent="0.3">
      <c r="A1768" t="s">
        <v>978</v>
      </c>
      <c r="B1768" t="s">
        <v>979</v>
      </c>
      <c r="C1768" t="str">
        <f>HYPERLINK("http://service.sap.com/sap/support/notes/1855682","1855682")</f>
        <v>1855682</v>
      </c>
      <c r="D1768">
        <v>9</v>
      </c>
      <c r="E1768" t="s">
        <v>2243</v>
      </c>
      <c r="F1768" t="s">
        <v>17</v>
      </c>
    </row>
    <row r="1769" spans="1:6" x14ac:dyDescent="0.3">
      <c r="A1769" t="s">
        <v>978</v>
      </c>
      <c r="B1769" t="s">
        <v>979</v>
      </c>
      <c r="C1769" t="str">
        <f>HYPERLINK("http://service.sap.com/sap/support/notes/1860026","1860026")</f>
        <v>1860026</v>
      </c>
      <c r="D1769">
        <v>33</v>
      </c>
      <c r="E1769" t="s">
        <v>2244</v>
      </c>
      <c r="F1769" t="s">
        <v>17</v>
      </c>
    </row>
    <row r="1770" spans="1:6" x14ac:dyDescent="0.3">
      <c r="A1770" t="s">
        <v>978</v>
      </c>
      <c r="B1770" t="s">
        <v>979</v>
      </c>
      <c r="C1770" t="str">
        <f>HYPERLINK("http://service.sap.com/sap/support/notes/1862600","1862600")</f>
        <v>1862600</v>
      </c>
      <c r="D1770">
        <v>23</v>
      </c>
      <c r="E1770" t="s">
        <v>2245</v>
      </c>
      <c r="F1770" t="s">
        <v>17</v>
      </c>
    </row>
    <row r="1771" spans="1:6" x14ac:dyDescent="0.3">
      <c r="A1771" t="s">
        <v>978</v>
      </c>
      <c r="B1771" t="s">
        <v>979</v>
      </c>
      <c r="C1771" t="str">
        <f>HYPERLINK("http://service.sap.com/sap/support/notes/1911952","1911952")</f>
        <v>1911952</v>
      </c>
      <c r="D1771">
        <v>3</v>
      </c>
      <c r="E1771" t="s">
        <v>2246</v>
      </c>
      <c r="F1771" t="s">
        <v>17</v>
      </c>
    </row>
    <row r="1772" spans="1:6" x14ac:dyDescent="0.3">
      <c r="A1772" t="s">
        <v>978</v>
      </c>
      <c r="B1772" t="s">
        <v>979</v>
      </c>
      <c r="C1772" t="str">
        <f>HYPERLINK("http://service.sap.com/sap/support/notes/1916090","1916090")</f>
        <v>1916090</v>
      </c>
      <c r="D1772">
        <v>2</v>
      </c>
      <c r="E1772" t="s">
        <v>2247</v>
      </c>
      <c r="F1772" t="s">
        <v>11</v>
      </c>
    </row>
    <row r="1773" spans="1:6" x14ac:dyDescent="0.3">
      <c r="A1773" t="s">
        <v>1012</v>
      </c>
      <c r="B1773" t="s">
        <v>631</v>
      </c>
      <c r="C1773" t="str">
        <f>HYPERLINK("http://service.sap.com/sap/support/notes/1371317","1371317")</f>
        <v>1371317</v>
      </c>
      <c r="D1773">
        <v>6</v>
      </c>
      <c r="E1773" t="s">
        <v>2248</v>
      </c>
      <c r="F1773" t="s">
        <v>13</v>
      </c>
    </row>
    <row r="1774" spans="1:6" x14ac:dyDescent="0.3">
      <c r="A1774" t="s">
        <v>1012</v>
      </c>
      <c r="B1774" t="s">
        <v>631</v>
      </c>
      <c r="C1774" t="str">
        <f>HYPERLINK("http://service.sap.com/sap/support/notes/1452363","1452363")</f>
        <v>1452363</v>
      </c>
      <c r="D1774">
        <v>2</v>
      </c>
      <c r="E1774" t="s">
        <v>2249</v>
      </c>
      <c r="F1774" t="s">
        <v>17</v>
      </c>
    </row>
    <row r="1775" spans="1:6" x14ac:dyDescent="0.3">
      <c r="A1775" t="s">
        <v>1012</v>
      </c>
      <c r="B1775" t="s">
        <v>631</v>
      </c>
      <c r="C1775" t="str">
        <f>HYPERLINK("http://service.sap.com/sap/support/notes/1803762","1803762")</f>
        <v>1803762</v>
      </c>
      <c r="D1775">
        <v>5</v>
      </c>
      <c r="E1775" t="s">
        <v>2250</v>
      </c>
      <c r="F1775" t="s">
        <v>17</v>
      </c>
    </row>
    <row r="1776" spans="1:6" x14ac:dyDescent="0.3">
      <c r="A1776" t="s">
        <v>1012</v>
      </c>
      <c r="B1776" t="s">
        <v>631</v>
      </c>
      <c r="C1776" t="str">
        <f>HYPERLINK("http://service.sap.com/sap/support/notes/1852851","1852851")</f>
        <v>1852851</v>
      </c>
      <c r="D1776">
        <v>2</v>
      </c>
      <c r="E1776" t="s">
        <v>2251</v>
      </c>
      <c r="F1776" t="s">
        <v>17</v>
      </c>
    </row>
    <row r="1777" spans="1:6" x14ac:dyDescent="0.3">
      <c r="A1777" t="s">
        <v>1012</v>
      </c>
      <c r="B1777" t="s">
        <v>631</v>
      </c>
      <c r="C1777" t="str">
        <f>HYPERLINK("http://service.sap.com/sap/support/notes/1877073","1877073")</f>
        <v>1877073</v>
      </c>
      <c r="D1777">
        <v>2</v>
      </c>
      <c r="E1777" t="s">
        <v>2252</v>
      </c>
      <c r="F1777" t="s">
        <v>17</v>
      </c>
    </row>
    <row r="1778" spans="1:6" x14ac:dyDescent="0.3">
      <c r="A1778" t="s">
        <v>1012</v>
      </c>
      <c r="B1778" t="s">
        <v>631</v>
      </c>
      <c r="C1778" t="str">
        <f>HYPERLINK("http://service.sap.com/sap/support/notes/1880261","1880261")</f>
        <v>1880261</v>
      </c>
      <c r="D1778">
        <v>1</v>
      </c>
      <c r="E1778" t="s">
        <v>2253</v>
      </c>
      <c r="F1778" t="s">
        <v>17</v>
      </c>
    </row>
    <row r="1779" spans="1:6" x14ac:dyDescent="0.3">
      <c r="A1779" t="s">
        <v>1012</v>
      </c>
      <c r="B1779" t="s">
        <v>631</v>
      </c>
      <c r="C1779" t="str">
        <f>HYPERLINK("http://service.sap.com/sap/support/notes/1881736","1881736")</f>
        <v>1881736</v>
      </c>
      <c r="D1779">
        <v>2</v>
      </c>
      <c r="E1779" t="s">
        <v>2254</v>
      </c>
      <c r="F1779" t="s">
        <v>17</v>
      </c>
    </row>
    <row r="1780" spans="1:6" x14ac:dyDescent="0.3">
      <c r="A1780" t="s">
        <v>1012</v>
      </c>
      <c r="B1780" t="s">
        <v>631</v>
      </c>
      <c r="C1780" t="str">
        <f>HYPERLINK("http://service.sap.com/sap/support/notes/1890841","1890841")</f>
        <v>1890841</v>
      </c>
      <c r="D1780">
        <v>3</v>
      </c>
      <c r="E1780" t="s">
        <v>2255</v>
      </c>
      <c r="F1780" t="s">
        <v>17</v>
      </c>
    </row>
    <row r="1781" spans="1:6" x14ac:dyDescent="0.3">
      <c r="A1781" t="s">
        <v>1012</v>
      </c>
      <c r="B1781" t="s">
        <v>631</v>
      </c>
      <c r="C1781" t="str">
        <f>HYPERLINK("http://service.sap.com/sap/support/notes/1897328","1897328")</f>
        <v>1897328</v>
      </c>
      <c r="D1781">
        <v>3</v>
      </c>
      <c r="E1781" t="s">
        <v>2256</v>
      </c>
      <c r="F1781" t="s">
        <v>17</v>
      </c>
    </row>
    <row r="1782" spans="1:6" x14ac:dyDescent="0.3">
      <c r="A1782" t="s">
        <v>1012</v>
      </c>
      <c r="B1782" t="s">
        <v>631</v>
      </c>
      <c r="C1782" t="str">
        <f>HYPERLINK("http://service.sap.com/sap/support/notes/1899908","1899908")</f>
        <v>1899908</v>
      </c>
      <c r="D1782">
        <v>2</v>
      </c>
      <c r="E1782" t="s">
        <v>2257</v>
      </c>
      <c r="F1782" t="s">
        <v>17</v>
      </c>
    </row>
    <row r="1783" spans="1:6" x14ac:dyDescent="0.3">
      <c r="A1783" t="s">
        <v>1012</v>
      </c>
      <c r="B1783" t="s">
        <v>631</v>
      </c>
      <c r="C1783" t="str">
        <f>HYPERLINK("http://service.sap.com/sap/support/notes/1900779","1900779")</f>
        <v>1900779</v>
      </c>
      <c r="D1783">
        <v>2</v>
      </c>
      <c r="E1783" t="s">
        <v>2258</v>
      </c>
      <c r="F1783" t="s">
        <v>13</v>
      </c>
    </row>
    <row r="1784" spans="1:6" x14ac:dyDescent="0.3">
      <c r="A1784" t="s">
        <v>1012</v>
      </c>
      <c r="B1784" t="s">
        <v>631</v>
      </c>
      <c r="C1784" t="str">
        <f>HYPERLINK("http://service.sap.com/sap/support/notes/1911719","1911719")</f>
        <v>1911719</v>
      </c>
      <c r="D1784">
        <v>10</v>
      </c>
      <c r="E1784" t="s">
        <v>2259</v>
      </c>
      <c r="F1784" t="s">
        <v>17</v>
      </c>
    </row>
    <row r="1785" spans="1:6" x14ac:dyDescent="0.3">
      <c r="A1785" t="s">
        <v>1012</v>
      </c>
      <c r="B1785" t="s">
        <v>631</v>
      </c>
      <c r="C1785" t="str">
        <f>HYPERLINK("http://service.sap.com/sap/support/notes/1916805","1916805")</f>
        <v>1916805</v>
      </c>
      <c r="D1785">
        <v>2</v>
      </c>
      <c r="E1785" t="s">
        <v>2260</v>
      </c>
      <c r="F1785" t="s">
        <v>13</v>
      </c>
    </row>
    <row r="1786" spans="1:6" x14ac:dyDescent="0.3">
      <c r="A1786" t="s">
        <v>1012</v>
      </c>
      <c r="B1786" t="s">
        <v>631</v>
      </c>
      <c r="C1786" t="str">
        <f>HYPERLINK("http://service.sap.com/sap/support/notes/1920131","1920131")</f>
        <v>1920131</v>
      </c>
      <c r="D1786">
        <v>1</v>
      </c>
      <c r="E1786" t="s">
        <v>2261</v>
      </c>
      <c r="F1786" t="s">
        <v>17</v>
      </c>
    </row>
    <row r="1787" spans="1:6" x14ac:dyDescent="0.3">
      <c r="A1787" t="s">
        <v>1012</v>
      </c>
      <c r="B1787" t="s">
        <v>631</v>
      </c>
      <c r="C1787" t="str">
        <f>HYPERLINK("http://service.sap.com/sap/support/notes/1920784","1920784")</f>
        <v>1920784</v>
      </c>
      <c r="D1787">
        <v>1</v>
      </c>
      <c r="E1787" t="s">
        <v>2262</v>
      </c>
      <c r="F1787" t="s">
        <v>17</v>
      </c>
    </row>
    <row r="1788" spans="1:6" x14ac:dyDescent="0.3">
      <c r="A1788" t="s">
        <v>1012</v>
      </c>
      <c r="B1788" t="s">
        <v>631</v>
      </c>
      <c r="C1788" t="str">
        <f>HYPERLINK("http://service.sap.com/sap/support/notes/1920842","1920842")</f>
        <v>1920842</v>
      </c>
      <c r="D1788">
        <v>1</v>
      </c>
      <c r="E1788" t="s">
        <v>2263</v>
      </c>
      <c r="F1788" t="s">
        <v>17</v>
      </c>
    </row>
    <row r="1789" spans="1:6" x14ac:dyDescent="0.3">
      <c r="A1789" t="s">
        <v>1012</v>
      </c>
      <c r="B1789" t="s">
        <v>631</v>
      </c>
      <c r="C1789" t="str">
        <f>HYPERLINK("http://service.sap.com/sap/support/notes/1922710","1922710")</f>
        <v>1922710</v>
      </c>
      <c r="D1789">
        <v>2</v>
      </c>
      <c r="E1789" t="s">
        <v>2264</v>
      </c>
      <c r="F1789" t="s">
        <v>13</v>
      </c>
    </row>
    <row r="1790" spans="1:6" x14ac:dyDescent="0.3">
      <c r="A1790" t="s">
        <v>1012</v>
      </c>
      <c r="B1790" t="s">
        <v>631</v>
      </c>
      <c r="C1790" t="str">
        <f>HYPERLINK("http://service.sap.com/sap/support/notes/1925220","1925220")</f>
        <v>1925220</v>
      </c>
      <c r="D1790">
        <v>2</v>
      </c>
      <c r="E1790" t="s">
        <v>2265</v>
      </c>
      <c r="F1790" t="s">
        <v>17</v>
      </c>
    </row>
    <row r="1791" spans="1:6" x14ac:dyDescent="0.3">
      <c r="A1791" t="s">
        <v>1012</v>
      </c>
      <c r="B1791" t="s">
        <v>631</v>
      </c>
      <c r="C1791" t="str">
        <f>HYPERLINK("http://service.sap.com/sap/support/notes/1928345","1928345")</f>
        <v>1928345</v>
      </c>
      <c r="D1791">
        <v>1</v>
      </c>
      <c r="E1791" t="s">
        <v>2266</v>
      </c>
      <c r="F1791" t="s">
        <v>17</v>
      </c>
    </row>
    <row r="1792" spans="1:6" x14ac:dyDescent="0.3">
      <c r="A1792" t="s">
        <v>1012</v>
      </c>
      <c r="B1792" t="s">
        <v>631</v>
      </c>
      <c r="C1792" t="str">
        <f>HYPERLINK("http://service.sap.com/sap/support/notes/1928349","1928349")</f>
        <v>1928349</v>
      </c>
      <c r="D1792">
        <v>3</v>
      </c>
      <c r="E1792" t="s">
        <v>2267</v>
      </c>
      <c r="F1792" t="s">
        <v>17</v>
      </c>
    </row>
    <row r="1793" spans="1:6" x14ac:dyDescent="0.3">
      <c r="A1793" t="s">
        <v>1012</v>
      </c>
      <c r="B1793" t="s">
        <v>631</v>
      </c>
      <c r="C1793" t="str">
        <f>HYPERLINK("http://service.sap.com/sap/support/notes/1931143","1931143")</f>
        <v>1931143</v>
      </c>
      <c r="D1793">
        <v>2</v>
      </c>
      <c r="E1793" t="s">
        <v>2268</v>
      </c>
      <c r="F1793" t="s">
        <v>17</v>
      </c>
    </row>
    <row r="1794" spans="1:6" x14ac:dyDescent="0.3">
      <c r="A1794" t="s">
        <v>1012</v>
      </c>
      <c r="B1794" t="s">
        <v>631</v>
      </c>
      <c r="C1794" t="str">
        <f>HYPERLINK("http://service.sap.com/sap/support/notes/1933143","1933143")</f>
        <v>1933143</v>
      </c>
      <c r="D1794">
        <v>2</v>
      </c>
      <c r="E1794" t="s">
        <v>2269</v>
      </c>
      <c r="F1794" t="s">
        <v>17</v>
      </c>
    </row>
    <row r="1795" spans="1:6" x14ac:dyDescent="0.3">
      <c r="A1795" t="s">
        <v>1012</v>
      </c>
      <c r="B1795" t="s">
        <v>631</v>
      </c>
      <c r="C1795" t="str">
        <f>HYPERLINK("http://service.sap.com/sap/support/notes/1935509","1935509")</f>
        <v>1935509</v>
      </c>
      <c r="D1795">
        <v>1</v>
      </c>
      <c r="E1795" t="s">
        <v>2270</v>
      </c>
      <c r="F1795" t="s">
        <v>17</v>
      </c>
    </row>
    <row r="1796" spans="1:6" x14ac:dyDescent="0.3">
      <c r="A1796" t="s">
        <v>1012</v>
      </c>
      <c r="B1796" t="s">
        <v>631</v>
      </c>
      <c r="C1796" t="str">
        <f>HYPERLINK("http://service.sap.com/sap/support/notes/1936985","1936985")</f>
        <v>1936985</v>
      </c>
      <c r="D1796">
        <v>4</v>
      </c>
      <c r="E1796" t="s">
        <v>2271</v>
      </c>
      <c r="F1796" t="s">
        <v>17</v>
      </c>
    </row>
    <row r="1797" spans="1:6" x14ac:dyDescent="0.3">
      <c r="A1797" t="s">
        <v>1012</v>
      </c>
      <c r="B1797" t="s">
        <v>631</v>
      </c>
      <c r="C1797" t="str">
        <f>HYPERLINK("http://service.sap.com/sap/support/notes/1937374","1937374")</f>
        <v>1937374</v>
      </c>
      <c r="D1797">
        <v>1</v>
      </c>
      <c r="E1797" t="s">
        <v>2272</v>
      </c>
      <c r="F1797" t="s">
        <v>17</v>
      </c>
    </row>
    <row r="1798" spans="1:6" x14ac:dyDescent="0.3">
      <c r="A1798" t="s">
        <v>1012</v>
      </c>
      <c r="B1798" t="s">
        <v>631</v>
      </c>
      <c r="C1798" t="str">
        <f>HYPERLINK("http://service.sap.com/sap/support/notes/1940652","1940652")</f>
        <v>1940652</v>
      </c>
      <c r="D1798">
        <v>1</v>
      </c>
      <c r="E1798" t="s">
        <v>2273</v>
      </c>
      <c r="F1798" t="s">
        <v>17</v>
      </c>
    </row>
    <row r="1799" spans="1:6" x14ac:dyDescent="0.3">
      <c r="A1799" t="s">
        <v>1012</v>
      </c>
      <c r="B1799" t="s">
        <v>631</v>
      </c>
      <c r="C1799" t="str">
        <f>HYPERLINK("http://service.sap.com/sap/support/notes/1943875","1943875")</f>
        <v>1943875</v>
      </c>
      <c r="D1799">
        <v>1</v>
      </c>
      <c r="E1799" t="s">
        <v>2274</v>
      </c>
      <c r="F1799" t="s">
        <v>17</v>
      </c>
    </row>
    <row r="1800" spans="1:6" x14ac:dyDescent="0.3">
      <c r="A1800" t="s">
        <v>1012</v>
      </c>
      <c r="B1800" t="s">
        <v>631</v>
      </c>
      <c r="C1800" t="str">
        <f>HYPERLINK("http://service.sap.com/sap/support/notes/1945287","1945287")</f>
        <v>1945287</v>
      </c>
      <c r="D1800">
        <v>1</v>
      </c>
      <c r="E1800" t="s">
        <v>2275</v>
      </c>
      <c r="F1800" t="s">
        <v>17</v>
      </c>
    </row>
    <row r="1801" spans="1:6" x14ac:dyDescent="0.3">
      <c r="A1801" t="s">
        <v>1012</v>
      </c>
      <c r="B1801" t="s">
        <v>631</v>
      </c>
      <c r="C1801" t="str">
        <f>HYPERLINK("http://service.sap.com/sap/support/notes/1949525","1949525")</f>
        <v>1949525</v>
      </c>
      <c r="D1801">
        <v>2</v>
      </c>
      <c r="E1801" t="s">
        <v>2276</v>
      </c>
      <c r="F1801" t="s">
        <v>17</v>
      </c>
    </row>
    <row r="1802" spans="1:6" x14ac:dyDescent="0.3">
      <c r="A1802" t="s">
        <v>1077</v>
      </c>
      <c r="B1802" t="s">
        <v>635</v>
      </c>
      <c r="C1802" t="str">
        <f>HYPERLINK("http://service.sap.com/sap/support/notes/1883003","1883003")</f>
        <v>1883003</v>
      </c>
      <c r="D1802">
        <v>1</v>
      </c>
      <c r="E1802" t="s">
        <v>2277</v>
      </c>
      <c r="F1802" t="s">
        <v>11</v>
      </c>
    </row>
    <row r="1803" spans="1:6" x14ac:dyDescent="0.3">
      <c r="A1803" t="s">
        <v>1077</v>
      </c>
      <c r="B1803" t="s">
        <v>635</v>
      </c>
      <c r="C1803" t="str">
        <f>HYPERLINK("http://service.sap.com/sap/support/notes/1901651","1901651")</f>
        <v>1901651</v>
      </c>
      <c r="D1803">
        <v>2</v>
      </c>
      <c r="E1803" t="s">
        <v>2278</v>
      </c>
      <c r="F1803" t="s">
        <v>13</v>
      </c>
    </row>
    <row r="1804" spans="1:6" x14ac:dyDescent="0.3">
      <c r="A1804" t="s">
        <v>1077</v>
      </c>
      <c r="B1804" t="s">
        <v>635</v>
      </c>
      <c r="C1804" t="str">
        <f>HYPERLINK("http://service.sap.com/sap/support/notes/1916787","1916787")</f>
        <v>1916787</v>
      </c>
      <c r="D1804">
        <v>3</v>
      </c>
      <c r="E1804" t="s">
        <v>2279</v>
      </c>
      <c r="F1804" t="s">
        <v>17</v>
      </c>
    </row>
    <row r="1805" spans="1:6" x14ac:dyDescent="0.3">
      <c r="A1805" t="s">
        <v>1077</v>
      </c>
      <c r="B1805" t="s">
        <v>635</v>
      </c>
      <c r="C1805" t="str">
        <f>HYPERLINK("http://service.sap.com/sap/support/notes/1942499","1942499")</f>
        <v>1942499</v>
      </c>
      <c r="D1805">
        <v>1</v>
      </c>
      <c r="E1805" t="s">
        <v>2280</v>
      </c>
      <c r="F1805" t="s">
        <v>17</v>
      </c>
    </row>
    <row r="1806" spans="1:6" x14ac:dyDescent="0.3">
      <c r="A1806" t="s">
        <v>1089</v>
      </c>
      <c r="B1806" t="s">
        <v>138</v>
      </c>
      <c r="C1806" t="str">
        <f>HYPERLINK("http://service.sap.com/sap/support/notes/1886727","1886727")</f>
        <v>1886727</v>
      </c>
      <c r="D1806">
        <v>5</v>
      </c>
      <c r="E1806" t="s">
        <v>2281</v>
      </c>
      <c r="F1806" t="s">
        <v>17</v>
      </c>
    </row>
    <row r="1807" spans="1:6" x14ac:dyDescent="0.3">
      <c r="A1807" t="s">
        <v>1089</v>
      </c>
      <c r="B1807" t="s">
        <v>138</v>
      </c>
      <c r="C1807" t="str">
        <f>HYPERLINK("http://service.sap.com/sap/support/notes/1943124","1943124")</f>
        <v>1943124</v>
      </c>
      <c r="D1807">
        <v>1</v>
      </c>
      <c r="E1807" t="s">
        <v>2282</v>
      </c>
      <c r="F1807" t="s">
        <v>17</v>
      </c>
    </row>
    <row r="1808" spans="1:6" x14ac:dyDescent="0.3">
      <c r="A1808" t="s">
        <v>1089</v>
      </c>
      <c r="B1808" t="s">
        <v>138</v>
      </c>
      <c r="C1808" t="str">
        <f>HYPERLINK("http://service.sap.com/sap/support/notes/1944866","1944866")</f>
        <v>1944866</v>
      </c>
      <c r="D1808">
        <v>1</v>
      </c>
      <c r="E1808" t="s">
        <v>2283</v>
      </c>
      <c r="F1808" t="s">
        <v>17</v>
      </c>
    </row>
    <row r="1809" spans="1:6" x14ac:dyDescent="0.3">
      <c r="A1809" t="s">
        <v>2284</v>
      </c>
      <c r="B1809" t="s">
        <v>2285</v>
      </c>
      <c r="C1809" t="str">
        <f>HYPERLINK("http://service.sap.com/sap/support/notes/1885347","1885347")</f>
        <v>1885347</v>
      </c>
      <c r="D1809">
        <v>4</v>
      </c>
      <c r="E1809" t="s">
        <v>2286</v>
      </c>
      <c r="F1809" t="s">
        <v>17</v>
      </c>
    </row>
    <row r="1810" spans="1:6" x14ac:dyDescent="0.3">
      <c r="A1810" t="s">
        <v>2284</v>
      </c>
      <c r="B1810" t="s">
        <v>2285</v>
      </c>
      <c r="C1810" t="str">
        <f>HYPERLINK("http://service.sap.com/sap/support/notes/1923799","1923799")</f>
        <v>1923799</v>
      </c>
      <c r="D1810">
        <v>1</v>
      </c>
      <c r="E1810" t="s">
        <v>2287</v>
      </c>
      <c r="F1810" t="s">
        <v>17</v>
      </c>
    </row>
    <row r="1811" spans="1:6" x14ac:dyDescent="0.3">
      <c r="A1811" t="s">
        <v>2284</v>
      </c>
      <c r="B1811" t="s">
        <v>2285</v>
      </c>
      <c r="C1811" t="str">
        <f>HYPERLINK("http://service.sap.com/sap/support/notes/1926781","1926781")</f>
        <v>1926781</v>
      </c>
      <c r="D1811">
        <v>1</v>
      </c>
      <c r="E1811" t="s">
        <v>2288</v>
      </c>
      <c r="F1811" t="s">
        <v>17</v>
      </c>
    </row>
    <row r="1812" spans="1:6" x14ac:dyDescent="0.3">
      <c r="A1812" t="s">
        <v>1091</v>
      </c>
      <c r="B1812" t="s">
        <v>684</v>
      </c>
      <c r="C1812" t="str">
        <f>HYPERLINK("http://service.sap.com/sap/support/notes/1918855","1918855")</f>
        <v>1918855</v>
      </c>
      <c r="D1812">
        <v>3</v>
      </c>
      <c r="E1812" t="s">
        <v>2289</v>
      </c>
      <c r="F1812" t="s">
        <v>13</v>
      </c>
    </row>
    <row r="1813" spans="1:6" x14ac:dyDescent="0.3">
      <c r="A1813" t="s">
        <v>1091</v>
      </c>
      <c r="B1813" t="s">
        <v>684</v>
      </c>
      <c r="C1813" t="str">
        <f>HYPERLINK("http://service.sap.com/sap/support/notes/1946885","1946885")</f>
        <v>1946885</v>
      </c>
      <c r="D1813">
        <v>1</v>
      </c>
      <c r="E1813" t="s">
        <v>2290</v>
      </c>
      <c r="F1813" t="s">
        <v>17</v>
      </c>
    </row>
    <row r="1814" spans="1:6" x14ac:dyDescent="0.3">
      <c r="A1814" t="s">
        <v>1098</v>
      </c>
      <c r="B1814" t="s">
        <v>1099</v>
      </c>
      <c r="C1814" t="str">
        <f>HYPERLINK("http://service.sap.com/sap/support/notes/1920563","1920563")</f>
        <v>1920563</v>
      </c>
      <c r="D1814">
        <v>2</v>
      </c>
      <c r="E1814" t="s">
        <v>2291</v>
      </c>
      <c r="F1814" t="s">
        <v>13</v>
      </c>
    </row>
    <row r="1815" spans="1:6" x14ac:dyDescent="0.3">
      <c r="A1815" t="s">
        <v>1103</v>
      </c>
      <c r="B1815" t="s">
        <v>243</v>
      </c>
      <c r="C1815" t="str">
        <f>HYPERLINK("http://service.sap.com/sap/support/notes/1882728","1882728")</f>
        <v>1882728</v>
      </c>
      <c r="D1815">
        <v>1</v>
      </c>
      <c r="E1815" t="s">
        <v>2292</v>
      </c>
      <c r="F1815" t="s">
        <v>13</v>
      </c>
    </row>
    <row r="1816" spans="1:6" x14ac:dyDescent="0.3">
      <c r="A1816" t="s">
        <v>1103</v>
      </c>
      <c r="B1816" t="s">
        <v>243</v>
      </c>
      <c r="C1816" t="str">
        <f>HYPERLINK("http://service.sap.com/sap/support/notes/1906260","1906260")</f>
        <v>1906260</v>
      </c>
      <c r="D1816">
        <v>1</v>
      </c>
      <c r="E1816" t="s">
        <v>2293</v>
      </c>
      <c r="F1816" t="s">
        <v>17</v>
      </c>
    </row>
    <row r="1817" spans="1:6" x14ac:dyDescent="0.3">
      <c r="A1817" t="s">
        <v>1124</v>
      </c>
      <c r="B1817" t="s">
        <v>1125</v>
      </c>
    </row>
    <row r="1818" spans="1:6" x14ac:dyDescent="0.3">
      <c r="A1818" t="s">
        <v>1126</v>
      </c>
      <c r="B1818" t="s">
        <v>1127</v>
      </c>
      <c r="C1818" t="str">
        <f>HYPERLINK("http://service.sap.com/sap/support/notes/1940490","1940490")</f>
        <v>1940490</v>
      </c>
      <c r="D1818">
        <v>1</v>
      </c>
      <c r="E1818" t="s">
        <v>2294</v>
      </c>
      <c r="F1818" t="s">
        <v>17</v>
      </c>
    </row>
    <row r="1819" spans="1:6" x14ac:dyDescent="0.3">
      <c r="A1819" t="s">
        <v>1129</v>
      </c>
      <c r="B1819" t="s">
        <v>1130</v>
      </c>
      <c r="C1819" t="str">
        <f>HYPERLINK("http://service.sap.com/sap/support/notes/1908953","1908953")</f>
        <v>1908953</v>
      </c>
      <c r="D1819">
        <v>2</v>
      </c>
      <c r="E1819" t="s">
        <v>2295</v>
      </c>
      <c r="F1819" t="s">
        <v>17</v>
      </c>
    </row>
    <row r="1820" spans="1:6" x14ac:dyDescent="0.3">
      <c r="A1820" t="s">
        <v>1129</v>
      </c>
      <c r="B1820" t="s">
        <v>1130</v>
      </c>
      <c r="C1820" t="str">
        <f>HYPERLINK("http://service.sap.com/sap/support/notes/1930498","1930498")</f>
        <v>1930498</v>
      </c>
      <c r="D1820">
        <v>1</v>
      </c>
      <c r="E1820" t="s">
        <v>2296</v>
      </c>
      <c r="F1820" t="s">
        <v>17</v>
      </c>
    </row>
    <row r="1821" spans="1:6" x14ac:dyDescent="0.3">
      <c r="A1821" t="s">
        <v>1137</v>
      </c>
      <c r="B1821" t="s">
        <v>1138</v>
      </c>
      <c r="C1821" t="str">
        <f>HYPERLINK("http://service.sap.com/sap/support/notes/1866467","1866467")</f>
        <v>1866467</v>
      </c>
      <c r="D1821">
        <v>4</v>
      </c>
      <c r="E1821" t="s">
        <v>2297</v>
      </c>
      <c r="F1821" t="s">
        <v>17</v>
      </c>
    </row>
    <row r="1822" spans="1:6" x14ac:dyDescent="0.3">
      <c r="A1822" t="s">
        <v>1145</v>
      </c>
      <c r="B1822" t="s">
        <v>1130</v>
      </c>
      <c r="C1822" t="str">
        <f>HYPERLINK("http://service.sap.com/sap/support/notes/1918511","1918511")</f>
        <v>1918511</v>
      </c>
      <c r="D1822">
        <v>1</v>
      </c>
      <c r="E1822" t="s">
        <v>2298</v>
      </c>
      <c r="F1822" t="s">
        <v>11</v>
      </c>
    </row>
    <row r="1823" spans="1:6" x14ac:dyDescent="0.3">
      <c r="A1823" t="s">
        <v>1148</v>
      </c>
      <c r="B1823" t="s">
        <v>1130</v>
      </c>
      <c r="C1823" t="str">
        <f>HYPERLINK("http://service.sap.com/sap/support/notes/1910342","1910342")</f>
        <v>1910342</v>
      </c>
      <c r="D1823">
        <v>13</v>
      </c>
      <c r="E1823" t="s">
        <v>2299</v>
      </c>
      <c r="F1823" t="s">
        <v>17</v>
      </c>
    </row>
    <row r="1824" spans="1:6" x14ac:dyDescent="0.3">
      <c r="A1824" t="s">
        <v>1148</v>
      </c>
      <c r="B1824" t="s">
        <v>1130</v>
      </c>
      <c r="C1824" t="str">
        <f>HYPERLINK("http://service.sap.com/sap/support/notes/1931520","1931520")</f>
        <v>1931520</v>
      </c>
      <c r="D1824">
        <v>5</v>
      </c>
      <c r="E1824" t="s">
        <v>2300</v>
      </c>
      <c r="F1824" t="s">
        <v>17</v>
      </c>
    </row>
    <row r="1825" spans="1:6" x14ac:dyDescent="0.3">
      <c r="A1825" t="s">
        <v>1148</v>
      </c>
      <c r="B1825" t="s">
        <v>1130</v>
      </c>
      <c r="C1825" t="str">
        <f>HYPERLINK("http://service.sap.com/sap/support/notes/1934371","1934371")</f>
        <v>1934371</v>
      </c>
      <c r="D1825">
        <v>2</v>
      </c>
      <c r="E1825" t="s">
        <v>2301</v>
      </c>
      <c r="F1825" t="s">
        <v>17</v>
      </c>
    </row>
    <row r="1826" spans="1:6" x14ac:dyDescent="0.3">
      <c r="A1826" t="s">
        <v>1148</v>
      </c>
      <c r="B1826" t="s">
        <v>1130</v>
      </c>
      <c r="C1826" t="str">
        <f>HYPERLINK("http://service.sap.com/sap/support/notes/1937378","1937378")</f>
        <v>1937378</v>
      </c>
      <c r="D1826">
        <v>3</v>
      </c>
      <c r="E1826" t="s">
        <v>2302</v>
      </c>
      <c r="F1826" t="s">
        <v>17</v>
      </c>
    </row>
    <row r="1827" spans="1:6" x14ac:dyDescent="0.3">
      <c r="A1827" t="s">
        <v>1148</v>
      </c>
      <c r="B1827" t="s">
        <v>1130</v>
      </c>
      <c r="C1827" t="str">
        <f>HYPERLINK("http://service.sap.com/sap/support/notes/1939299","1939299")</f>
        <v>1939299</v>
      </c>
      <c r="D1827">
        <v>2</v>
      </c>
      <c r="E1827" t="s">
        <v>2303</v>
      </c>
      <c r="F1827" t="s">
        <v>17</v>
      </c>
    </row>
    <row r="1828" spans="1:6" x14ac:dyDescent="0.3">
      <c r="A1828" t="s">
        <v>1148</v>
      </c>
      <c r="B1828" t="s">
        <v>1130</v>
      </c>
      <c r="C1828" t="str">
        <f>HYPERLINK("http://service.sap.com/sap/support/notes/1939867","1939867")</f>
        <v>1939867</v>
      </c>
      <c r="D1828">
        <v>4</v>
      </c>
      <c r="E1828" t="s">
        <v>1152</v>
      </c>
      <c r="F1828" t="s">
        <v>17</v>
      </c>
    </row>
    <row r="1829" spans="1:6" x14ac:dyDescent="0.3">
      <c r="A1829" t="s">
        <v>1148</v>
      </c>
      <c r="B1829" t="s">
        <v>1130</v>
      </c>
      <c r="C1829" t="str">
        <f>HYPERLINK("http://service.sap.com/sap/support/notes/1942121","1942121")</f>
        <v>1942121</v>
      </c>
      <c r="D1829">
        <v>3</v>
      </c>
      <c r="E1829" t="s">
        <v>2304</v>
      </c>
      <c r="F1829" t="s">
        <v>17</v>
      </c>
    </row>
    <row r="1830" spans="1:6" x14ac:dyDescent="0.3">
      <c r="A1830" t="s">
        <v>1148</v>
      </c>
      <c r="B1830" t="s">
        <v>1130</v>
      </c>
      <c r="C1830" t="str">
        <f>HYPERLINK("http://service.sap.com/sap/support/notes/1949840","1949840")</f>
        <v>1949840</v>
      </c>
      <c r="D1830">
        <v>1</v>
      </c>
      <c r="E1830" t="s">
        <v>2305</v>
      </c>
      <c r="F1830" t="s">
        <v>17</v>
      </c>
    </row>
    <row r="1831" spans="1:6" x14ac:dyDescent="0.3">
      <c r="A1831" t="s">
        <v>1159</v>
      </c>
      <c r="B1831" t="s">
        <v>1130</v>
      </c>
      <c r="C1831" t="str">
        <f>HYPERLINK("http://service.sap.com/sap/support/notes/1948175","1948175")</f>
        <v>1948175</v>
      </c>
      <c r="D1831">
        <v>1</v>
      </c>
      <c r="E1831" t="s">
        <v>2306</v>
      </c>
      <c r="F1831" t="s">
        <v>17</v>
      </c>
    </row>
    <row r="1832" spans="1:6" x14ac:dyDescent="0.3">
      <c r="A1832" t="s">
        <v>1161</v>
      </c>
      <c r="B1832" t="s">
        <v>2307</v>
      </c>
    </row>
    <row r="1833" spans="1:6" x14ac:dyDescent="0.3">
      <c r="A1833" t="s">
        <v>1164</v>
      </c>
      <c r="B1833" t="s">
        <v>243</v>
      </c>
    </row>
    <row r="1834" spans="1:6" x14ac:dyDescent="0.3">
      <c r="A1834" t="s">
        <v>1165</v>
      </c>
      <c r="B1834" t="s">
        <v>1166</v>
      </c>
      <c r="C1834" t="str">
        <f>HYPERLINK("http://service.sap.com/sap/support/notes/834459","834459")</f>
        <v>834459</v>
      </c>
      <c r="D1834">
        <v>6</v>
      </c>
      <c r="E1834" t="s">
        <v>2308</v>
      </c>
      <c r="F1834" t="s">
        <v>13</v>
      </c>
    </row>
    <row r="1835" spans="1:6" x14ac:dyDescent="0.3">
      <c r="A1835" t="s">
        <v>1165</v>
      </c>
      <c r="B1835" t="s">
        <v>1166</v>
      </c>
      <c r="C1835" t="str">
        <f>HYPERLINK("http://service.sap.com/sap/support/notes/1043284","1043284")</f>
        <v>1043284</v>
      </c>
      <c r="D1835">
        <v>7</v>
      </c>
      <c r="E1835" t="s">
        <v>1168</v>
      </c>
      <c r="F1835" t="s">
        <v>13</v>
      </c>
    </row>
    <row r="1836" spans="1:6" x14ac:dyDescent="0.3">
      <c r="A1836" t="s">
        <v>1165</v>
      </c>
      <c r="B1836" t="s">
        <v>1166</v>
      </c>
      <c r="C1836" t="str">
        <f>HYPERLINK("http://service.sap.com/sap/support/notes/1870018","1870018")</f>
        <v>1870018</v>
      </c>
      <c r="D1836">
        <v>5</v>
      </c>
      <c r="E1836" t="s">
        <v>2309</v>
      </c>
      <c r="F1836" t="s">
        <v>13</v>
      </c>
    </row>
    <row r="1837" spans="1:6" x14ac:dyDescent="0.3">
      <c r="A1837" t="s">
        <v>1165</v>
      </c>
      <c r="B1837" t="s">
        <v>1166</v>
      </c>
      <c r="C1837" t="str">
        <f>HYPERLINK("http://service.sap.com/sap/support/notes/1872822","1872822")</f>
        <v>1872822</v>
      </c>
      <c r="D1837">
        <v>1</v>
      </c>
      <c r="E1837" t="s">
        <v>2310</v>
      </c>
      <c r="F1837" t="s">
        <v>17</v>
      </c>
    </row>
    <row r="1838" spans="1:6" x14ac:dyDescent="0.3">
      <c r="A1838" t="s">
        <v>1165</v>
      </c>
      <c r="B1838" t="s">
        <v>1166</v>
      </c>
      <c r="C1838" t="str">
        <f>HYPERLINK("http://service.sap.com/sap/support/notes/1884326","1884326")</f>
        <v>1884326</v>
      </c>
      <c r="D1838">
        <v>2</v>
      </c>
      <c r="E1838" t="s">
        <v>2311</v>
      </c>
      <c r="F1838" t="s">
        <v>17</v>
      </c>
    </row>
    <row r="1839" spans="1:6" x14ac:dyDescent="0.3">
      <c r="A1839" t="s">
        <v>1165</v>
      </c>
      <c r="B1839" t="s">
        <v>1166</v>
      </c>
      <c r="C1839" t="str">
        <f>HYPERLINK("http://service.sap.com/sap/support/notes/1911321","1911321")</f>
        <v>1911321</v>
      </c>
      <c r="D1839">
        <v>2</v>
      </c>
      <c r="E1839" t="s">
        <v>2312</v>
      </c>
      <c r="F1839" t="s">
        <v>17</v>
      </c>
    </row>
    <row r="1840" spans="1:6" x14ac:dyDescent="0.3">
      <c r="A1840" t="s">
        <v>1165</v>
      </c>
      <c r="B1840" t="s">
        <v>1166</v>
      </c>
      <c r="C1840" t="str">
        <f>HYPERLINK("http://service.sap.com/sap/support/notes/1929962","1929962")</f>
        <v>1929962</v>
      </c>
      <c r="D1840">
        <v>2</v>
      </c>
      <c r="E1840" t="s">
        <v>2313</v>
      </c>
      <c r="F1840" t="s">
        <v>17</v>
      </c>
    </row>
    <row r="1841" spans="1:6" x14ac:dyDescent="0.3">
      <c r="A1841" t="s">
        <v>1165</v>
      </c>
      <c r="B1841" t="s">
        <v>1166</v>
      </c>
      <c r="C1841" t="str">
        <f>HYPERLINK("http://service.sap.com/sap/support/notes/1937170","1937170")</f>
        <v>1937170</v>
      </c>
      <c r="D1841">
        <v>1</v>
      </c>
      <c r="E1841" t="s">
        <v>2314</v>
      </c>
      <c r="F1841" t="s">
        <v>17</v>
      </c>
    </row>
    <row r="1842" spans="1:6" x14ac:dyDescent="0.3">
      <c r="A1842" t="s">
        <v>1165</v>
      </c>
      <c r="B1842" t="s">
        <v>1166</v>
      </c>
      <c r="C1842" t="str">
        <f>HYPERLINK("http://service.sap.com/sap/support/notes/1939587","1939587")</f>
        <v>1939587</v>
      </c>
      <c r="D1842">
        <v>2</v>
      </c>
      <c r="E1842" t="s">
        <v>2315</v>
      </c>
      <c r="F1842" t="s">
        <v>17</v>
      </c>
    </row>
    <row r="1843" spans="1:6" x14ac:dyDescent="0.3">
      <c r="A1843" t="s">
        <v>1165</v>
      </c>
      <c r="B1843" t="s">
        <v>1166</v>
      </c>
      <c r="C1843" t="str">
        <f>HYPERLINK("http://service.sap.com/sap/support/notes/1951328","1951328")</f>
        <v>1951328</v>
      </c>
      <c r="D1843">
        <v>1</v>
      </c>
      <c r="E1843" t="s">
        <v>2316</v>
      </c>
      <c r="F1843" t="s">
        <v>17</v>
      </c>
    </row>
    <row r="1844" spans="1:6" x14ac:dyDescent="0.3">
      <c r="A1844" t="s">
        <v>1176</v>
      </c>
      <c r="B1844" t="s">
        <v>346</v>
      </c>
      <c r="C1844" t="str">
        <f>HYPERLINK("http://service.sap.com/sap/support/notes/1859634","1859634")</f>
        <v>1859634</v>
      </c>
      <c r="D1844">
        <v>2</v>
      </c>
      <c r="E1844" t="s">
        <v>2317</v>
      </c>
      <c r="F1844" t="s">
        <v>13</v>
      </c>
    </row>
    <row r="1845" spans="1:6" x14ac:dyDescent="0.3">
      <c r="A1845" t="s">
        <v>1176</v>
      </c>
      <c r="B1845" t="s">
        <v>346</v>
      </c>
      <c r="C1845" t="str">
        <f>HYPERLINK("http://service.sap.com/sap/support/notes/1923786","1923786")</f>
        <v>1923786</v>
      </c>
      <c r="D1845">
        <v>1</v>
      </c>
      <c r="E1845" t="s">
        <v>2318</v>
      </c>
      <c r="F1845" t="s">
        <v>17</v>
      </c>
    </row>
    <row r="1846" spans="1:6" x14ac:dyDescent="0.3">
      <c r="A1846" t="s">
        <v>1176</v>
      </c>
      <c r="B1846" t="s">
        <v>346</v>
      </c>
      <c r="C1846" t="str">
        <f>HYPERLINK("http://service.sap.com/sap/support/notes/1942645","1942645")</f>
        <v>1942645</v>
      </c>
      <c r="D1846">
        <v>1</v>
      </c>
      <c r="E1846" t="s">
        <v>2319</v>
      </c>
      <c r="F1846" t="s">
        <v>17</v>
      </c>
    </row>
    <row r="1847" spans="1:6" x14ac:dyDescent="0.3">
      <c r="A1847" t="s">
        <v>1189</v>
      </c>
      <c r="B1847" t="s">
        <v>153</v>
      </c>
      <c r="C1847" t="str">
        <f>HYPERLINK("http://service.sap.com/sap/support/notes/1825869","1825869")</f>
        <v>1825869</v>
      </c>
      <c r="D1847">
        <v>3</v>
      </c>
      <c r="E1847" t="s">
        <v>2320</v>
      </c>
      <c r="F1847" t="s">
        <v>13</v>
      </c>
    </row>
    <row r="1848" spans="1:6" x14ac:dyDescent="0.3">
      <c r="A1848" t="s">
        <v>1189</v>
      </c>
      <c r="B1848" t="s">
        <v>153</v>
      </c>
      <c r="C1848" t="str">
        <f>HYPERLINK("http://service.sap.com/sap/support/notes/1908841","1908841")</f>
        <v>1908841</v>
      </c>
      <c r="D1848">
        <v>1</v>
      </c>
      <c r="E1848" t="s">
        <v>2321</v>
      </c>
      <c r="F1848" t="s">
        <v>13</v>
      </c>
    </row>
    <row r="1849" spans="1:6" x14ac:dyDescent="0.3">
      <c r="A1849" t="s">
        <v>1198</v>
      </c>
      <c r="B1849" t="s">
        <v>1199</v>
      </c>
      <c r="C1849" t="str">
        <f>HYPERLINK("http://service.sap.com/sap/support/notes/1948257","1948257")</f>
        <v>1948257</v>
      </c>
      <c r="D1849">
        <v>5</v>
      </c>
      <c r="E1849" t="s">
        <v>2322</v>
      </c>
      <c r="F1849" t="s">
        <v>17</v>
      </c>
    </row>
    <row r="1850" spans="1:6" x14ac:dyDescent="0.3">
      <c r="A1850" t="s">
        <v>2323</v>
      </c>
      <c r="B1850" t="s">
        <v>2324</v>
      </c>
      <c r="C1850" t="str">
        <f>HYPERLINK("http://service.sap.com/sap/support/notes/1933087","1933087")</f>
        <v>1933087</v>
      </c>
      <c r="D1850">
        <v>2</v>
      </c>
      <c r="E1850" t="s">
        <v>2325</v>
      </c>
      <c r="F1850" t="s">
        <v>17</v>
      </c>
    </row>
    <row r="1851" spans="1:6" x14ac:dyDescent="0.3">
      <c r="A1851" t="s">
        <v>1201</v>
      </c>
      <c r="B1851" t="s">
        <v>1202</v>
      </c>
    </row>
    <row r="1852" spans="1:6" x14ac:dyDescent="0.3">
      <c r="A1852" t="s">
        <v>1203</v>
      </c>
      <c r="B1852" t="s">
        <v>1204</v>
      </c>
      <c r="C1852" t="str">
        <f>HYPERLINK("http://service.sap.com/sap/support/notes/1849748","1849748")</f>
        <v>1849748</v>
      </c>
      <c r="D1852">
        <v>1</v>
      </c>
      <c r="E1852" t="s">
        <v>1205</v>
      </c>
      <c r="F1852" t="s">
        <v>13</v>
      </c>
    </row>
    <row r="1853" spans="1:6" x14ac:dyDescent="0.3">
      <c r="A1853" t="s">
        <v>1206</v>
      </c>
      <c r="B1853" t="s">
        <v>1207</v>
      </c>
    </row>
    <row r="1854" spans="1:6" x14ac:dyDescent="0.3">
      <c r="A1854" t="s">
        <v>1208</v>
      </c>
      <c r="B1854" t="s">
        <v>1209</v>
      </c>
    </row>
    <row r="1855" spans="1:6" x14ac:dyDescent="0.3">
      <c r="A1855" t="s">
        <v>1210</v>
      </c>
      <c r="B1855" t="s">
        <v>1211</v>
      </c>
      <c r="C1855" t="str">
        <f>HYPERLINK("http://service.sap.com/sap/support/notes/1877390","1877390")</f>
        <v>1877390</v>
      </c>
      <c r="D1855">
        <v>4</v>
      </c>
      <c r="E1855" t="s">
        <v>1216</v>
      </c>
      <c r="F1855" t="s">
        <v>11</v>
      </c>
    </row>
    <row r="1856" spans="1:6" x14ac:dyDescent="0.3">
      <c r="A1856" t="s">
        <v>1210</v>
      </c>
      <c r="B1856" t="s">
        <v>1211</v>
      </c>
      <c r="C1856" t="str">
        <f>HYPERLINK("http://service.sap.com/sap/support/notes/1918461","1918461")</f>
        <v>1918461</v>
      </c>
      <c r="D1856">
        <v>3</v>
      </c>
      <c r="E1856" t="s">
        <v>2326</v>
      </c>
      <c r="F1856" t="s">
        <v>11</v>
      </c>
    </row>
    <row r="1857" spans="1:6" x14ac:dyDescent="0.3">
      <c r="A1857" t="s">
        <v>1210</v>
      </c>
      <c r="B1857" t="s">
        <v>1211</v>
      </c>
      <c r="C1857" t="str">
        <f>HYPERLINK("http://service.sap.com/sap/support/notes/1921002","1921002")</f>
        <v>1921002</v>
      </c>
      <c r="D1857">
        <v>2</v>
      </c>
      <c r="E1857" t="s">
        <v>2327</v>
      </c>
      <c r="F1857" t="s">
        <v>11</v>
      </c>
    </row>
    <row r="1858" spans="1:6" x14ac:dyDescent="0.3">
      <c r="A1858" t="s">
        <v>1210</v>
      </c>
      <c r="B1858" t="s">
        <v>1211</v>
      </c>
      <c r="C1858" t="str">
        <f>HYPERLINK("http://service.sap.com/sap/support/notes/1927999","1927999")</f>
        <v>1927999</v>
      </c>
      <c r="D1858">
        <v>2</v>
      </c>
      <c r="E1858" t="s">
        <v>2328</v>
      </c>
      <c r="F1858" t="s">
        <v>11</v>
      </c>
    </row>
    <row r="1859" spans="1:6" x14ac:dyDescent="0.3">
      <c r="A1859" t="s">
        <v>1210</v>
      </c>
      <c r="B1859" t="s">
        <v>1211</v>
      </c>
      <c r="C1859" t="str">
        <f>HYPERLINK("http://service.sap.com/sap/support/notes/1949234","1949234")</f>
        <v>1949234</v>
      </c>
      <c r="D1859">
        <v>8</v>
      </c>
      <c r="E1859" t="s">
        <v>2329</v>
      </c>
      <c r="F1859" t="s">
        <v>11</v>
      </c>
    </row>
    <row r="1860" spans="1:6" x14ac:dyDescent="0.3">
      <c r="A1860" t="s">
        <v>1225</v>
      </c>
      <c r="B1860" t="s">
        <v>1226</v>
      </c>
      <c r="C1860" t="str">
        <f>HYPERLINK("http://service.sap.com/sap/support/notes/1853531","1853531")</f>
        <v>1853531</v>
      </c>
      <c r="D1860">
        <v>11</v>
      </c>
      <c r="E1860" t="s">
        <v>2330</v>
      </c>
      <c r="F1860" t="s">
        <v>11</v>
      </c>
    </row>
    <row r="1861" spans="1:6" x14ac:dyDescent="0.3">
      <c r="A1861" t="s">
        <v>1225</v>
      </c>
      <c r="B1861" t="s">
        <v>1226</v>
      </c>
      <c r="C1861" t="str">
        <f>HYPERLINK("http://service.sap.com/sap/support/notes/1854537","1854537")</f>
        <v>1854537</v>
      </c>
      <c r="D1861">
        <v>1</v>
      </c>
      <c r="E1861" t="s">
        <v>2331</v>
      </c>
      <c r="F1861" t="s">
        <v>17</v>
      </c>
    </row>
    <row r="1862" spans="1:6" x14ac:dyDescent="0.3">
      <c r="A1862" t="s">
        <v>1225</v>
      </c>
      <c r="B1862" t="s">
        <v>1226</v>
      </c>
      <c r="C1862" t="str">
        <f>HYPERLINK("http://service.sap.com/sap/support/notes/1873112","1873112")</f>
        <v>1873112</v>
      </c>
      <c r="D1862">
        <v>6</v>
      </c>
      <c r="E1862" t="s">
        <v>2332</v>
      </c>
      <c r="F1862" t="s">
        <v>17</v>
      </c>
    </row>
    <row r="1863" spans="1:6" x14ac:dyDescent="0.3">
      <c r="A1863" t="s">
        <v>1225</v>
      </c>
      <c r="B1863" t="s">
        <v>1226</v>
      </c>
      <c r="C1863" t="str">
        <f>HYPERLINK("http://service.sap.com/sap/support/notes/1924011","1924011")</f>
        <v>1924011</v>
      </c>
      <c r="D1863">
        <v>1</v>
      </c>
      <c r="E1863" t="s">
        <v>2333</v>
      </c>
      <c r="F1863" t="s">
        <v>17</v>
      </c>
    </row>
    <row r="1864" spans="1:6" x14ac:dyDescent="0.3">
      <c r="A1864" t="s">
        <v>1225</v>
      </c>
      <c r="B1864" t="s">
        <v>1226</v>
      </c>
      <c r="C1864" t="str">
        <f>HYPERLINK("http://service.sap.com/sap/support/notes/1925994","1925994")</f>
        <v>1925994</v>
      </c>
      <c r="D1864">
        <v>1</v>
      </c>
      <c r="E1864" t="s">
        <v>2334</v>
      </c>
      <c r="F1864" t="s">
        <v>17</v>
      </c>
    </row>
    <row r="1865" spans="1:6" x14ac:dyDescent="0.3">
      <c r="A1865" t="s">
        <v>1225</v>
      </c>
      <c r="B1865" t="s">
        <v>1226</v>
      </c>
      <c r="C1865" t="str">
        <f>HYPERLINK("http://service.sap.com/sap/support/notes/1927052","1927052")</f>
        <v>1927052</v>
      </c>
      <c r="D1865">
        <v>5</v>
      </c>
      <c r="E1865" t="s">
        <v>2335</v>
      </c>
      <c r="F1865" t="s">
        <v>17</v>
      </c>
    </row>
    <row r="1866" spans="1:6" x14ac:dyDescent="0.3">
      <c r="A1866" t="s">
        <v>1225</v>
      </c>
      <c r="B1866" t="s">
        <v>1226</v>
      </c>
      <c r="C1866" t="str">
        <f>HYPERLINK("http://service.sap.com/sap/support/notes/1930697","1930697")</f>
        <v>1930697</v>
      </c>
      <c r="D1866">
        <v>2</v>
      </c>
      <c r="E1866" t="s">
        <v>2336</v>
      </c>
      <c r="F1866" t="s">
        <v>17</v>
      </c>
    </row>
    <row r="1867" spans="1:6" x14ac:dyDescent="0.3">
      <c r="A1867" t="s">
        <v>1241</v>
      </c>
      <c r="B1867" t="s">
        <v>1242</v>
      </c>
      <c r="C1867" t="str">
        <f>HYPERLINK("http://service.sap.com/sap/support/notes/1913462","1913462")</f>
        <v>1913462</v>
      </c>
      <c r="D1867">
        <v>3</v>
      </c>
      <c r="E1867" t="s">
        <v>2337</v>
      </c>
      <c r="F1867" t="s">
        <v>17</v>
      </c>
    </row>
    <row r="1868" spans="1:6" x14ac:dyDescent="0.3">
      <c r="A1868" t="s">
        <v>1241</v>
      </c>
      <c r="B1868" t="s">
        <v>1242</v>
      </c>
      <c r="C1868" t="str">
        <f>HYPERLINK("http://service.sap.com/sap/support/notes/1919659","1919659")</f>
        <v>1919659</v>
      </c>
      <c r="D1868">
        <v>1</v>
      </c>
      <c r="E1868" t="s">
        <v>2338</v>
      </c>
      <c r="F1868" t="s">
        <v>17</v>
      </c>
    </row>
    <row r="1869" spans="1:6" x14ac:dyDescent="0.3">
      <c r="A1869" t="s">
        <v>1241</v>
      </c>
      <c r="B1869" t="s">
        <v>1242</v>
      </c>
      <c r="C1869" t="str">
        <f>HYPERLINK("http://service.sap.com/sap/support/notes/1940482","1940482")</f>
        <v>1940482</v>
      </c>
      <c r="D1869">
        <v>2</v>
      </c>
      <c r="E1869" t="s">
        <v>2339</v>
      </c>
      <c r="F1869" t="s">
        <v>13</v>
      </c>
    </row>
    <row r="1870" spans="1:6" x14ac:dyDescent="0.3">
      <c r="A1870" t="s">
        <v>1241</v>
      </c>
      <c r="B1870" t="s">
        <v>1242</v>
      </c>
      <c r="C1870" t="str">
        <f>HYPERLINK("http://service.sap.com/sap/support/notes/1945485","1945485")</f>
        <v>1945485</v>
      </c>
      <c r="D1870">
        <v>1</v>
      </c>
      <c r="E1870" t="s">
        <v>2340</v>
      </c>
      <c r="F1870" t="s">
        <v>17</v>
      </c>
    </row>
    <row r="1871" spans="1:6" x14ac:dyDescent="0.3">
      <c r="A1871" t="s">
        <v>1244</v>
      </c>
      <c r="B1871" t="s">
        <v>346</v>
      </c>
      <c r="C1871" t="str">
        <f>HYPERLINK("http://service.sap.com/sap/support/notes/1888881","1888881")</f>
        <v>1888881</v>
      </c>
      <c r="D1871">
        <v>2</v>
      </c>
      <c r="E1871" t="s">
        <v>2341</v>
      </c>
      <c r="F1871" t="s">
        <v>13</v>
      </c>
    </row>
    <row r="1872" spans="1:6" x14ac:dyDescent="0.3">
      <c r="A1872" t="s">
        <v>1244</v>
      </c>
      <c r="B1872" t="s">
        <v>346</v>
      </c>
      <c r="C1872" t="str">
        <f>HYPERLINK("http://service.sap.com/sap/support/notes/1936864","1936864")</f>
        <v>1936864</v>
      </c>
      <c r="D1872">
        <v>2</v>
      </c>
      <c r="E1872" t="s">
        <v>2342</v>
      </c>
      <c r="F1872" t="s">
        <v>17</v>
      </c>
    </row>
    <row r="1873" spans="1:6" x14ac:dyDescent="0.3">
      <c r="A1873" t="s">
        <v>1250</v>
      </c>
      <c r="B1873" t="s">
        <v>1251</v>
      </c>
      <c r="C1873" t="str">
        <f>HYPERLINK("http://service.sap.com/sap/support/notes/1866724","1866724")</f>
        <v>1866724</v>
      </c>
      <c r="D1873">
        <v>1</v>
      </c>
      <c r="E1873" t="s">
        <v>2343</v>
      </c>
      <c r="F1873" t="s">
        <v>13</v>
      </c>
    </row>
    <row r="1874" spans="1:6" x14ac:dyDescent="0.3">
      <c r="A1874" t="s">
        <v>1250</v>
      </c>
      <c r="B1874" t="s">
        <v>1251</v>
      </c>
      <c r="C1874" t="str">
        <f>HYPERLINK("http://service.sap.com/sap/support/notes/1899130","1899130")</f>
        <v>1899130</v>
      </c>
      <c r="D1874">
        <v>2</v>
      </c>
      <c r="E1874" t="s">
        <v>2344</v>
      </c>
      <c r="F1874" t="s">
        <v>17</v>
      </c>
    </row>
    <row r="1875" spans="1:6" x14ac:dyDescent="0.3">
      <c r="A1875" t="s">
        <v>2345</v>
      </c>
      <c r="B1875" t="s">
        <v>761</v>
      </c>
      <c r="C1875" t="str">
        <f>HYPERLINK("http://service.sap.com/sap/support/notes/1881707","1881707")</f>
        <v>1881707</v>
      </c>
      <c r="D1875">
        <v>3</v>
      </c>
      <c r="E1875" t="s">
        <v>2346</v>
      </c>
      <c r="F1875" t="s">
        <v>13</v>
      </c>
    </row>
    <row r="1876" spans="1:6" x14ac:dyDescent="0.3">
      <c r="A1876" t="s">
        <v>2345</v>
      </c>
      <c r="B1876" t="s">
        <v>761</v>
      </c>
      <c r="C1876" t="str">
        <f>HYPERLINK("http://service.sap.com/sap/support/notes/1927592","1927592")</f>
        <v>1927592</v>
      </c>
      <c r="D1876">
        <v>2</v>
      </c>
      <c r="E1876" t="s">
        <v>2347</v>
      </c>
      <c r="F1876" t="s">
        <v>13</v>
      </c>
    </row>
    <row r="1877" spans="1:6" x14ac:dyDescent="0.3">
      <c r="A1877" t="s">
        <v>1260</v>
      </c>
      <c r="B1877" t="s">
        <v>1261</v>
      </c>
      <c r="C1877" t="str">
        <f>HYPERLINK("http://service.sap.com/sap/support/notes/1898020","1898020")</f>
        <v>1898020</v>
      </c>
      <c r="D1877">
        <v>3</v>
      </c>
      <c r="E1877" t="s">
        <v>2348</v>
      </c>
      <c r="F1877" t="s">
        <v>17</v>
      </c>
    </row>
    <row r="1878" spans="1:6" x14ac:dyDescent="0.3">
      <c r="A1878" t="s">
        <v>1267</v>
      </c>
      <c r="B1878" t="s">
        <v>1268</v>
      </c>
      <c r="C1878" t="str">
        <f>HYPERLINK("http://service.sap.com/sap/support/notes/1892499","1892499")</f>
        <v>1892499</v>
      </c>
      <c r="D1878">
        <v>8</v>
      </c>
      <c r="E1878" t="s">
        <v>2349</v>
      </c>
      <c r="F1878" t="s">
        <v>17</v>
      </c>
    </row>
    <row r="1879" spans="1:6" x14ac:dyDescent="0.3">
      <c r="A1879" t="s">
        <v>1270</v>
      </c>
      <c r="B1879" t="s">
        <v>1271</v>
      </c>
      <c r="C1879" t="str">
        <f>HYPERLINK("http://service.sap.com/sap/support/notes/1883181","1883181")</f>
        <v>1883181</v>
      </c>
      <c r="D1879">
        <v>1</v>
      </c>
      <c r="E1879" t="s">
        <v>2350</v>
      </c>
      <c r="F1879" t="s">
        <v>17</v>
      </c>
    </row>
    <row r="1880" spans="1:6" x14ac:dyDescent="0.3">
      <c r="A1880" t="s">
        <v>1270</v>
      </c>
      <c r="B1880" t="s">
        <v>1271</v>
      </c>
      <c r="C1880" t="str">
        <f>HYPERLINK("http://service.sap.com/sap/support/notes/1883455","1883455")</f>
        <v>1883455</v>
      </c>
      <c r="D1880">
        <v>5</v>
      </c>
      <c r="E1880" t="s">
        <v>2351</v>
      </c>
      <c r="F1880" t="s">
        <v>17</v>
      </c>
    </row>
    <row r="1881" spans="1:6" x14ac:dyDescent="0.3">
      <c r="A1881" t="s">
        <v>1270</v>
      </c>
      <c r="B1881" t="s">
        <v>1271</v>
      </c>
      <c r="C1881" t="str">
        <f>HYPERLINK("http://service.sap.com/sap/support/notes/1891212","1891212")</f>
        <v>1891212</v>
      </c>
      <c r="D1881">
        <v>1</v>
      </c>
      <c r="E1881" t="s">
        <v>1276</v>
      </c>
      <c r="F1881" t="s">
        <v>17</v>
      </c>
    </row>
    <row r="1882" spans="1:6" x14ac:dyDescent="0.3">
      <c r="A1882" t="s">
        <v>1270</v>
      </c>
      <c r="B1882" t="s">
        <v>1271</v>
      </c>
      <c r="C1882" t="str">
        <f>HYPERLINK("http://service.sap.com/sap/support/notes/1892377","1892377")</f>
        <v>1892377</v>
      </c>
      <c r="D1882">
        <v>2</v>
      </c>
      <c r="E1882" t="s">
        <v>2352</v>
      </c>
      <c r="F1882" t="s">
        <v>17</v>
      </c>
    </row>
    <row r="1883" spans="1:6" x14ac:dyDescent="0.3">
      <c r="A1883" t="s">
        <v>1270</v>
      </c>
      <c r="B1883" t="s">
        <v>1271</v>
      </c>
      <c r="C1883" t="str">
        <f>HYPERLINK("http://service.sap.com/sap/support/notes/1900403","1900403")</f>
        <v>1900403</v>
      </c>
      <c r="D1883">
        <v>2</v>
      </c>
      <c r="E1883" t="s">
        <v>2353</v>
      </c>
      <c r="F1883" t="s">
        <v>17</v>
      </c>
    </row>
    <row r="1884" spans="1:6" x14ac:dyDescent="0.3">
      <c r="A1884" t="s">
        <v>1288</v>
      </c>
      <c r="B1884" t="s">
        <v>1289</v>
      </c>
    </row>
    <row r="1885" spans="1:6" x14ac:dyDescent="0.3">
      <c r="A1885" t="s">
        <v>1290</v>
      </c>
      <c r="B1885" t="s">
        <v>1291</v>
      </c>
      <c r="C1885" t="str">
        <f>HYPERLINK("http://service.sap.com/sap/support/notes/1909229","1909229")</f>
        <v>1909229</v>
      </c>
      <c r="D1885">
        <v>1</v>
      </c>
      <c r="E1885" t="s">
        <v>2354</v>
      </c>
      <c r="F1885" t="s">
        <v>11</v>
      </c>
    </row>
    <row r="1886" spans="1:6" x14ac:dyDescent="0.3">
      <c r="A1886" t="s">
        <v>1293</v>
      </c>
      <c r="B1886" t="s">
        <v>1294</v>
      </c>
      <c r="C1886" t="str">
        <f>HYPERLINK("http://service.sap.com/sap/support/notes/1892473","1892473")</f>
        <v>1892473</v>
      </c>
      <c r="D1886">
        <v>2</v>
      </c>
      <c r="E1886" t="s">
        <v>2355</v>
      </c>
      <c r="F1886" t="s">
        <v>17</v>
      </c>
    </row>
    <row r="1887" spans="1:6" x14ac:dyDescent="0.3">
      <c r="A1887" t="s">
        <v>2356</v>
      </c>
      <c r="B1887" t="s">
        <v>2357</v>
      </c>
      <c r="C1887" t="str">
        <f>HYPERLINK("http://service.sap.com/sap/support/notes/1881123","1881123")</f>
        <v>1881123</v>
      </c>
      <c r="D1887">
        <v>2</v>
      </c>
      <c r="E1887" t="s">
        <v>2358</v>
      </c>
      <c r="F1887" t="s">
        <v>17</v>
      </c>
    </row>
    <row r="1888" spans="1:6" x14ac:dyDescent="0.3">
      <c r="A1888" t="s">
        <v>1300</v>
      </c>
      <c r="B1888" t="s">
        <v>1301</v>
      </c>
      <c r="C1888" t="str">
        <f>HYPERLINK("http://service.sap.com/sap/support/notes/1890626","1890626")</f>
        <v>1890626</v>
      </c>
      <c r="D1888">
        <v>1</v>
      </c>
      <c r="E1888" t="s">
        <v>2359</v>
      </c>
      <c r="F1888" t="s">
        <v>11</v>
      </c>
    </row>
    <row r="1889" spans="1:6" x14ac:dyDescent="0.3">
      <c r="A1889" t="s">
        <v>1300</v>
      </c>
      <c r="B1889" t="s">
        <v>1301</v>
      </c>
      <c r="C1889" t="str">
        <f>HYPERLINK("http://service.sap.com/sap/support/notes/1893835","1893835")</f>
        <v>1893835</v>
      </c>
      <c r="D1889">
        <v>1</v>
      </c>
      <c r="E1889" t="s">
        <v>2360</v>
      </c>
      <c r="F1889" t="s">
        <v>13</v>
      </c>
    </row>
    <row r="1890" spans="1:6" x14ac:dyDescent="0.3">
      <c r="A1890" t="s">
        <v>1300</v>
      </c>
      <c r="B1890" t="s">
        <v>1301</v>
      </c>
      <c r="C1890" t="str">
        <f>HYPERLINK("http://service.sap.com/sap/support/notes/1907980","1907980")</f>
        <v>1907980</v>
      </c>
      <c r="D1890">
        <v>1</v>
      </c>
      <c r="E1890" t="s">
        <v>2361</v>
      </c>
      <c r="F1890" t="s">
        <v>11</v>
      </c>
    </row>
    <row r="1891" spans="1:6" x14ac:dyDescent="0.3">
      <c r="A1891" t="s">
        <v>1300</v>
      </c>
      <c r="B1891" t="s">
        <v>1301</v>
      </c>
      <c r="C1891" t="str">
        <f>HYPERLINK("http://service.sap.com/sap/support/notes/1918343","1918343")</f>
        <v>1918343</v>
      </c>
      <c r="D1891">
        <v>1</v>
      </c>
      <c r="E1891" t="s">
        <v>2362</v>
      </c>
      <c r="F1891" t="s">
        <v>17</v>
      </c>
    </row>
    <row r="1892" spans="1:6" x14ac:dyDescent="0.3">
      <c r="A1892" t="s">
        <v>1300</v>
      </c>
      <c r="B1892" t="s">
        <v>1301</v>
      </c>
      <c r="C1892" t="str">
        <f>HYPERLINK("http://service.sap.com/sap/support/notes/1942803","1942803")</f>
        <v>1942803</v>
      </c>
      <c r="D1892">
        <v>1</v>
      </c>
      <c r="E1892" t="s">
        <v>2363</v>
      </c>
      <c r="F1892" t="s">
        <v>17</v>
      </c>
    </row>
    <row r="1893" spans="1:6" x14ac:dyDescent="0.3">
      <c r="A1893" t="s">
        <v>2364</v>
      </c>
      <c r="B1893" t="s">
        <v>243</v>
      </c>
      <c r="C1893" t="str">
        <f>HYPERLINK("http://service.sap.com/sap/support/notes/1922208","1922208")</f>
        <v>1922208</v>
      </c>
      <c r="D1893">
        <v>1</v>
      </c>
      <c r="E1893" t="s">
        <v>2365</v>
      </c>
      <c r="F1893" t="s">
        <v>13</v>
      </c>
    </row>
    <row r="1894" spans="1:6" x14ac:dyDescent="0.3">
      <c r="A1894" t="s">
        <v>2364</v>
      </c>
      <c r="B1894" t="s">
        <v>243</v>
      </c>
      <c r="C1894" t="str">
        <f>HYPERLINK("http://service.sap.com/sap/support/notes/1939851","1939851")</f>
        <v>1939851</v>
      </c>
      <c r="D1894">
        <v>2</v>
      </c>
      <c r="E1894" t="s">
        <v>2366</v>
      </c>
      <c r="F1894" t="s">
        <v>13</v>
      </c>
    </row>
    <row r="1895" spans="1:6" x14ac:dyDescent="0.3">
      <c r="A1895" t="s">
        <v>1306</v>
      </c>
      <c r="B1895" t="s">
        <v>1307</v>
      </c>
    </row>
    <row r="1896" spans="1:6" x14ac:dyDescent="0.3">
      <c r="A1896" t="s">
        <v>1308</v>
      </c>
      <c r="B1896" t="s">
        <v>1309</v>
      </c>
    </row>
    <row r="1897" spans="1:6" x14ac:dyDescent="0.3">
      <c r="A1897" t="s">
        <v>2367</v>
      </c>
      <c r="B1897" t="s">
        <v>2368</v>
      </c>
      <c r="C1897" t="str">
        <f>HYPERLINK("http://service.sap.com/sap/support/notes/1911957","1911957")</f>
        <v>1911957</v>
      </c>
      <c r="D1897">
        <v>1</v>
      </c>
      <c r="E1897" t="s">
        <v>2369</v>
      </c>
      <c r="F1897" t="s">
        <v>11</v>
      </c>
    </row>
    <row r="1898" spans="1:6" x14ac:dyDescent="0.3">
      <c r="A1898" t="s">
        <v>1326</v>
      </c>
      <c r="B1898" t="s">
        <v>1327</v>
      </c>
    </row>
    <row r="1899" spans="1:6" x14ac:dyDescent="0.3">
      <c r="A1899" t="s">
        <v>1328</v>
      </c>
      <c r="B1899" t="s">
        <v>1329</v>
      </c>
    </row>
    <row r="1900" spans="1:6" x14ac:dyDescent="0.3">
      <c r="A1900" t="s">
        <v>1334</v>
      </c>
      <c r="B1900" t="s">
        <v>1335</v>
      </c>
      <c r="C1900" t="str">
        <f>HYPERLINK("http://service.sap.com/sap/support/notes/1931080","1931080")</f>
        <v>1931080</v>
      </c>
      <c r="D1900">
        <v>3</v>
      </c>
      <c r="E1900" t="s">
        <v>2370</v>
      </c>
      <c r="F1900" t="s">
        <v>13</v>
      </c>
    </row>
    <row r="1901" spans="1:6" x14ac:dyDescent="0.3">
      <c r="A1901" t="s">
        <v>1343</v>
      </c>
      <c r="B1901" t="s">
        <v>1344</v>
      </c>
    </row>
    <row r="1902" spans="1:6" x14ac:dyDescent="0.3">
      <c r="A1902" t="s">
        <v>1345</v>
      </c>
      <c r="B1902" t="s">
        <v>1346</v>
      </c>
    </row>
    <row r="1903" spans="1:6" x14ac:dyDescent="0.3">
      <c r="A1903" t="s">
        <v>1347</v>
      </c>
      <c r="B1903" t="s">
        <v>1348</v>
      </c>
      <c r="C1903" t="str">
        <f>HYPERLINK("http://service.sap.com/sap/support/notes/1929621","1929621")</f>
        <v>1929621</v>
      </c>
      <c r="D1903">
        <v>2</v>
      </c>
      <c r="E1903" t="s">
        <v>2371</v>
      </c>
      <c r="F1903" t="s">
        <v>11</v>
      </c>
    </row>
    <row r="1904" spans="1:6" x14ac:dyDescent="0.3">
      <c r="A1904" t="s">
        <v>2372</v>
      </c>
      <c r="B1904" t="s">
        <v>2373</v>
      </c>
    </row>
    <row r="1905" spans="1:6" x14ac:dyDescent="0.3">
      <c r="A1905" t="s">
        <v>2374</v>
      </c>
      <c r="B1905" t="s">
        <v>2375</v>
      </c>
      <c r="C1905" t="str">
        <f>HYPERLINK("http://service.sap.com/sap/support/notes/1886350","1886350")</f>
        <v>1886350</v>
      </c>
      <c r="D1905">
        <v>2</v>
      </c>
      <c r="E1905" t="s">
        <v>2376</v>
      </c>
      <c r="F1905" t="s">
        <v>17</v>
      </c>
    </row>
    <row r="1906" spans="1:6" x14ac:dyDescent="0.3">
      <c r="A1906" t="s">
        <v>1364</v>
      </c>
      <c r="B1906" t="s">
        <v>1365</v>
      </c>
    </row>
    <row r="1907" spans="1:6" x14ac:dyDescent="0.3">
      <c r="A1907" t="s">
        <v>2377</v>
      </c>
      <c r="B1907" t="s">
        <v>2378</v>
      </c>
    </row>
    <row r="1908" spans="1:6" x14ac:dyDescent="0.3">
      <c r="A1908" t="s">
        <v>2379</v>
      </c>
      <c r="B1908" t="s">
        <v>2380</v>
      </c>
      <c r="C1908" t="str">
        <f>HYPERLINK("http://service.sap.com/sap/support/notes/1856775","1856775")</f>
        <v>1856775</v>
      </c>
      <c r="D1908">
        <v>4</v>
      </c>
      <c r="E1908" t="s">
        <v>2381</v>
      </c>
      <c r="F1908" t="s">
        <v>17</v>
      </c>
    </row>
    <row r="1909" spans="1:6" x14ac:dyDescent="0.3">
      <c r="A1909" t="s">
        <v>2379</v>
      </c>
      <c r="B1909" t="s">
        <v>2380</v>
      </c>
      <c r="C1909" t="str">
        <f>HYPERLINK("http://service.sap.com/sap/support/notes/1880584","1880584")</f>
        <v>1880584</v>
      </c>
      <c r="D1909">
        <v>2</v>
      </c>
      <c r="E1909" t="s">
        <v>2382</v>
      </c>
      <c r="F1909" t="s">
        <v>17</v>
      </c>
    </row>
    <row r="1910" spans="1:6" x14ac:dyDescent="0.3">
      <c r="A1910" t="s">
        <v>2379</v>
      </c>
      <c r="B1910" t="s">
        <v>2380</v>
      </c>
      <c r="C1910" t="str">
        <f>HYPERLINK("http://service.sap.com/sap/support/notes/1915957","1915957")</f>
        <v>1915957</v>
      </c>
      <c r="D1910">
        <v>2</v>
      </c>
      <c r="E1910" t="s">
        <v>2383</v>
      </c>
      <c r="F1910" t="s">
        <v>17</v>
      </c>
    </row>
    <row r="1911" spans="1:6" x14ac:dyDescent="0.3">
      <c r="A1911" t="s">
        <v>1366</v>
      </c>
      <c r="B1911" t="s">
        <v>1367</v>
      </c>
    </row>
    <row r="1912" spans="1:6" x14ac:dyDescent="0.3">
      <c r="A1912" t="s">
        <v>1368</v>
      </c>
      <c r="B1912" t="s">
        <v>1369</v>
      </c>
      <c r="C1912" t="str">
        <f>HYPERLINK("http://service.sap.com/sap/support/notes/1932480","1932480")</f>
        <v>1932480</v>
      </c>
      <c r="D1912">
        <v>1</v>
      </c>
      <c r="E1912" t="s">
        <v>2384</v>
      </c>
      <c r="F1912" t="s">
        <v>13</v>
      </c>
    </row>
    <row r="1913" spans="1:6" x14ac:dyDescent="0.3">
      <c r="A1913" t="s">
        <v>1371</v>
      </c>
      <c r="B1913" t="s">
        <v>1367</v>
      </c>
    </row>
    <row r="1914" spans="1:6" x14ac:dyDescent="0.3">
      <c r="A1914" t="s">
        <v>1372</v>
      </c>
      <c r="B1914" t="s">
        <v>1373</v>
      </c>
      <c r="C1914" t="str">
        <f>HYPERLINK("http://service.sap.com/sap/support/notes/1726738","1726738")</f>
        <v>1726738</v>
      </c>
      <c r="D1914">
        <v>12</v>
      </c>
      <c r="E1914" t="s">
        <v>2385</v>
      </c>
      <c r="F1914" t="s">
        <v>11</v>
      </c>
    </row>
    <row r="1915" spans="1:6" x14ac:dyDescent="0.3">
      <c r="A1915" t="s">
        <v>1372</v>
      </c>
      <c r="B1915" t="s">
        <v>1373</v>
      </c>
      <c r="C1915" t="str">
        <f>HYPERLINK("http://service.sap.com/sap/support/notes/1894493","1894493")</f>
        <v>1894493</v>
      </c>
      <c r="D1915">
        <v>3</v>
      </c>
      <c r="E1915" t="s">
        <v>2386</v>
      </c>
      <c r="F1915" t="s">
        <v>11</v>
      </c>
    </row>
    <row r="1916" spans="1:6" x14ac:dyDescent="0.3">
      <c r="A1916" t="s">
        <v>1372</v>
      </c>
      <c r="B1916" t="s">
        <v>1373</v>
      </c>
      <c r="C1916" t="str">
        <f>HYPERLINK("http://service.sap.com/sap/support/notes/1935076","1935076")</f>
        <v>1935076</v>
      </c>
      <c r="D1916">
        <v>3</v>
      </c>
      <c r="E1916" t="s">
        <v>2387</v>
      </c>
      <c r="F1916" t="s">
        <v>17</v>
      </c>
    </row>
    <row r="1917" spans="1:6" x14ac:dyDescent="0.3">
      <c r="A1917" t="s">
        <v>1372</v>
      </c>
      <c r="B1917" t="s">
        <v>1373</v>
      </c>
      <c r="C1917" t="str">
        <f>HYPERLINK("http://service.sap.com/sap/support/notes/1945941","1945941")</f>
        <v>1945941</v>
      </c>
      <c r="D1917">
        <v>3</v>
      </c>
      <c r="E1917" t="s">
        <v>2388</v>
      </c>
      <c r="F1917" t="s">
        <v>17</v>
      </c>
    </row>
    <row r="1918" spans="1:6" x14ac:dyDescent="0.3">
      <c r="A1918" t="s">
        <v>1375</v>
      </c>
      <c r="B1918" t="s">
        <v>1376</v>
      </c>
    </row>
    <row r="1919" spans="1:6" x14ac:dyDescent="0.3">
      <c r="A1919" t="s">
        <v>1380</v>
      </c>
      <c r="B1919" t="s">
        <v>2389</v>
      </c>
      <c r="C1919" t="str">
        <f>HYPERLINK("http://service.sap.com/sap/support/notes/1933255","1933255")</f>
        <v>1933255</v>
      </c>
      <c r="D1919">
        <v>7</v>
      </c>
      <c r="E1919" t="s">
        <v>2390</v>
      </c>
      <c r="F1919" t="s">
        <v>11</v>
      </c>
    </row>
    <row r="1920" spans="1:6" x14ac:dyDescent="0.3">
      <c r="A1920" t="s">
        <v>1380</v>
      </c>
      <c r="B1920" t="s">
        <v>2389</v>
      </c>
      <c r="C1920" t="str">
        <f>HYPERLINK("http://service.sap.com/sap/support/notes/1936054","1936054")</f>
        <v>1936054</v>
      </c>
      <c r="D1920">
        <v>4</v>
      </c>
      <c r="E1920" t="s">
        <v>2391</v>
      </c>
      <c r="F1920" t="s">
        <v>17</v>
      </c>
    </row>
    <row r="1921" spans="1:6" x14ac:dyDescent="0.3">
      <c r="A1921" t="s">
        <v>1385</v>
      </c>
      <c r="B1921" t="s">
        <v>845</v>
      </c>
    </row>
    <row r="1922" spans="1:6" x14ac:dyDescent="0.3">
      <c r="A1922" t="s">
        <v>1389</v>
      </c>
      <c r="B1922" t="s">
        <v>1390</v>
      </c>
    </row>
    <row r="1923" spans="1:6" x14ac:dyDescent="0.3">
      <c r="A1923" t="s">
        <v>2392</v>
      </c>
      <c r="B1923" t="s">
        <v>1397</v>
      </c>
      <c r="C1923" t="str">
        <f>HYPERLINK("http://service.sap.com/sap/support/notes/1928240","1928240")</f>
        <v>1928240</v>
      </c>
      <c r="D1923">
        <v>1</v>
      </c>
      <c r="E1923" t="s">
        <v>1393</v>
      </c>
      <c r="F1923" t="s">
        <v>94</v>
      </c>
    </row>
    <row r="1924" spans="1:6" x14ac:dyDescent="0.3">
      <c r="A1924" t="s">
        <v>2392</v>
      </c>
      <c r="B1924" t="s">
        <v>1397</v>
      </c>
      <c r="C1924" t="str">
        <f>HYPERLINK("http://service.sap.com/sap/support/notes/1932749","1932749")</f>
        <v>1932749</v>
      </c>
      <c r="D1924">
        <v>2</v>
      </c>
      <c r="E1924" t="s">
        <v>2393</v>
      </c>
      <c r="F1924" t="s">
        <v>11</v>
      </c>
    </row>
    <row r="1925" spans="1:6" x14ac:dyDescent="0.3">
      <c r="A1925" t="s">
        <v>2394</v>
      </c>
      <c r="B1925" t="s">
        <v>243</v>
      </c>
      <c r="C1925" t="str">
        <f>HYPERLINK("http://service.sap.com/sap/support/notes/1939425","1939425")</f>
        <v>1939425</v>
      </c>
      <c r="D1925">
        <v>6</v>
      </c>
      <c r="E1925" t="s">
        <v>2395</v>
      </c>
      <c r="F1925" t="s">
        <v>17</v>
      </c>
    </row>
    <row r="1926" spans="1:6" x14ac:dyDescent="0.3">
      <c r="A1926" t="s">
        <v>2396</v>
      </c>
      <c r="B1926" t="s">
        <v>138</v>
      </c>
      <c r="C1926" t="str">
        <f>HYPERLINK("http://service.sap.com/sap/support/notes/1929787","1929787")</f>
        <v>1929787</v>
      </c>
      <c r="D1926">
        <v>1</v>
      </c>
      <c r="E1926" t="s">
        <v>2397</v>
      </c>
      <c r="F1926" t="s">
        <v>13</v>
      </c>
    </row>
    <row r="1927" spans="1:6" x14ac:dyDescent="0.3">
      <c r="A1927" t="s">
        <v>1400</v>
      </c>
      <c r="B1927" t="s">
        <v>1401</v>
      </c>
    </row>
    <row r="1928" spans="1:6" x14ac:dyDescent="0.3">
      <c r="A1928" t="s">
        <v>1402</v>
      </c>
      <c r="B1928" t="s">
        <v>1403</v>
      </c>
    </row>
    <row r="1929" spans="1:6" x14ac:dyDescent="0.3">
      <c r="A1929" t="s">
        <v>2398</v>
      </c>
      <c r="B1929" t="s">
        <v>1405</v>
      </c>
      <c r="C1929" t="str">
        <f>HYPERLINK("http://service.sap.com/sap/support/notes/1926068","1926068")</f>
        <v>1926068</v>
      </c>
      <c r="D1929">
        <v>3</v>
      </c>
      <c r="E1929" t="s">
        <v>2399</v>
      </c>
      <c r="F1929" t="s">
        <v>17</v>
      </c>
    </row>
    <row r="1930" spans="1:6" x14ac:dyDescent="0.3">
      <c r="A1930" t="s">
        <v>1404</v>
      </c>
      <c r="B1930" t="s">
        <v>1405</v>
      </c>
      <c r="C1930" t="str">
        <f>HYPERLINK("http://service.sap.com/sap/support/notes/1912383","1912383")</f>
        <v>1912383</v>
      </c>
      <c r="D1930">
        <v>4</v>
      </c>
      <c r="E1930" t="s">
        <v>2400</v>
      </c>
      <c r="F1930" t="s">
        <v>17</v>
      </c>
    </row>
    <row r="1931" spans="1:6" x14ac:dyDescent="0.3">
      <c r="A1931" t="s">
        <v>1404</v>
      </c>
      <c r="B1931" t="s">
        <v>1405</v>
      </c>
      <c r="C1931" t="str">
        <f>HYPERLINK("http://service.sap.com/sap/support/notes/1922767","1922767")</f>
        <v>1922767</v>
      </c>
      <c r="D1931">
        <v>2</v>
      </c>
      <c r="E1931" t="s">
        <v>2401</v>
      </c>
      <c r="F1931" t="s">
        <v>17</v>
      </c>
    </row>
    <row r="1932" spans="1:6" x14ac:dyDescent="0.3">
      <c r="A1932" t="s">
        <v>1404</v>
      </c>
      <c r="B1932" t="s">
        <v>1405</v>
      </c>
      <c r="C1932" t="str">
        <f>HYPERLINK("http://service.sap.com/sap/support/notes/1938922","1938922")</f>
        <v>1938922</v>
      </c>
      <c r="D1932">
        <v>2</v>
      </c>
      <c r="E1932" t="s">
        <v>2402</v>
      </c>
      <c r="F1932" t="s">
        <v>17</v>
      </c>
    </row>
    <row r="1933" spans="1:6" x14ac:dyDescent="0.3">
      <c r="A1933" t="s">
        <v>1404</v>
      </c>
      <c r="B1933" t="s">
        <v>1405</v>
      </c>
      <c r="C1933" t="str">
        <f>HYPERLINK("http://service.sap.com/sap/support/notes/1940758","1940758")</f>
        <v>1940758</v>
      </c>
      <c r="D1933">
        <v>1</v>
      </c>
      <c r="E1933" t="s">
        <v>2403</v>
      </c>
      <c r="F1933" t="s">
        <v>17</v>
      </c>
    </row>
    <row r="1934" spans="1:6" x14ac:dyDescent="0.3">
      <c r="A1934" t="s">
        <v>1404</v>
      </c>
      <c r="B1934" t="s">
        <v>1405</v>
      </c>
      <c r="C1934" t="str">
        <f>HYPERLINK("http://service.sap.com/sap/support/notes/1946170","1946170")</f>
        <v>1946170</v>
      </c>
      <c r="D1934">
        <v>2</v>
      </c>
      <c r="E1934" t="s">
        <v>2401</v>
      </c>
      <c r="F1934" t="s">
        <v>17</v>
      </c>
    </row>
    <row r="1935" spans="1:6" x14ac:dyDescent="0.3">
      <c r="A1935" t="s">
        <v>1411</v>
      </c>
      <c r="B1935" t="s">
        <v>1412</v>
      </c>
      <c r="C1935" t="str">
        <f>HYPERLINK("http://service.sap.com/sap/support/notes/1899927","1899927")</f>
        <v>1899927</v>
      </c>
      <c r="D1935">
        <v>3</v>
      </c>
      <c r="E1935" t="s">
        <v>2404</v>
      </c>
      <c r="F1935" t="s">
        <v>11</v>
      </c>
    </row>
    <row r="1936" spans="1:6" x14ac:dyDescent="0.3">
      <c r="A1936" t="s">
        <v>1411</v>
      </c>
      <c r="B1936" t="s">
        <v>1412</v>
      </c>
      <c r="C1936" t="str">
        <f>HYPERLINK("http://service.sap.com/sap/support/notes/1918456","1918456")</f>
        <v>1918456</v>
      </c>
      <c r="D1936">
        <v>3</v>
      </c>
      <c r="E1936" t="s">
        <v>2405</v>
      </c>
      <c r="F1936" t="s">
        <v>11</v>
      </c>
    </row>
    <row r="1937" spans="1:6" x14ac:dyDescent="0.3">
      <c r="A1937" t="s">
        <v>1411</v>
      </c>
      <c r="B1937" t="s">
        <v>1412</v>
      </c>
      <c r="C1937" t="str">
        <f>HYPERLINK("http://service.sap.com/sap/support/notes/1918623","1918623")</f>
        <v>1918623</v>
      </c>
      <c r="D1937">
        <v>2</v>
      </c>
      <c r="E1937" t="s">
        <v>2406</v>
      </c>
      <c r="F1937" t="s">
        <v>17</v>
      </c>
    </row>
    <row r="1938" spans="1:6" x14ac:dyDescent="0.3">
      <c r="A1938" t="s">
        <v>1411</v>
      </c>
      <c r="B1938" t="s">
        <v>1412</v>
      </c>
      <c r="C1938" t="str">
        <f>HYPERLINK("http://service.sap.com/sap/support/notes/1918624","1918624")</f>
        <v>1918624</v>
      </c>
      <c r="D1938">
        <v>2</v>
      </c>
      <c r="E1938" t="s">
        <v>2407</v>
      </c>
      <c r="F1938" t="s">
        <v>17</v>
      </c>
    </row>
    <row r="1939" spans="1:6" x14ac:dyDescent="0.3">
      <c r="A1939" t="s">
        <v>1411</v>
      </c>
      <c r="B1939" t="s">
        <v>1412</v>
      </c>
      <c r="C1939" t="str">
        <f>HYPERLINK("http://service.sap.com/sap/support/notes/1922177","1922177")</f>
        <v>1922177</v>
      </c>
      <c r="D1939">
        <v>1</v>
      </c>
      <c r="E1939" t="s">
        <v>2408</v>
      </c>
      <c r="F1939" t="s">
        <v>17</v>
      </c>
    </row>
    <row r="1940" spans="1:6" x14ac:dyDescent="0.3">
      <c r="A1940" t="s">
        <v>1411</v>
      </c>
      <c r="B1940" t="s">
        <v>1412</v>
      </c>
      <c r="C1940" t="str">
        <f>HYPERLINK("http://service.sap.com/sap/support/notes/1922350","1922350")</f>
        <v>1922350</v>
      </c>
      <c r="D1940">
        <v>1</v>
      </c>
      <c r="E1940" t="s">
        <v>2409</v>
      </c>
      <c r="F1940" t="s">
        <v>17</v>
      </c>
    </row>
    <row r="1941" spans="1:6" x14ac:dyDescent="0.3">
      <c r="A1941" t="s">
        <v>1411</v>
      </c>
      <c r="B1941" t="s">
        <v>1412</v>
      </c>
      <c r="C1941" t="str">
        <f>HYPERLINK("http://service.sap.com/sap/support/notes/1925793","1925793")</f>
        <v>1925793</v>
      </c>
      <c r="D1941">
        <v>2</v>
      </c>
      <c r="E1941" t="s">
        <v>2410</v>
      </c>
      <c r="F1941" t="s">
        <v>17</v>
      </c>
    </row>
    <row r="1942" spans="1:6" x14ac:dyDescent="0.3">
      <c r="A1942" t="s">
        <v>1411</v>
      </c>
      <c r="B1942" t="s">
        <v>1412</v>
      </c>
      <c r="C1942" t="str">
        <f>HYPERLINK("http://service.sap.com/sap/support/notes/1928178","1928178")</f>
        <v>1928178</v>
      </c>
      <c r="D1942">
        <v>3</v>
      </c>
      <c r="E1942" t="s">
        <v>2411</v>
      </c>
      <c r="F1942" t="s">
        <v>17</v>
      </c>
    </row>
    <row r="1943" spans="1:6" x14ac:dyDescent="0.3">
      <c r="A1943" t="s">
        <v>1411</v>
      </c>
      <c r="B1943" t="s">
        <v>1412</v>
      </c>
      <c r="C1943" t="str">
        <f>HYPERLINK("http://service.sap.com/sap/support/notes/1934786","1934786")</f>
        <v>1934786</v>
      </c>
      <c r="D1943">
        <v>3</v>
      </c>
      <c r="E1943" t="s">
        <v>2412</v>
      </c>
      <c r="F1943" t="s">
        <v>17</v>
      </c>
    </row>
    <row r="1944" spans="1:6" x14ac:dyDescent="0.3">
      <c r="A1944" t="s">
        <v>1411</v>
      </c>
      <c r="B1944" t="s">
        <v>1412</v>
      </c>
      <c r="C1944" t="str">
        <f>HYPERLINK("http://service.sap.com/sap/support/notes/1936326","1936326")</f>
        <v>1936326</v>
      </c>
      <c r="D1944">
        <v>2</v>
      </c>
      <c r="E1944" t="s">
        <v>2413</v>
      </c>
      <c r="F1944" t="s">
        <v>17</v>
      </c>
    </row>
    <row r="1945" spans="1:6" x14ac:dyDescent="0.3">
      <c r="A1945" t="s">
        <v>1411</v>
      </c>
      <c r="B1945" t="s">
        <v>1412</v>
      </c>
      <c r="C1945" t="str">
        <f>HYPERLINK("http://service.sap.com/sap/support/notes/1939697","1939697")</f>
        <v>1939697</v>
      </c>
      <c r="D1945">
        <v>2</v>
      </c>
      <c r="E1945" t="s">
        <v>2414</v>
      </c>
      <c r="F1945" t="s">
        <v>17</v>
      </c>
    </row>
    <row r="1946" spans="1:6" x14ac:dyDescent="0.3">
      <c r="A1946" t="s">
        <v>1411</v>
      </c>
      <c r="B1946" t="s">
        <v>1412</v>
      </c>
      <c r="C1946" t="str">
        <f>HYPERLINK("http://service.sap.com/sap/support/notes/1943900","1943900")</f>
        <v>1943900</v>
      </c>
      <c r="D1946">
        <v>2</v>
      </c>
      <c r="E1946" t="s">
        <v>2415</v>
      </c>
      <c r="F1946" t="s">
        <v>11</v>
      </c>
    </row>
    <row r="1947" spans="1:6" x14ac:dyDescent="0.3">
      <c r="A1947" t="s">
        <v>1411</v>
      </c>
      <c r="B1947" t="s">
        <v>1412</v>
      </c>
      <c r="C1947" t="str">
        <f>HYPERLINK("http://service.sap.com/sap/support/notes/1945563","1945563")</f>
        <v>1945563</v>
      </c>
      <c r="D1947">
        <v>2</v>
      </c>
      <c r="E1947" t="s">
        <v>2416</v>
      </c>
      <c r="F1947" t="s">
        <v>17</v>
      </c>
    </row>
    <row r="1948" spans="1:6" x14ac:dyDescent="0.3">
      <c r="A1948" t="s">
        <v>1411</v>
      </c>
      <c r="B1948" t="s">
        <v>1412</v>
      </c>
      <c r="C1948" t="str">
        <f>HYPERLINK("http://service.sap.com/sap/support/notes/1950406","1950406")</f>
        <v>1950406</v>
      </c>
      <c r="D1948">
        <v>1</v>
      </c>
      <c r="E1948" t="s">
        <v>2417</v>
      </c>
      <c r="F1948" t="s">
        <v>17</v>
      </c>
    </row>
    <row r="1949" spans="1:6" x14ac:dyDescent="0.3">
      <c r="A1949" t="s">
        <v>1420</v>
      </c>
      <c r="B1949" t="s">
        <v>1421</v>
      </c>
    </row>
    <row r="1950" spans="1:6" x14ac:dyDescent="0.3">
      <c r="A1950" t="s">
        <v>1422</v>
      </c>
      <c r="B1950" t="s">
        <v>1423</v>
      </c>
      <c r="C1950" t="str">
        <f>HYPERLINK("http://service.sap.com/sap/support/notes/1803029","1803029")</f>
        <v>1803029</v>
      </c>
      <c r="D1950">
        <v>9</v>
      </c>
      <c r="E1950" t="s">
        <v>1424</v>
      </c>
      <c r="F1950" t="s">
        <v>13</v>
      </c>
    </row>
    <row r="1951" spans="1:6" x14ac:dyDescent="0.3">
      <c r="A1951" t="s">
        <v>1422</v>
      </c>
      <c r="B1951" t="s">
        <v>1423</v>
      </c>
      <c r="C1951" t="str">
        <f>HYPERLINK("http://service.sap.com/sap/support/notes/1940804","1940804")</f>
        <v>1940804</v>
      </c>
      <c r="D1951">
        <v>1</v>
      </c>
      <c r="E1951" t="s">
        <v>2418</v>
      </c>
      <c r="F1951" t="s">
        <v>17</v>
      </c>
    </row>
    <row r="1952" spans="1:6" x14ac:dyDescent="0.3">
      <c r="A1952" t="s">
        <v>1428</v>
      </c>
      <c r="B1952" t="s">
        <v>1429</v>
      </c>
      <c r="C1952" t="str">
        <f>HYPERLINK("http://service.sap.com/sap/support/notes/1928744","1928744")</f>
        <v>1928744</v>
      </c>
      <c r="D1952">
        <v>3</v>
      </c>
      <c r="E1952" t="s">
        <v>2419</v>
      </c>
      <c r="F1952" t="s">
        <v>17</v>
      </c>
    </row>
    <row r="1953" spans="1:6" x14ac:dyDescent="0.3">
      <c r="A1953" t="s">
        <v>1428</v>
      </c>
      <c r="B1953" t="s">
        <v>1429</v>
      </c>
      <c r="C1953" t="str">
        <f>HYPERLINK("http://service.sap.com/sap/support/notes/1944776","1944776")</f>
        <v>1944776</v>
      </c>
      <c r="D1953">
        <v>2</v>
      </c>
      <c r="E1953" t="s">
        <v>2420</v>
      </c>
      <c r="F1953" t="s">
        <v>17</v>
      </c>
    </row>
    <row r="1954" spans="1:6" x14ac:dyDescent="0.3">
      <c r="A1954" t="s">
        <v>2421</v>
      </c>
      <c r="B1954" t="s">
        <v>2422</v>
      </c>
      <c r="C1954" t="str">
        <f>HYPERLINK("http://service.sap.com/sap/support/notes/1941855","1941855")</f>
        <v>1941855</v>
      </c>
      <c r="D1954">
        <v>2</v>
      </c>
      <c r="E1954" t="s">
        <v>2423</v>
      </c>
      <c r="F1954" t="s">
        <v>17</v>
      </c>
    </row>
    <row r="1955" spans="1:6" x14ac:dyDescent="0.3">
      <c r="A1955" t="s">
        <v>1432</v>
      </c>
      <c r="B1955" t="s">
        <v>1433</v>
      </c>
    </row>
    <row r="1956" spans="1:6" x14ac:dyDescent="0.3">
      <c r="A1956" t="s">
        <v>1434</v>
      </c>
      <c r="B1956" t="s">
        <v>1435</v>
      </c>
    </row>
    <row r="1957" spans="1:6" x14ac:dyDescent="0.3">
      <c r="A1957" t="s">
        <v>2424</v>
      </c>
      <c r="B1957" t="s">
        <v>2425</v>
      </c>
    </row>
    <row r="1958" spans="1:6" x14ac:dyDescent="0.3">
      <c r="A1958" t="s">
        <v>2426</v>
      </c>
      <c r="B1958" t="s">
        <v>2427</v>
      </c>
      <c r="C1958" t="str">
        <f>HYPERLINK("http://service.sap.com/sap/support/notes/1867496","1867496")</f>
        <v>1867496</v>
      </c>
      <c r="D1958">
        <v>32</v>
      </c>
      <c r="E1958" t="s">
        <v>2428</v>
      </c>
      <c r="F1958" t="s">
        <v>17</v>
      </c>
    </row>
    <row r="1959" spans="1:6" x14ac:dyDescent="0.3">
      <c r="A1959" t="s">
        <v>1443</v>
      </c>
      <c r="B1959" t="s">
        <v>1444</v>
      </c>
    </row>
    <row r="1960" spans="1:6" x14ac:dyDescent="0.3">
      <c r="A1960" t="s">
        <v>1445</v>
      </c>
      <c r="B1960" t="s">
        <v>1446</v>
      </c>
      <c r="C1960" t="str">
        <f>HYPERLINK("http://service.sap.com/sap/support/notes/1935508","1935508")</f>
        <v>1935508</v>
      </c>
      <c r="D1960">
        <v>1</v>
      </c>
      <c r="E1960" t="s">
        <v>2429</v>
      </c>
      <c r="F1960" t="s">
        <v>17</v>
      </c>
    </row>
    <row r="1961" spans="1:6" x14ac:dyDescent="0.3">
      <c r="A1961" t="s">
        <v>1448</v>
      </c>
      <c r="B1961" t="s">
        <v>1449</v>
      </c>
    </row>
    <row r="1962" spans="1:6" x14ac:dyDescent="0.3">
      <c r="A1962" t="s">
        <v>1458</v>
      </c>
      <c r="B1962" t="s">
        <v>1459</v>
      </c>
      <c r="C1962" t="str">
        <f>HYPERLINK("http://service.sap.com/sap/support/notes/1931757","1931757")</f>
        <v>1931757</v>
      </c>
      <c r="D1962">
        <v>1</v>
      </c>
      <c r="E1962" t="s">
        <v>2430</v>
      </c>
      <c r="F1962" t="s">
        <v>17</v>
      </c>
    </row>
    <row r="1963" spans="1:6" x14ac:dyDescent="0.3">
      <c r="A1963" t="s">
        <v>1465</v>
      </c>
      <c r="B1963" t="s">
        <v>1466</v>
      </c>
    </row>
    <row r="1964" spans="1:6" x14ac:dyDescent="0.3">
      <c r="A1964" t="s">
        <v>1467</v>
      </c>
      <c r="B1964" t="s">
        <v>1468</v>
      </c>
    </row>
    <row r="1965" spans="1:6" x14ac:dyDescent="0.3">
      <c r="A1965" t="s">
        <v>1469</v>
      </c>
      <c r="B1965" t="s">
        <v>1470</v>
      </c>
    </row>
    <row r="1966" spans="1:6" x14ac:dyDescent="0.3">
      <c r="A1966" t="s">
        <v>2431</v>
      </c>
      <c r="B1966" t="s">
        <v>61</v>
      </c>
      <c r="C1966" t="str">
        <f>HYPERLINK("http://service.sap.com/sap/support/notes/1905638","1905638")</f>
        <v>1905638</v>
      </c>
      <c r="D1966">
        <v>2</v>
      </c>
      <c r="E1966" t="s">
        <v>2432</v>
      </c>
      <c r="F1966" t="s">
        <v>17</v>
      </c>
    </row>
    <row r="1967" spans="1:6" x14ac:dyDescent="0.3">
      <c r="A1967" t="s">
        <v>2431</v>
      </c>
      <c r="B1967" t="s">
        <v>61</v>
      </c>
      <c r="C1967" t="str">
        <f>HYPERLINK("http://service.sap.com/sap/support/notes/1932165","1932165")</f>
        <v>1932165</v>
      </c>
      <c r="D1967">
        <v>1</v>
      </c>
      <c r="E1967" t="s">
        <v>2433</v>
      </c>
      <c r="F1967" t="s">
        <v>17</v>
      </c>
    </row>
    <row r="1968" spans="1:6" x14ac:dyDescent="0.3">
      <c r="A1968" t="s">
        <v>2434</v>
      </c>
      <c r="B1968" t="s">
        <v>1553</v>
      </c>
      <c r="C1968" t="str">
        <f>HYPERLINK("http://service.sap.com/sap/support/notes/1850313","1850313")</f>
        <v>1850313</v>
      </c>
      <c r="D1968">
        <v>2</v>
      </c>
      <c r="E1968" t="s">
        <v>2435</v>
      </c>
      <c r="F1968" t="s">
        <v>17</v>
      </c>
    </row>
    <row r="1969" spans="1:6" x14ac:dyDescent="0.3">
      <c r="A1969" t="s">
        <v>1483</v>
      </c>
      <c r="B1969" t="s">
        <v>1484</v>
      </c>
      <c r="C1969" t="str">
        <f>HYPERLINK("http://service.sap.com/sap/support/notes/1939454","1939454")</f>
        <v>1939454</v>
      </c>
      <c r="D1969">
        <v>1</v>
      </c>
      <c r="E1969" t="s">
        <v>2436</v>
      </c>
      <c r="F1969" t="s">
        <v>11</v>
      </c>
    </row>
    <row r="1970" spans="1:6" x14ac:dyDescent="0.3">
      <c r="A1970" t="s">
        <v>1494</v>
      </c>
      <c r="B1970" t="s">
        <v>1495</v>
      </c>
    </row>
    <row r="1971" spans="1:6" x14ac:dyDescent="0.3">
      <c r="A1971" t="s">
        <v>1496</v>
      </c>
      <c r="B1971" t="s">
        <v>61</v>
      </c>
      <c r="C1971" t="str">
        <f>HYPERLINK("http://service.sap.com/sap/support/notes/1951071","1951071")</f>
        <v>1951071</v>
      </c>
      <c r="D1971">
        <v>2</v>
      </c>
      <c r="E1971" t="s">
        <v>2437</v>
      </c>
      <c r="F1971" t="s">
        <v>17</v>
      </c>
    </row>
    <row r="1972" spans="1:6" x14ac:dyDescent="0.3">
      <c r="A1972" t="s">
        <v>1496</v>
      </c>
      <c r="B1972" t="s">
        <v>61</v>
      </c>
      <c r="C1972" t="str">
        <f>HYPERLINK("http://service.sap.com/sap/support/notes/1951387","1951387")</f>
        <v>1951387</v>
      </c>
      <c r="D1972">
        <v>1</v>
      </c>
      <c r="E1972" t="s">
        <v>2437</v>
      </c>
      <c r="F1972" t="s">
        <v>17</v>
      </c>
    </row>
    <row r="1973" spans="1:6" x14ac:dyDescent="0.3">
      <c r="A1973" t="s">
        <v>1500</v>
      </c>
      <c r="B1973" t="s">
        <v>1501</v>
      </c>
    </row>
    <row r="1974" spans="1:6" x14ac:dyDescent="0.3">
      <c r="A1974" t="s">
        <v>1505</v>
      </c>
      <c r="B1974" t="s">
        <v>1506</v>
      </c>
      <c r="C1974" t="str">
        <f>HYPERLINK("http://service.sap.com/sap/support/notes/1913790","1913790")</f>
        <v>1913790</v>
      </c>
      <c r="D1974">
        <v>1</v>
      </c>
      <c r="E1974" t="s">
        <v>1512</v>
      </c>
      <c r="F1974" t="s">
        <v>13</v>
      </c>
    </row>
    <row r="1975" spans="1:6" x14ac:dyDescent="0.3">
      <c r="A1975" t="s">
        <v>1505</v>
      </c>
      <c r="B1975" t="s">
        <v>1506</v>
      </c>
      <c r="C1975" t="str">
        <f>HYPERLINK("http://service.sap.com/sap/support/notes/1918193","1918193")</f>
        <v>1918193</v>
      </c>
      <c r="D1975">
        <v>3</v>
      </c>
      <c r="E1975" t="s">
        <v>2438</v>
      </c>
      <c r="F1975" t="s">
        <v>17</v>
      </c>
    </row>
    <row r="1976" spans="1:6" x14ac:dyDescent="0.3">
      <c r="A1976" t="s">
        <v>1505</v>
      </c>
      <c r="B1976" t="s">
        <v>1506</v>
      </c>
      <c r="C1976" t="str">
        <f>HYPERLINK("http://service.sap.com/sap/support/notes/1930577","1930577")</f>
        <v>1930577</v>
      </c>
      <c r="D1976">
        <v>2</v>
      </c>
      <c r="E1976" t="s">
        <v>2439</v>
      </c>
      <c r="F1976" t="s">
        <v>17</v>
      </c>
    </row>
    <row r="1977" spans="1:6" x14ac:dyDescent="0.3">
      <c r="A1977" t="s">
        <v>1505</v>
      </c>
      <c r="B1977" t="s">
        <v>1506</v>
      </c>
      <c r="C1977" t="str">
        <f>HYPERLINK("http://service.sap.com/sap/support/notes/1932131","1932131")</f>
        <v>1932131</v>
      </c>
      <c r="D1977">
        <v>2</v>
      </c>
      <c r="E1977" t="s">
        <v>2440</v>
      </c>
      <c r="F1977" t="s">
        <v>17</v>
      </c>
    </row>
    <row r="1978" spans="1:6" x14ac:dyDescent="0.3">
      <c r="A1978" t="s">
        <v>1505</v>
      </c>
      <c r="B1978" t="s">
        <v>1506</v>
      </c>
      <c r="C1978" t="str">
        <f>HYPERLINK("http://service.sap.com/sap/support/notes/1933400","1933400")</f>
        <v>1933400</v>
      </c>
      <c r="D1978">
        <v>1</v>
      </c>
      <c r="E1978" t="s">
        <v>2441</v>
      </c>
      <c r="F1978" t="s">
        <v>17</v>
      </c>
    </row>
    <row r="1979" spans="1:6" x14ac:dyDescent="0.3">
      <c r="A1979" t="s">
        <v>1505</v>
      </c>
      <c r="B1979" t="s">
        <v>1506</v>
      </c>
      <c r="C1979" t="str">
        <f>HYPERLINK("http://service.sap.com/sap/support/notes/1939712","1939712")</f>
        <v>1939712</v>
      </c>
      <c r="D1979">
        <v>1</v>
      </c>
      <c r="E1979" t="s">
        <v>2442</v>
      </c>
      <c r="F1979" t="s">
        <v>17</v>
      </c>
    </row>
    <row r="1980" spans="1:6" x14ac:dyDescent="0.3">
      <c r="A1980" t="s">
        <v>1505</v>
      </c>
      <c r="B1980" t="s">
        <v>1506</v>
      </c>
      <c r="C1980" t="str">
        <f>HYPERLINK("http://service.sap.com/sap/support/notes/1947845","1947845")</f>
        <v>1947845</v>
      </c>
      <c r="D1980">
        <v>1</v>
      </c>
      <c r="E1980" t="s">
        <v>2443</v>
      </c>
      <c r="F1980" t="s">
        <v>17</v>
      </c>
    </row>
    <row r="1981" spans="1:6" x14ac:dyDescent="0.3">
      <c r="A1981" t="s">
        <v>1513</v>
      </c>
      <c r="B1981" t="s">
        <v>61</v>
      </c>
      <c r="C1981" t="str">
        <f>HYPERLINK("http://service.sap.com/sap/support/notes/1831800","1831800")</f>
        <v>1831800</v>
      </c>
      <c r="D1981">
        <v>7</v>
      </c>
      <c r="E1981" t="s">
        <v>1514</v>
      </c>
      <c r="F1981" t="s">
        <v>17</v>
      </c>
    </row>
    <row r="1982" spans="1:6" x14ac:dyDescent="0.3">
      <c r="A1982" t="s">
        <v>1513</v>
      </c>
      <c r="B1982" t="s">
        <v>61</v>
      </c>
      <c r="C1982" t="str">
        <f>HYPERLINK("http://service.sap.com/sap/support/notes/1916487","1916487")</f>
        <v>1916487</v>
      </c>
      <c r="D1982">
        <v>3</v>
      </c>
      <c r="E1982" t="s">
        <v>2444</v>
      </c>
      <c r="F1982" t="s">
        <v>17</v>
      </c>
    </row>
    <row r="1983" spans="1:6" x14ac:dyDescent="0.3">
      <c r="A1983" t="s">
        <v>1513</v>
      </c>
      <c r="B1983" t="s">
        <v>61</v>
      </c>
      <c r="C1983" t="str">
        <f>HYPERLINK("http://service.sap.com/sap/support/notes/1924016","1924016")</f>
        <v>1924016</v>
      </c>
      <c r="D1983">
        <v>3</v>
      </c>
      <c r="E1983" t="s">
        <v>2445</v>
      </c>
      <c r="F1983" t="s">
        <v>17</v>
      </c>
    </row>
    <row r="1984" spans="1:6" x14ac:dyDescent="0.3">
      <c r="A1984" t="s">
        <v>1513</v>
      </c>
      <c r="B1984" t="s">
        <v>61</v>
      </c>
      <c r="C1984" t="str">
        <f>HYPERLINK("http://service.sap.com/sap/support/notes/1928136","1928136")</f>
        <v>1928136</v>
      </c>
      <c r="D1984">
        <v>1</v>
      </c>
      <c r="E1984" t="s">
        <v>2446</v>
      </c>
      <c r="F1984" t="s">
        <v>17</v>
      </c>
    </row>
    <row r="1985" spans="1:6" x14ac:dyDescent="0.3">
      <c r="A1985" t="s">
        <v>1513</v>
      </c>
      <c r="B1985" t="s">
        <v>61</v>
      </c>
      <c r="C1985" t="str">
        <f>HYPERLINK("http://service.sap.com/sap/support/notes/1932688","1932688")</f>
        <v>1932688</v>
      </c>
      <c r="D1985">
        <v>3</v>
      </c>
      <c r="E1985" t="s">
        <v>2447</v>
      </c>
      <c r="F1985" t="s">
        <v>17</v>
      </c>
    </row>
    <row r="1986" spans="1:6" x14ac:dyDescent="0.3">
      <c r="A1986" t="s">
        <v>1513</v>
      </c>
      <c r="B1986" t="s">
        <v>61</v>
      </c>
      <c r="C1986" t="str">
        <f>HYPERLINK("http://service.sap.com/sap/support/notes/1935787","1935787")</f>
        <v>1935787</v>
      </c>
      <c r="D1986">
        <v>5</v>
      </c>
      <c r="E1986" t="s">
        <v>2448</v>
      </c>
      <c r="F1986" t="s">
        <v>17</v>
      </c>
    </row>
    <row r="1987" spans="1:6" x14ac:dyDescent="0.3">
      <c r="A1987" t="s">
        <v>1513</v>
      </c>
      <c r="B1987" t="s">
        <v>61</v>
      </c>
      <c r="C1987" t="str">
        <f>HYPERLINK("http://service.sap.com/sap/support/notes/1936144","1936144")</f>
        <v>1936144</v>
      </c>
      <c r="D1987">
        <v>1</v>
      </c>
      <c r="E1987" t="s">
        <v>2449</v>
      </c>
      <c r="F1987" t="s">
        <v>17</v>
      </c>
    </row>
    <row r="1988" spans="1:6" x14ac:dyDescent="0.3">
      <c r="A1988" t="s">
        <v>1513</v>
      </c>
      <c r="B1988" t="s">
        <v>61</v>
      </c>
      <c r="C1988" t="str">
        <f>HYPERLINK("http://service.sap.com/sap/support/notes/1938857","1938857")</f>
        <v>1938857</v>
      </c>
      <c r="D1988">
        <v>2</v>
      </c>
      <c r="E1988" t="s">
        <v>2450</v>
      </c>
      <c r="F1988" t="s">
        <v>17</v>
      </c>
    </row>
    <row r="1989" spans="1:6" x14ac:dyDescent="0.3">
      <c r="A1989" t="s">
        <v>1513</v>
      </c>
      <c r="B1989" t="s">
        <v>61</v>
      </c>
      <c r="C1989" t="str">
        <f>HYPERLINK("http://service.sap.com/sap/support/notes/1938945","1938945")</f>
        <v>1938945</v>
      </c>
      <c r="D1989">
        <v>3</v>
      </c>
      <c r="E1989" t="s">
        <v>2451</v>
      </c>
      <c r="F1989" t="s">
        <v>17</v>
      </c>
    </row>
    <row r="1990" spans="1:6" x14ac:dyDescent="0.3">
      <c r="A1990" t="s">
        <v>1533</v>
      </c>
      <c r="B1990" t="s">
        <v>1534</v>
      </c>
    </row>
    <row r="1991" spans="1:6" x14ac:dyDescent="0.3">
      <c r="A1991" t="s">
        <v>1535</v>
      </c>
      <c r="B1991" t="s">
        <v>1536</v>
      </c>
      <c r="C1991" t="str">
        <f>HYPERLINK("http://service.sap.com/sap/support/notes/1922181","1922181")</f>
        <v>1922181</v>
      </c>
      <c r="D1991">
        <v>1</v>
      </c>
      <c r="E1991" t="s">
        <v>2452</v>
      </c>
      <c r="F1991" t="s">
        <v>17</v>
      </c>
    </row>
    <row r="1992" spans="1:6" x14ac:dyDescent="0.3">
      <c r="A1992" t="s">
        <v>1535</v>
      </c>
      <c r="B1992" t="s">
        <v>1536</v>
      </c>
      <c r="C1992" t="str">
        <f>HYPERLINK("http://service.sap.com/sap/support/notes/1925534","1925534")</f>
        <v>1925534</v>
      </c>
      <c r="D1992">
        <v>1</v>
      </c>
      <c r="E1992" t="s">
        <v>2453</v>
      </c>
      <c r="F1992" t="s">
        <v>17</v>
      </c>
    </row>
    <row r="1993" spans="1:6" x14ac:dyDescent="0.3">
      <c r="A1993" t="s">
        <v>1535</v>
      </c>
      <c r="B1993" t="s">
        <v>1536</v>
      </c>
      <c r="C1993" t="str">
        <f>HYPERLINK("http://service.sap.com/sap/support/notes/1929420","1929420")</f>
        <v>1929420</v>
      </c>
      <c r="D1993">
        <v>1</v>
      </c>
      <c r="E1993" t="s">
        <v>2454</v>
      </c>
      <c r="F1993" t="s">
        <v>17</v>
      </c>
    </row>
    <row r="1994" spans="1:6" x14ac:dyDescent="0.3">
      <c r="A1994" t="s">
        <v>1535</v>
      </c>
      <c r="B1994" t="s">
        <v>1536</v>
      </c>
      <c r="C1994" t="str">
        <f>HYPERLINK("http://service.sap.com/sap/support/notes/1933186","1933186")</f>
        <v>1933186</v>
      </c>
      <c r="D1994">
        <v>1</v>
      </c>
      <c r="E1994" t="s">
        <v>2455</v>
      </c>
      <c r="F1994" t="s">
        <v>13</v>
      </c>
    </row>
    <row r="1995" spans="1:6" x14ac:dyDescent="0.3">
      <c r="A1995" t="s">
        <v>1538</v>
      </c>
      <c r="B1995" t="s">
        <v>1539</v>
      </c>
    </row>
    <row r="1996" spans="1:6" x14ac:dyDescent="0.3">
      <c r="A1996" t="s">
        <v>1541</v>
      </c>
      <c r="B1996" t="s">
        <v>61</v>
      </c>
      <c r="C1996" t="str">
        <f>HYPERLINK("http://service.sap.com/sap/support/notes/1913407","1913407")</f>
        <v>1913407</v>
      </c>
      <c r="D1996">
        <v>1</v>
      </c>
      <c r="E1996" t="s">
        <v>2456</v>
      </c>
      <c r="F1996" t="s">
        <v>17</v>
      </c>
    </row>
    <row r="1997" spans="1:6" x14ac:dyDescent="0.3">
      <c r="A1997" t="s">
        <v>1541</v>
      </c>
      <c r="B1997" t="s">
        <v>61</v>
      </c>
      <c r="C1997" t="str">
        <f>HYPERLINK("http://service.sap.com/sap/support/notes/1924295","1924295")</f>
        <v>1924295</v>
      </c>
      <c r="D1997">
        <v>3</v>
      </c>
      <c r="E1997" t="s">
        <v>2457</v>
      </c>
      <c r="F1997" t="s">
        <v>17</v>
      </c>
    </row>
    <row r="1998" spans="1:6" x14ac:dyDescent="0.3">
      <c r="A1998" t="s">
        <v>1541</v>
      </c>
      <c r="B1998" t="s">
        <v>61</v>
      </c>
      <c r="C1998" t="str">
        <f>HYPERLINK("http://service.sap.com/sap/support/notes/1949695","1949695")</f>
        <v>1949695</v>
      </c>
      <c r="D1998">
        <v>1</v>
      </c>
      <c r="E1998" t="s">
        <v>2458</v>
      </c>
      <c r="F1998" t="s">
        <v>17</v>
      </c>
    </row>
    <row r="1999" spans="1:6" x14ac:dyDescent="0.3">
      <c r="A1999" t="s">
        <v>1541</v>
      </c>
      <c r="B1999" t="s">
        <v>61</v>
      </c>
      <c r="C1999" t="str">
        <f>HYPERLINK("http://service.sap.com/sap/support/notes/1951599","1951599")</f>
        <v>1951599</v>
      </c>
      <c r="D1999">
        <v>1</v>
      </c>
      <c r="E1999" t="s">
        <v>2459</v>
      </c>
      <c r="F1999" t="s">
        <v>17</v>
      </c>
    </row>
    <row r="2000" spans="1:6" x14ac:dyDescent="0.3">
      <c r="A2000" t="s">
        <v>2460</v>
      </c>
      <c r="B2000" t="s">
        <v>1536</v>
      </c>
    </row>
    <row r="2001" spans="1:6" x14ac:dyDescent="0.3">
      <c r="A2001" t="s">
        <v>2461</v>
      </c>
      <c r="B2001" t="s">
        <v>845</v>
      </c>
      <c r="C2001" t="str">
        <f>HYPERLINK("http://service.sap.com/sap/support/notes/1937916","1937916")</f>
        <v>1937916</v>
      </c>
      <c r="D2001">
        <v>2</v>
      </c>
      <c r="E2001" t="s">
        <v>2462</v>
      </c>
      <c r="F2001" t="s">
        <v>17</v>
      </c>
    </row>
    <row r="2002" spans="1:6" x14ac:dyDescent="0.3">
      <c r="A2002" t="s">
        <v>1550</v>
      </c>
      <c r="B2002" t="s">
        <v>1551</v>
      </c>
    </row>
    <row r="2003" spans="1:6" x14ac:dyDescent="0.3">
      <c r="A2003" t="s">
        <v>1552</v>
      </c>
      <c r="B2003" t="s">
        <v>1553</v>
      </c>
      <c r="C2003" t="str">
        <f>HYPERLINK("http://service.sap.com/sap/support/notes/1928683","1928683")</f>
        <v>1928683</v>
      </c>
      <c r="D2003">
        <v>2</v>
      </c>
      <c r="E2003" t="s">
        <v>2463</v>
      </c>
      <c r="F2003" t="s">
        <v>17</v>
      </c>
    </row>
    <row r="2004" spans="1:6" x14ac:dyDescent="0.3">
      <c r="A2004" t="s">
        <v>1552</v>
      </c>
      <c r="B2004" t="s">
        <v>1553</v>
      </c>
      <c r="C2004" t="str">
        <f>HYPERLINK("http://service.sap.com/sap/support/notes/1942440","1942440")</f>
        <v>1942440</v>
      </c>
      <c r="D2004">
        <v>3</v>
      </c>
      <c r="E2004" t="s">
        <v>2464</v>
      </c>
      <c r="F2004" t="s">
        <v>17</v>
      </c>
    </row>
    <row r="2005" spans="1:6" x14ac:dyDescent="0.3">
      <c r="A2005" t="s">
        <v>1555</v>
      </c>
      <c r="B2005" t="s">
        <v>1556</v>
      </c>
    </row>
    <row r="2006" spans="1:6" x14ac:dyDescent="0.3">
      <c r="A2006" t="s">
        <v>1558</v>
      </c>
      <c r="B2006" t="s">
        <v>61</v>
      </c>
      <c r="C2006" t="str">
        <f>HYPERLINK("http://service.sap.com/sap/support/notes/1951340","1951340")</f>
        <v>1951340</v>
      </c>
      <c r="D2006">
        <v>1</v>
      </c>
      <c r="E2006" t="s">
        <v>2465</v>
      </c>
      <c r="F2006" t="s">
        <v>17</v>
      </c>
    </row>
    <row r="2007" spans="1:6" x14ac:dyDescent="0.3">
      <c r="A2007" t="s">
        <v>1565</v>
      </c>
      <c r="B2007" t="s">
        <v>1536</v>
      </c>
      <c r="C2007" t="str">
        <f>HYPERLINK("http://service.sap.com/sap/support/notes/1936189","1936189")</f>
        <v>1936189</v>
      </c>
      <c r="D2007">
        <v>3</v>
      </c>
      <c r="E2007" t="s">
        <v>2466</v>
      </c>
      <c r="F2007" t="s">
        <v>17</v>
      </c>
    </row>
    <row r="2008" spans="1:6" x14ac:dyDescent="0.3">
      <c r="A2008" t="s">
        <v>1565</v>
      </c>
      <c r="B2008" t="s">
        <v>1536</v>
      </c>
      <c r="C2008" t="str">
        <f>HYPERLINK("http://service.sap.com/sap/support/notes/1941077","1941077")</f>
        <v>1941077</v>
      </c>
      <c r="D2008">
        <v>1</v>
      </c>
      <c r="E2008" t="s">
        <v>2467</v>
      </c>
      <c r="F2008" t="s">
        <v>17</v>
      </c>
    </row>
    <row r="2009" spans="1:6" x14ac:dyDescent="0.3">
      <c r="A2009" t="s">
        <v>1567</v>
      </c>
      <c r="B2009" t="s">
        <v>1568</v>
      </c>
    </row>
    <row r="2010" spans="1:6" x14ac:dyDescent="0.3">
      <c r="A2010" t="s">
        <v>1569</v>
      </c>
      <c r="B2010" t="s">
        <v>1480</v>
      </c>
      <c r="C2010" t="str">
        <f>HYPERLINK("http://service.sap.com/sap/support/notes/1893854","1893854")</f>
        <v>1893854</v>
      </c>
      <c r="D2010">
        <v>1</v>
      </c>
      <c r="E2010" t="s">
        <v>2468</v>
      </c>
      <c r="F2010" t="s">
        <v>11</v>
      </c>
    </row>
    <row r="2011" spans="1:6" x14ac:dyDescent="0.3">
      <c r="A2011" t="s">
        <v>1569</v>
      </c>
      <c r="B2011" t="s">
        <v>1480</v>
      </c>
      <c r="C2011" t="str">
        <f>HYPERLINK("http://service.sap.com/sap/support/notes/1916462","1916462")</f>
        <v>1916462</v>
      </c>
      <c r="D2011">
        <v>1</v>
      </c>
      <c r="E2011" t="s">
        <v>2469</v>
      </c>
      <c r="F2011" t="s">
        <v>17</v>
      </c>
    </row>
    <row r="2012" spans="1:6" x14ac:dyDescent="0.3">
      <c r="A2012" t="s">
        <v>1569</v>
      </c>
      <c r="B2012" t="s">
        <v>1480</v>
      </c>
      <c r="C2012" t="str">
        <f>HYPERLINK("http://service.sap.com/sap/support/notes/1919056","1919056")</f>
        <v>1919056</v>
      </c>
      <c r="D2012">
        <v>4</v>
      </c>
      <c r="E2012" t="s">
        <v>2470</v>
      </c>
      <c r="F2012" t="s">
        <v>11</v>
      </c>
    </row>
    <row r="2013" spans="1:6" x14ac:dyDescent="0.3">
      <c r="A2013" t="s">
        <v>1569</v>
      </c>
      <c r="B2013" t="s">
        <v>1480</v>
      </c>
      <c r="C2013" t="str">
        <f>HYPERLINK("http://service.sap.com/sap/support/notes/1919517","1919517")</f>
        <v>1919517</v>
      </c>
      <c r="D2013">
        <v>1</v>
      </c>
      <c r="E2013" t="s">
        <v>2471</v>
      </c>
      <c r="F2013" t="s">
        <v>11</v>
      </c>
    </row>
    <row r="2014" spans="1:6" x14ac:dyDescent="0.3">
      <c r="A2014" t="s">
        <v>1569</v>
      </c>
      <c r="B2014" t="s">
        <v>1480</v>
      </c>
      <c r="C2014" t="str">
        <f>HYPERLINK("http://service.sap.com/sap/support/notes/1922670","1922670")</f>
        <v>1922670</v>
      </c>
      <c r="D2014">
        <v>1</v>
      </c>
      <c r="E2014" t="s">
        <v>2472</v>
      </c>
      <c r="F2014" t="s">
        <v>11</v>
      </c>
    </row>
    <row r="2015" spans="1:6" x14ac:dyDescent="0.3">
      <c r="A2015" t="s">
        <v>1569</v>
      </c>
      <c r="B2015" t="s">
        <v>1480</v>
      </c>
      <c r="C2015" t="str">
        <f>HYPERLINK("http://service.sap.com/sap/support/notes/1923359","1923359")</f>
        <v>1923359</v>
      </c>
      <c r="D2015">
        <v>2</v>
      </c>
      <c r="E2015" t="s">
        <v>2473</v>
      </c>
      <c r="F2015" t="s">
        <v>11</v>
      </c>
    </row>
    <row r="2016" spans="1:6" x14ac:dyDescent="0.3">
      <c r="A2016" t="s">
        <v>1569</v>
      </c>
      <c r="B2016" t="s">
        <v>1480</v>
      </c>
      <c r="C2016" t="str">
        <f>HYPERLINK("http://service.sap.com/sap/support/notes/1932768","1932768")</f>
        <v>1932768</v>
      </c>
      <c r="D2016">
        <v>1</v>
      </c>
      <c r="E2016" t="s">
        <v>2474</v>
      </c>
      <c r="F2016" t="s">
        <v>17</v>
      </c>
    </row>
    <row r="2017" spans="1:6" x14ac:dyDescent="0.3">
      <c r="A2017" t="s">
        <v>1569</v>
      </c>
      <c r="B2017" t="s">
        <v>1480</v>
      </c>
      <c r="C2017" t="str">
        <f>HYPERLINK("http://service.sap.com/sap/support/notes/1933033","1933033")</f>
        <v>1933033</v>
      </c>
      <c r="D2017">
        <v>1</v>
      </c>
      <c r="E2017" t="s">
        <v>2475</v>
      </c>
      <c r="F2017" t="s">
        <v>17</v>
      </c>
    </row>
    <row r="2018" spans="1:6" x14ac:dyDescent="0.3">
      <c r="A2018" t="s">
        <v>1569</v>
      </c>
      <c r="B2018" t="s">
        <v>1480</v>
      </c>
      <c r="C2018" t="str">
        <f>HYPERLINK("http://service.sap.com/sap/support/notes/1934268","1934268")</f>
        <v>1934268</v>
      </c>
      <c r="D2018">
        <v>1</v>
      </c>
      <c r="E2018" t="s">
        <v>2476</v>
      </c>
      <c r="F2018" t="s">
        <v>17</v>
      </c>
    </row>
    <row r="2019" spans="1:6" x14ac:dyDescent="0.3">
      <c r="A2019" t="s">
        <v>1569</v>
      </c>
      <c r="B2019" t="s">
        <v>1480</v>
      </c>
      <c r="C2019" t="str">
        <f>HYPERLINK("http://service.sap.com/sap/support/notes/1935688","1935688")</f>
        <v>1935688</v>
      </c>
      <c r="D2019">
        <v>1</v>
      </c>
      <c r="E2019" t="s">
        <v>2477</v>
      </c>
      <c r="F2019" t="s">
        <v>17</v>
      </c>
    </row>
    <row r="2020" spans="1:6" x14ac:dyDescent="0.3">
      <c r="A2020" t="s">
        <v>1569</v>
      </c>
      <c r="B2020" t="s">
        <v>1480</v>
      </c>
      <c r="C2020" t="str">
        <f>HYPERLINK("http://service.sap.com/sap/support/notes/1940286","1940286")</f>
        <v>1940286</v>
      </c>
      <c r="D2020">
        <v>1</v>
      </c>
      <c r="E2020" t="s">
        <v>2478</v>
      </c>
      <c r="F2020" t="s">
        <v>17</v>
      </c>
    </row>
    <row r="2021" spans="1:6" x14ac:dyDescent="0.3">
      <c r="A2021" t="s">
        <v>1569</v>
      </c>
      <c r="B2021" t="s">
        <v>1480</v>
      </c>
      <c r="C2021" t="str">
        <f>HYPERLINK("http://service.sap.com/sap/support/notes/1941871","1941871")</f>
        <v>1941871</v>
      </c>
      <c r="D2021">
        <v>3</v>
      </c>
      <c r="E2021" t="s">
        <v>2479</v>
      </c>
      <c r="F2021" t="s">
        <v>17</v>
      </c>
    </row>
    <row r="2022" spans="1:6" x14ac:dyDescent="0.3">
      <c r="A2022" t="s">
        <v>1569</v>
      </c>
      <c r="B2022" t="s">
        <v>1480</v>
      </c>
      <c r="C2022" t="str">
        <f>HYPERLINK("http://service.sap.com/sap/support/notes/1949151","1949151")</f>
        <v>1949151</v>
      </c>
      <c r="D2022">
        <v>1</v>
      </c>
      <c r="E2022" t="s">
        <v>2480</v>
      </c>
      <c r="F2022" t="s">
        <v>17</v>
      </c>
    </row>
    <row r="2023" spans="1:6" x14ac:dyDescent="0.3">
      <c r="A2023" t="s">
        <v>1593</v>
      </c>
      <c r="B2023" t="s">
        <v>63</v>
      </c>
      <c r="C2023" t="str">
        <f>HYPERLINK("http://service.sap.com/sap/support/notes/1930693","1930693")</f>
        <v>1930693</v>
      </c>
      <c r="D2023">
        <v>2</v>
      </c>
      <c r="E2023" t="s">
        <v>2481</v>
      </c>
      <c r="F2023" t="s">
        <v>17</v>
      </c>
    </row>
    <row r="2024" spans="1:6" x14ac:dyDescent="0.3">
      <c r="A2024" t="s">
        <v>1595</v>
      </c>
      <c r="B2024" t="s">
        <v>1596</v>
      </c>
      <c r="C2024" t="str">
        <f>HYPERLINK("http://service.sap.com/sap/support/notes/1889593","1889593")</f>
        <v>1889593</v>
      </c>
      <c r="D2024">
        <v>2</v>
      </c>
      <c r="E2024" t="s">
        <v>2482</v>
      </c>
      <c r="F2024" t="s">
        <v>17</v>
      </c>
    </row>
    <row r="2025" spans="1:6" x14ac:dyDescent="0.3">
      <c r="A2025" t="s">
        <v>2483</v>
      </c>
      <c r="B2025" t="s">
        <v>2484</v>
      </c>
    </row>
    <row r="2026" spans="1:6" x14ac:dyDescent="0.3">
      <c r="A2026" t="s">
        <v>2485</v>
      </c>
      <c r="B2026" t="s">
        <v>61</v>
      </c>
    </row>
    <row r="2027" spans="1:6" x14ac:dyDescent="0.3">
      <c r="A2027" t="s">
        <v>2486</v>
      </c>
      <c r="B2027" t="s">
        <v>63</v>
      </c>
      <c r="C2027" t="str">
        <f>HYPERLINK("http://service.sap.com/sap/support/notes/1936399","1936399")</f>
        <v>1936399</v>
      </c>
      <c r="D2027">
        <v>1</v>
      </c>
      <c r="E2027" t="s">
        <v>2487</v>
      </c>
      <c r="F2027" t="s">
        <v>17</v>
      </c>
    </row>
    <row r="2028" spans="1:6" x14ac:dyDescent="0.3">
      <c r="A2028" t="s">
        <v>1601</v>
      </c>
      <c r="B2028" t="s">
        <v>1602</v>
      </c>
    </row>
    <row r="2029" spans="1:6" x14ac:dyDescent="0.3">
      <c r="A2029" t="s">
        <v>2488</v>
      </c>
      <c r="B2029" t="s">
        <v>61</v>
      </c>
      <c r="C2029" t="str">
        <f>HYPERLINK("http://service.sap.com/sap/support/notes/1826080","1826080")</f>
        <v>1826080</v>
      </c>
      <c r="D2029">
        <v>3</v>
      </c>
      <c r="E2029" t="s">
        <v>2489</v>
      </c>
      <c r="F2029" t="s">
        <v>17</v>
      </c>
    </row>
    <row r="2030" spans="1:6" x14ac:dyDescent="0.3">
      <c r="A2030" t="s">
        <v>2488</v>
      </c>
      <c r="B2030" t="s">
        <v>61</v>
      </c>
      <c r="C2030" t="str">
        <f>HYPERLINK("http://service.sap.com/sap/support/notes/1918019","1918019")</f>
        <v>1918019</v>
      </c>
      <c r="D2030">
        <v>3</v>
      </c>
      <c r="E2030" t="s">
        <v>2490</v>
      </c>
      <c r="F2030" t="s">
        <v>17</v>
      </c>
    </row>
    <row r="2031" spans="1:6" x14ac:dyDescent="0.3">
      <c r="A2031" t="s">
        <v>2488</v>
      </c>
      <c r="B2031" t="s">
        <v>61</v>
      </c>
      <c r="C2031" t="str">
        <f>HYPERLINK("http://service.sap.com/sap/support/notes/1923145","1923145")</f>
        <v>1923145</v>
      </c>
      <c r="D2031">
        <v>5</v>
      </c>
      <c r="E2031" t="s">
        <v>2491</v>
      </c>
      <c r="F2031" t="s">
        <v>11</v>
      </c>
    </row>
    <row r="2032" spans="1:6" x14ac:dyDescent="0.3">
      <c r="A2032" t="s">
        <v>2488</v>
      </c>
      <c r="B2032" t="s">
        <v>61</v>
      </c>
      <c r="C2032" t="str">
        <f>HYPERLINK("http://service.sap.com/sap/support/notes/1934734","1934734")</f>
        <v>1934734</v>
      </c>
      <c r="D2032">
        <v>2</v>
      </c>
      <c r="E2032" t="s">
        <v>2492</v>
      </c>
      <c r="F2032" t="s">
        <v>17</v>
      </c>
    </row>
    <row r="2033" spans="1:6" x14ac:dyDescent="0.3">
      <c r="A2033" t="s">
        <v>2488</v>
      </c>
      <c r="B2033" t="s">
        <v>61</v>
      </c>
      <c r="C2033" t="str">
        <f>HYPERLINK("http://service.sap.com/sap/support/notes/1939146","1939146")</f>
        <v>1939146</v>
      </c>
      <c r="D2033">
        <v>1</v>
      </c>
      <c r="E2033" t="s">
        <v>2493</v>
      </c>
      <c r="F2033" t="s">
        <v>17</v>
      </c>
    </row>
    <row r="2034" spans="1:6" x14ac:dyDescent="0.3">
      <c r="A2034" t="s">
        <v>2488</v>
      </c>
      <c r="B2034" t="s">
        <v>61</v>
      </c>
      <c r="C2034" t="str">
        <f>HYPERLINK("http://service.sap.com/sap/support/notes/1943018","1943018")</f>
        <v>1943018</v>
      </c>
      <c r="D2034">
        <v>1</v>
      </c>
      <c r="E2034" t="s">
        <v>2494</v>
      </c>
      <c r="F2034" t="s">
        <v>13</v>
      </c>
    </row>
    <row r="2035" spans="1:6" x14ac:dyDescent="0.3">
      <c r="A2035" t="s">
        <v>1605</v>
      </c>
      <c r="B2035" t="s">
        <v>1606</v>
      </c>
    </row>
    <row r="2036" spans="1:6" x14ac:dyDescent="0.3">
      <c r="A2036" t="s">
        <v>2495</v>
      </c>
      <c r="B2036" t="s">
        <v>2496</v>
      </c>
      <c r="C2036" t="str">
        <f>HYPERLINK("http://service.sap.com/sap/support/notes/1921087","1921087")</f>
        <v>1921087</v>
      </c>
      <c r="D2036">
        <v>2</v>
      </c>
      <c r="E2036" t="s">
        <v>2497</v>
      </c>
      <c r="F2036" t="s">
        <v>17</v>
      </c>
    </row>
    <row r="2037" spans="1:6" x14ac:dyDescent="0.3">
      <c r="A2037" t="s">
        <v>2495</v>
      </c>
      <c r="B2037" t="s">
        <v>2496</v>
      </c>
      <c r="C2037" t="str">
        <f>HYPERLINK("http://service.sap.com/sap/support/notes/1922268","1922268")</f>
        <v>1922268</v>
      </c>
      <c r="D2037">
        <v>1</v>
      </c>
      <c r="E2037" t="s">
        <v>2498</v>
      </c>
      <c r="F2037" t="s">
        <v>17</v>
      </c>
    </row>
    <row r="2038" spans="1:6" x14ac:dyDescent="0.3">
      <c r="A2038" t="s">
        <v>2495</v>
      </c>
      <c r="B2038" t="s">
        <v>2496</v>
      </c>
      <c r="C2038" t="str">
        <f>HYPERLINK("http://service.sap.com/sap/support/notes/1930212","1930212")</f>
        <v>1930212</v>
      </c>
      <c r="D2038">
        <v>1</v>
      </c>
      <c r="E2038" t="s">
        <v>2499</v>
      </c>
      <c r="F2038" t="s">
        <v>17</v>
      </c>
    </row>
    <row r="2039" spans="1:6" x14ac:dyDescent="0.3">
      <c r="A2039" t="s">
        <v>2495</v>
      </c>
      <c r="B2039" t="s">
        <v>2496</v>
      </c>
      <c r="C2039" t="str">
        <f>HYPERLINK("http://service.sap.com/sap/support/notes/1931686","1931686")</f>
        <v>1931686</v>
      </c>
      <c r="D2039">
        <v>3</v>
      </c>
      <c r="E2039" t="s">
        <v>2500</v>
      </c>
      <c r="F2039" t="s">
        <v>13</v>
      </c>
    </row>
    <row r="2040" spans="1:6" x14ac:dyDescent="0.3">
      <c r="A2040" t="s">
        <v>2495</v>
      </c>
      <c r="B2040" t="s">
        <v>2496</v>
      </c>
      <c r="C2040" t="str">
        <f>HYPERLINK("http://service.sap.com/sap/support/notes/1939318","1939318")</f>
        <v>1939318</v>
      </c>
      <c r="D2040">
        <v>1</v>
      </c>
      <c r="E2040" t="s">
        <v>2501</v>
      </c>
      <c r="F2040" t="s">
        <v>17</v>
      </c>
    </row>
    <row r="2041" spans="1:6" x14ac:dyDescent="0.3">
      <c r="A2041" t="s">
        <v>2495</v>
      </c>
      <c r="B2041" t="s">
        <v>2496</v>
      </c>
      <c r="C2041" t="str">
        <f>HYPERLINK("http://service.sap.com/sap/support/notes/1952206","1952206")</f>
        <v>1952206</v>
      </c>
      <c r="D2041">
        <v>2</v>
      </c>
      <c r="E2041" t="s">
        <v>2502</v>
      </c>
      <c r="F2041" t="s">
        <v>17</v>
      </c>
    </row>
    <row r="2042" spans="1:6" x14ac:dyDescent="0.3">
      <c r="A2042" t="s">
        <v>1613</v>
      </c>
      <c r="B2042" t="s">
        <v>1614</v>
      </c>
    </row>
    <row r="2043" spans="1:6" x14ac:dyDescent="0.3">
      <c r="A2043" t="s">
        <v>1615</v>
      </c>
      <c r="B2043" t="s">
        <v>61</v>
      </c>
      <c r="C2043" t="str">
        <f>HYPERLINK("http://service.sap.com/sap/support/notes/1947003","1947003")</f>
        <v>1947003</v>
      </c>
      <c r="D2043">
        <v>1</v>
      </c>
      <c r="E2043" t="s">
        <v>2503</v>
      </c>
      <c r="F2043" t="s">
        <v>17</v>
      </c>
    </row>
    <row r="2044" spans="1:6" x14ac:dyDescent="0.3">
      <c r="A2044" t="s">
        <v>1615</v>
      </c>
      <c r="B2044" t="s">
        <v>61</v>
      </c>
      <c r="C2044" t="str">
        <f>HYPERLINK("http://service.sap.com/sap/support/notes/1950373","1950373")</f>
        <v>1950373</v>
      </c>
      <c r="D2044">
        <v>2</v>
      </c>
      <c r="E2044" t="s">
        <v>2504</v>
      </c>
      <c r="F2044" t="s">
        <v>17</v>
      </c>
    </row>
    <row r="2045" spans="1:6" x14ac:dyDescent="0.3">
      <c r="A2045" t="s">
        <v>1615</v>
      </c>
      <c r="B2045" t="s">
        <v>61</v>
      </c>
      <c r="C2045" t="str">
        <f>HYPERLINK("http://service.sap.com/sap/support/notes/1951018","1951018")</f>
        <v>1951018</v>
      </c>
      <c r="D2045">
        <v>1</v>
      </c>
      <c r="E2045" t="s">
        <v>2505</v>
      </c>
      <c r="F2045" t="s">
        <v>17</v>
      </c>
    </row>
    <row r="2046" spans="1:6" x14ac:dyDescent="0.3">
      <c r="A2046" t="s">
        <v>2506</v>
      </c>
      <c r="B2046" t="s">
        <v>2507</v>
      </c>
    </row>
    <row r="2047" spans="1:6" x14ac:dyDescent="0.3">
      <c r="A2047" t="s">
        <v>2508</v>
      </c>
      <c r="B2047" t="s">
        <v>61</v>
      </c>
      <c r="C2047" t="str">
        <f>HYPERLINK("http://service.sap.com/sap/support/notes/1878747","1878747")</f>
        <v>1878747</v>
      </c>
      <c r="D2047">
        <v>4</v>
      </c>
      <c r="E2047" t="s">
        <v>2509</v>
      </c>
      <c r="F2047" t="s">
        <v>11</v>
      </c>
    </row>
    <row r="2048" spans="1:6" x14ac:dyDescent="0.3">
      <c r="A2048" t="s">
        <v>2508</v>
      </c>
      <c r="B2048" t="s">
        <v>61</v>
      </c>
      <c r="C2048" t="str">
        <f>HYPERLINK("http://service.sap.com/sap/support/notes/1930719","1930719")</f>
        <v>1930719</v>
      </c>
      <c r="D2048">
        <v>3</v>
      </c>
      <c r="E2048" t="s">
        <v>2510</v>
      </c>
      <c r="F2048" t="s">
        <v>11</v>
      </c>
    </row>
    <row r="2049" spans="1:6" x14ac:dyDescent="0.3">
      <c r="A2049" t="s">
        <v>2511</v>
      </c>
      <c r="B2049" t="s">
        <v>2512</v>
      </c>
      <c r="C2049" t="str">
        <f>HYPERLINK("http://service.sap.com/sap/support/notes/1893173","1893173")</f>
        <v>1893173</v>
      </c>
      <c r="D2049">
        <v>5</v>
      </c>
      <c r="E2049" t="s">
        <v>2513</v>
      </c>
      <c r="F2049" t="s">
        <v>17</v>
      </c>
    </row>
    <row r="2050" spans="1:6" x14ac:dyDescent="0.3">
      <c r="A2050" t="s">
        <v>1627</v>
      </c>
      <c r="B2050" t="s">
        <v>1628</v>
      </c>
    </row>
    <row r="2051" spans="1:6" x14ac:dyDescent="0.3">
      <c r="A2051" t="s">
        <v>1632</v>
      </c>
      <c r="B2051" t="s">
        <v>61</v>
      </c>
      <c r="C2051" t="str">
        <f>HYPERLINK("http://service.sap.com/sap/support/notes/1876005","1876005")</f>
        <v>1876005</v>
      </c>
      <c r="D2051">
        <v>3</v>
      </c>
      <c r="E2051" t="s">
        <v>2514</v>
      </c>
      <c r="F2051" t="s">
        <v>11</v>
      </c>
    </row>
    <row r="2052" spans="1:6" x14ac:dyDescent="0.3">
      <c r="A2052" t="s">
        <v>1632</v>
      </c>
      <c r="B2052" t="s">
        <v>61</v>
      </c>
      <c r="C2052" t="str">
        <f>HYPERLINK("http://service.sap.com/sap/support/notes/1900088","1900088")</f>
        <v>1900088</v>
      </c>
      <c r="D2052">
        <v>2</v>
      </c>
      <c r="E2052" t="s">
        <v>2515</v>
      </c>
      <c r="F2052" t="s">
        <v>11</v>
      </c>
    </row>
    <row r="2053" spans="1:6" x14ac:dyDescent="0.3">
      <c r="A2053" t="s">
        <v>1632</v>
      </c>
      <c r="B2053" t="s">
        <v>61</v>
      </c>
      <c r="C2053" t="str">
        <f>HYPERLINK("http://service.sap.com/sap/support/notes/1945366","1945366")</f>
        <v>1945366</v>
      </c>
      <c r="D2053">
        <v>1</v>
      </c>
      <c r="E2053" t="s">
        <v>2516</v>
      </c>
      <c r="F2053" t="s">
        <v>17</v>
      </c>
    </row>
    <row r="2054" spans="1:6" x14ac:dyDescent="0.3">
      <c r="A2054" t="s">
        <v>1632</v>
      </c>
      <c r="B2054" t="s">
        <v>61</v>
      </c>
      <c r="C2054" t="str">
        <f>HYPERLINK("http://service.sap.com/sap/support/notes/1946948","1946948")</f>
        <v>1946948</v>
      </c>
      <c r="D2054">
        <v>1</v>
      </c>
      <c r="E2054" t="s">
        <v>2516</v>
      </c>
      <c r="F2054" t="s">
        <v>17</v>
      </c>
    </row>
    <row r="2055" spans="1:6" x14ac:dyDescent="0.3">
      <c r="A2055" t="s">
        <v>1632</v>
      </c>
      <c r="B2055" t="s">
        <v>61</v>
      </c>
      <c r="C2055" t="str">
        <f>HYPERLINK("http://service.sap.com/sap/support/notes/1951216","1951216")</f>
        <v>1951216</v>
      </c>
      <c r="D2055">
        <v>1</v>
      </c>
      <c r="E2055" t="s">
        <v>2517</v>
      </c>
      <c r="F2055" t="s">
        <v>17</v>
      </c>
    </row>
    <row r="2056" spans="1:6" x14ac:dyDescent="0.3">
      <c r="A2056" t="s">
        <v>1632</v>
      </c>
      <c r="B2056" t="s">
        <v>61</v>
      </c>
      <c r="C2056" t="str">
        <f>HYPERLINK("http://service.sap.com/sap/support/notes/1951352","1951352")</f>
        <v>1951352</v>
      </c>
      <c r="D2056">
        <v>1</v>
      </c>
      <c r="E2056" t="s">
        <v>2518</v>
      </c>
      <c r="F2056" t="s">
        <v>17</v>
      </c>
    </row>
    <row r="2057" spans="1:6" x14ac:dyDescent="0.3">
      <c r="A2057" t="s">
        <v>1632</v>
      </c>
      <c r="B2057" t="s">
        <v>61</v>
      </c>
      <c r="C2057" t="str">
        <f>HYPERLINK("http://service.sap.com/sap/support/notes/1951446","1951446")</f>
        <v>1951446</v>
      </c>
      <c r="D2057">
        <v>1</v>
      </c>
      <c r="E2057" t="s">
        <v>2516</v>
      </c>
      <c r="F2057" t="s">
        <v>17</v>
      </c>
    </row>
    <row r="2058" spans="1:6" x14ac:dyDescent="0.3">
      <c r="A2058" t="s">
        <v>2519</v>
      </c>
      <c r="B2058" t="s">
        <v>2520</v>
      </c>
      <c r="C2058" t="str">
        <f>HYPERLINK("http://service.sap.com/sap/support/notes/1947006","1947006")</f>
        <v>1947006</v>
      </c>
      <c r="D2058">
        <v>1</v>
      </c>
      <c r="E2058" t="s">
        <v>2521</v>
      </c>
      <c r="F2058" t="s">
        <v>13</v>
      </c>
    </row>
    <row r="2059" spans="1:6" x14ac:dyDescent="0.3">
      <c r="A2059" t="s">
        <v>2519</v>
      </c>
      <c r="B2059" t="s">
        <v>2520</v>
      </c>
      <c r="C2059" t="str">
        <f>HYPERLINK("http://service.sap.com/sap/support/notes/1949755","1949755")</f>
        <v>1949755</v>
      </c>
      <c r="D2059">
        <v>1</v>
      </c>
      <c r="E2059" t="s">
        <v>2522</v>
      </c>
      <c r="F2059" t="s">
        <v>17</v>
      </c>
    </row>
    <row r="2060" spans="1:6" x14ac:dyDescent="0.3">
      <c r="A2060" t="s">
        <v>1634</v>
      </c>
      <c r="B2060" t="s">
        <v>1635</v>
      </c>
    </row>
    <row r="2061" spans="1:6" x14ac:dyDescent="0.3">
      <c r="A2061" t="s">
        <v>1636</v>
      </c>
      <c r="B2061" t="s">
        <v>61</v>
      </c>
      <c r="C2061" t="str">
        <f>HYPERLINK("http://service.sap.com/sap/support/notes/1906632","1906632")</f>
        <v>1906632</v>
      </c>
      <c r="D2061">
        <v>11</v>
      </c>
      <c r="E2061" t="s">
        <v>2523</v>
      </c>
      <c r="F2061" t="s">
        <v>17</v>
      </c>
    </row>
    <row r="2062" spans="1:6" x14ac:dyDescent="0.3">
      <c r="A2062" t="s">
        <v>1641</v>
      </c>
      <c r="B2062" t="s">
        <v>1553</v>
      </c>
      <c r="C2062" t="str">
        <f>HYPERLINK("http://service.sap.com/sap/support/notes/1885127","1885127")</f>
        <v>1885127</v>
      </c>
      <c r="D2062">
        <v>3</v>
      </c>
      <c r="E2062" t="s">
        <v>2524</v>
      </c>
      <c r="F2062" t="s">
        <v>17</v>
      </c>
    </row>
    <row r="2063" spans="1:6" x14ac:dyDescent="0.3">
      <c r="A2063" t="s">
        <v>1641</v>
      </c>
      <c r="B2063" t="s">
        <v>1553</v>
      </c>
      <c r="C2063" t="str">
        <f>HYPERLINK("http://service.sap.com/sap/support/notes/1901499","1901499")</f>
        <v>1901499</v>
      </c>
      <c r="D2063">
        <v>3</v>
      </c>
      <c r="E2063" t="s">
        <v>2525</v>
      </c>
      <c r="F2063" t="s">
        <v>17</v>
      </c>
    </row>
    <row r="2064" spans="1:6" x14ac:dyDescent="0.3">
      <c r="A2064" t="s">
        <v>1643</v>
      </c>
      <c r="B2064" t="s">
        <v>1644</v>
      </c>
    </row>
    <row r="2065" spans="1:6" x14ac:dyDescent="0.3">
      <c r="A2065" t="s">
        <v>1649</v>
      </c>
      <c r="B2065" t="s">
        <v>61</v>
      </c>
      <c r="C2065" t="str">
        <f>HYPERLINK("http://service.sap.com/sap/support/notes/1915134","1915134")</f>
        <v>1915134</v>
      </c>
      <c r="D2065">
        <v>2</v>
      </c>
      <c r="E2065" t="s">
        <v>2526</v>
      </c>
      <c r="F2065" t="s">
        <v>17</v>
      </c>
    </row>
    <row r="2066" spans="1:6" x14ac:dyDescent="0.3">
      <c r="A2066" t="s">
        <v>1649</v>
      </c>
      <c r="B2066" t="s">
        <v>61</v>
      </c>
      <c r="C2066" t="str">
        <f>HYPERLINK("http://service.sap.com/sap/support/notes/1915811","1915811")</f>
        <v>1915811</v>
      </c>
      <c r="D2066">
        <v>4</v>
      </c>
      <c r="E2066" t="s">
        <v>2527</v>
      </c>
      <c r="F2066" t="s">
        <v>13</v>
      </c>
    </row>
    <row r="2067" spans="1:6" x14ac:dyDescent="0.3">
      <c r="A2067" t="s">
        <v>1649</v>
      </c>
      <c r="B2067" t="s">
        <v>61</v>
      </c>
      <c r="C2067" t="str">
        <f>HYPERLINK("http://service.sap.com/sap/support/notes/1919300","1919300")</f>
        <v>1919300</v>
      </c>
      <c r="D2067">
        <v>6</v>
      </c>
      <c r="E2067" t="s">
        <v>2528</v>
      </c>
      <c r="F2067" t="s">
        <v>17</v>
      </c>
    </row>
    <row r="2068" spans="1:6" x14ac:dyDescent="0.3">
      <c r="A2068" t="s">
        <v>1649</v>
      </c>
      <c r="B2068" t="s">
        <v>61</v>
      </c>
      <c r="C2068" t="str">
        <f>HYPERLINK("http://service.sap.com/sap/support/notes/1928569","1928569")</f>
        <v>1928569</v>
      </c>
      <c r="D2068">
        <v>8</v>
      </c>
      <c r="E2068" t="s">
        <v>2529</v>
      </c>
      <c r="F2068" t="s">
        <v>17</v>
      </c>
    </row>
    <row r="2069" spans="1:6" x14ac:dyDescent="0.3">
      <c r="A2069" t="s">
        <v>1649</v>
      </c>
      <c r="B2069" t="s">
        <v>61</v>
      </c>
      <c r="C2069" t="str">
        <f>HYPERLINK("http://service.sap.com/sap/support/notes/1933567","1933567")</f>
        <v>1933567</v>
      </c>
      <c r="D2069">
        <v>4</v>
      </c>
      <c r="E2069" t="s">
        <v>2530</v>
      </c>
      <c r="F2069" t="s">
        <v>17</v>
      </c>
    </row>
    <row r="2070" spans="1:6" x14ac:dyDescent="0.3">
      <c r="A2070" t="s">
        <v>1649</v>
      </c>
      <c r="B2070" t="s">
        <v>61</v>
      </c>
      <c r="C2070" t="str">
        <f>HYPERLINK("http://service.sap.com/sap/support/notes/1934473","1934473")</f>
        <v>1934473</v>
      </c>
      <c r="D2070">
        <v>4</v>
      </c>
      <c r="E2070" t="s">
        <v>2531</v>
      </c>
      <c r="F2070" t="s">
        <v>17</v>
      </c>
    </row>
    <row r="2071" spans="1:6" x14ac:dyDescent="0.3">
      <c r="A2071" t="s">
        <v>1664</v>
      </c>
      <c r="B2071" t="s">
        <v>63</v>
      </c>
      <c r="C2071" t="str">
        <f>HYPERLINK("http://service.sap.com/sap/support/notes/1882562","1882562")</f>
        <v>1882562</v>
      </c>
      <c r="D2071">
        <v>10</v>
      </c>
      <c r="E2071" t="s">
        <v>1667</v>
      </c>
      <c r="F2071" t="s">
        <v>11</v>
      </c>
    </row>
    <row r="2072" spans="1:6" x14ac:dyDescent="0.3">
      <c r="A2072" t="s">
        <v>1664</v>
      </c>
      <c r="B2072" t="s">
        <v>63</v>
      </c>
      <c r="C2072" t="str">
        <f>HYPERLINK("http://service.sap.com/sap/support/notes/1942359","1942359")</f>
        <v>1942359</v>
      </c>
      <c r="D2072">
        <v>1</v>
      </c>
      <c r="E2072" t="s">
        <v>2532</v>
      </c>
      <c r="F2072" t="s">
        <v>17</v>
      </c>
    </row>
    <row r="2073" spans="1:6" x14ac:dyDescent="0.3">
      <c r="A2073" t="s">
        <v>1664</v>
      </c>
      <c r="B2073" t="s">
        <v>63</v>
      </c>
      <c r="C2073" t="str">
        <f>HYPERLINK("http://service.sap.com/sap/support/notes/1951920","1951920")</f>
        <v>1951920</v>
      </c>
      <c r="D2073">
        <v>2</v>
      </c>
      <c r="E2073" t="s">
        <v>2533</v>
      </c>
      <c r="F2073" t="s">
        <v>17</v>
      </c>
    </row>
    <row r="2074" spans="1:6" x14ac:dyDescent="0.3">
      <c r="A2074" t="s">
        <v>1678</v>
      </c>
      <c r="B2074" t="s">
        <v>1679</v>
      </c>
    </row>
    <row r="2075" spans="1:6" x14ac:dyDescent="0.3">
      <c r="A2075" t="s">
        <v>1681</v>
      </c>
      <c r="B2075" t="s">
        <v>61</v>
      </c>
      <c r="C2075" t="str">
        <f>HYPERLINK("http://service.sap.com/sap/support/notes/1909879","1909879")</f>
        <v>1909879</v>
      </c>
      <c r="D2075">
        <v>34</v>
      </c>
      <c r="E2075" t="s">
        <v>2534</v>
      </c>
      <c r="F2075" t="s">
        <v>17</v>
      </c>
    </row>
    <row r="2076" spans="1:6" x14ac:dyDescent="0.3">
      <c r="A2076" t="s">
        <v>1681</v>
      </c>
      <c r="B2076" t="s">
        <v>61</v>
      </c>
      <c r="C2076" t="str">
        <f>HYPERLINK("http://service.sap.com/sap/support/notes/1910543","1910543")</f>
        <v>1910543</v>
      </c>
      <c r="D2076">
        <v>3</v>
      </c>
      <c r="E2076" t="s">
        <v>2535</v>
      </c>
      <c r="F2076" t="s">
        <v>17</v>
      </c>
    </row>
    <row r="2077" spans="1:6" x14ac:dyDescent="0.3">
      <c r="A2077" t="s">
        <v>1681</v>
      </c>
      <c r="B2077" t="s">
        <v>61</v>
      </c>
      <c r="C2077" t="str">
        <f>HYPERLINK("http://service.sap.com/sap/support/notes/1912540","1912540")</f>
        <v>1912540</v>
      </c>
      <c r="D2077">
        <v>2</v>
      </c>
      <c r="E2077" t="s">
        <v>2536</v>
      </c>
      <c r="F2077" t="s">
        <v>17</v>
      </c>
    </row>
    <row r="2078" spans="1:6" x14ac:dyDescent="0.3">
      <c r="A2078" t="s">
        <v>1681</v>
      </c>
      <c r="B2078" t="s">
        <v>61</v>
      </c>
      <c r="C2078" t="str">
        <f>HYPERLINK("http://service.sap.com/sap/support/notes/1913656","1913656")</f>
        <v>1913656</v>
      </c>
      <c r="D2078">
        <v>3</v>
      </c>
      <c r="E2078" t="s">
        <v>2537</v>
      </c>
      <c r="F2078" t="s">
        <v>17</v>
      </c>
    </row>
    <row r="2079" spans="1:6" x14ac:dyDescent="0.3">
      <c r="A2079" t="s">
        <v>1681</v>
      </c>
      <c r="B2079" t="s">
        <v>61</v>
      </c>
      <c r="C2079" t="str">
        <f>HYPERLINK("http://service.sap.com/sap/support/notes/1913657","1913657")</f>
        <v>1913657</v>
      </c>
      <c r="D2079">
        <v>2</v>
      </c>
      <c r="E2079" t="s">
        <v>2538</v>
      </c>
      <c r="F2079" t="s">
        <v>17</v>
      </c>
    </row>
    <row r="2080" spans="1:6" x14ac:dyDescent="0.3">
      <c r="A2080" t="s">
        <v>1681</v>
      </c>
      <c r="B2080" t="s">
        <v>61</v>
      </c>
      <c r="C2080" t="str">
        <f>HYPERLINK("http://service.sap.com/sap/support/notes/1913941","1913941")</f>
        <v>1913941</v>
      </c>
      <c r="D2080">
        <v>2</v>
      </c>
      <c r="E2080" t="s">
        <v>2539</v>
      </c>
      <c r="F2080" t="s">
        <v>17</v>
      </c>
    </row>
    <row r="2081" spans="1:6" x14ac:dyDescent="0.3">
      <c r="A2081" t="s">
        <v>1681</v>
      </c>
      <c r="B2081" t="s">
        <v>61</v>
      </c>
      <c r="C2081" t="str">
        <f>HYPERLINK("http://service.sap.com/sap/support/notes/1914231","1914231")</f>
        <v>1914231</v>
      </c>
      <c r="D2081">
        <v>1</v>
      </c>
      <c r="E2081" t="s">
        <v>2540</v>
      </c>
      <c r="F2081" t="s">
        <v>17</v>
      </c>
    </row>
    <row r="2082" spans="1:6" x14ac:dyDescent="0.3">
      <c r="A2082" t="s">
        <v>1681</v>
      </c>
      <c r="B2082" t="s">
        <v>61</v>
      </c>
      <c r="C2082" t="str">
        <f>HYPERLINK("http://service.sap.com/sap/support/notes/1916611","1916611")</f>
        <v>1916611</v>
      </c>
      <c r="D2082">
        <v>2</v>
      </c>
      <c r="E2082" t="s">
        <v>2541</v>
      </c>
      <c r="F2082" t="s">
        <v>17</v>
      </c>
    </row>
    <row r="2083" spans="1:6" x14ac:dyDescent="0.3">
      <c r="A2083" t="s">
        <v>1681</v>
      </c>
      <c r="B2083" t="s">
        <v>61</v>
      </c>
      <c r="C2083" t="str">
        <f>HYPERLINK("http://service.sap.com/sap/support/notes/1917659","1917659")</f>
        <v>1917659</v>
      </c>
      <c r="D2083">
        <v>2</v>
      </c>
      <c r="E2083" t="s">
        <v>1708</v>
      </c>
      <c r="F2083" t="s">
        <v>17</v>
      </c>
    </row>
    <row r="2084" spans="1:6" x14ac:dyDescent="0.3">
      <c r="A2084" t="s">
        <v>1681</v>
      </c>
      <c r="B2084" t="s">
        <v>61</v>
      </c>
      <c r="C2084" t="str">
        <f>HYPERLINK("http://service.sap.com/sap/support/notes/1918740","1918740")</f>
        <v>1918740</v>
      </c>
      <c r="D2084">
        <v>2</v>
      </c>
      <c r="E2084" t="s">
        <v>2542</v>
      </c>
      <c r="F2084" t="s">
        <v>17</v>
      </c>
    </row>
    <row r="2085" spans="1:6" x14ac:dyDescent="0.3">
      <c r="A2085" t="s">
        <v>1681</v>
      </c>
      <c r="B2085" t="s">
        <v>61</v>
      </c>
      <c r="C2085" t="str">
        <f>HYPERLINK("http://service.sap.com/sap/support/notes/1918823","1918823")</f>
        <v>1918823</v>
      </c>
      <c r="D2085">
        <v>3</v>
      </c>
      <c r="E2085" t="s">
        <v>2543</v>
      </c>
      <c r="F2085" t="s">
        <v>17</v>
      </c>
    </row>
    <row r="2086" spans="1:6" x14ac:dyDescent="0.3">
      <c r="A2086" t="s">
        <v>1681</v>
      </c>
      <c r="B2086" t="s">
        <v>61</v>
      </c>
      <c r="C2086" t="str">
        <f>HYPERLINK("http://service.sap.com/sap/support/notes/1919403","1919403")</f>
        <v>1919403</v>
      </c>
      <c r="D2086">
        <v>7</v>
      </c>
      <c r="E2086" t="s">
        <v>2544</v>
      </c>
      <c r="F2086" t="s">
        <v>17</v>
      </c>
    </row>
    <row r="2087" spans="1:6" x14ac:dyDescent="0.3">
      <c r="A2087" t="s">
        <v>1681</v>
      </c>
      <c r="B2087" t="s">
        <v>61</v>
      </c>
      <c r="C2087" t="str">
        <f>HYPERLINK("http://service.sap.com/sap/support/notes/1919480","1919480")</f>
        <v>1919480</v>
      </c>
      <c r="D2087">
        <v>2</v>
      </c>
      <c r="E2087" t="s">
        <v>2545</v>
      </c>
      <c r="F2087" t="s">
        <v>17</v>
      </c>
    </row>
    <row r="2088" spans="1:6" x14ac:dyDescent="0.3">
      <c r="A2088" t="s">
        <v>1681</v>
      </c>
      <c r="B2088" t="s">
        <v>61</v>
      </c>
      <c r="C2088" t="str">
        <f>HYPERLINK("http://service.sap.com/sap/support/notes/1919692","1919692")</f>
        <v>1919692</v>
      </c>
      <c r="D2088">
        <v>14</v>
      </c>
      <c r="E2088" t="s">
        <v>2546</v>
      </c>
      <c r="F2088" t="s">
        <v>11</v>
      </c>
    </row>
    <row r="2089" spans="1:6" x14ac:dyDescent="0.3">
      <c r="A2089" t="s">
        <v>1681</v>
      </c>
      <c r="B2089" t="s">
        <v>61</v>
      </c>
      <c r="C2089" t="str">
        <f>HYPERLINK("http://service.sap.com/sap/support/notes/1920411","1920411")</f>
        <v>1920411</v>
      </c>
      <c r="D2089">
        <v>6</v>
      </c>
      <c r="E2089" t="s">
        <v>2547</v>
      </c>
      <c r="F2089" t="s">
        <v>17</v>
      </c>
    </row>
    <row r="2090" spans="1:6" x14ac:dyDescent="0.3">
      <c r="A2090" t="s">
        <v>1681</v>
      </c>
      <c r="B2090" t="s">
        <v>61</v>
      </c>
      <c r="C2090" t="str">
        <f>HYPERLINK("http://service.sap.com/sap/support/notes/1920502","1920502")</f>
        <v>1920502</v>
      </c>
      <c r="D2090">
        <v>2</v>
      </c>
      <c r="E2090" t="s">
        <v>2548</v>
      </c>
      <c r="F2090" t="s">
        <v>17</v>
      </c>
    </row>
    <row r="2091" spans="1:6" x14ac:dyDescent="0.3">
      <c r="A2091" t="s">
        <v>1681</v>
      </c>
      <c r="B2091" t="s">
        <v>61</v>
      </c>
      <c r="C2091" t="str">
        <f>HYPERLINK("http://service.sap.com/sap/support/notes/1920907","1920907")</f>
        <v>1920907</v>
      </c>
      <c r="D2091">
        <v>5</v>
      </c>
      <c r="E2091" t="s">
        <v>2549</v>
      </c>
      <c r="F2091" t="s">
        <v>17</v>
      </c>
    </row>
    <row r="2092" spans="1:6" x14ac:dyDescent="0.3">
      <c r="A2092" t="s">
        <v>1681</v>
      </c>
      <c r="B2092" t="s">
        <v>61</v>
      </c>
      <c r="C2092" t="str">
        <f>HYPERLINK("http://service.sap.com/sap/support/notes/1920956","1920956")</f>
        <v>1920956</v>
      </c>
      <c r="D2092">
        <v>5</v>
      </c>
      <c r="E2092" t="s">
        <v>2550</v>
      </c>
      <c r="F2092" t="s">
        <v>17</v>
      </c>
    </row>
    <row r="2093" spans="1:6" x14ac:dyDescent="0.3">
      <c r="A2093" t="s">
        <v>1681</v>
      </c>
      <c r="B2093" t="s">
        <v>61</v>
      </c>
      <c r="C2093" t="str">
        <f>HYPERLINK("http://service.sap.com/sap/support/notes/1921109","1921109")</f>
        <v>1921109</v>
      </c>
      <c r="D2093">
        <v>2</v>
      </c>
      <c r="E2093" t="s">
        <v>2551</v>
      </c>
      <c r="F2093" t="s">
        <v>17</v>
      </c>
    </row>
    <row r="2094" spans="1:6" x14ac:dyDescent="0.3">
      <c r="A2094" t="s">
        <v>1681</v>
      </c>
      <c r="B2094" t="s">
        <v>61</v>
      </c>
      <c r="C2094" t="str">
        <f>HYPERLINK("http://service.sap.com/sap/support/notes/1921854","1921854")</f>
        <v>1921854</v>
      </c>
      <c r="D2094">
        <v>5</v>
      </c>
      <c r="E2094" t="s">
        <v>2552</v>
      </c>
      <c r="F2094" t="s">
        <v>17</v>
      </c>
    </row>
    <row r="2095" spans="1:6" x14ac:dyDescent="0.3">
      <c r="A2095" t="s">
        <v>1681</v>
      </c>
      <c r="B2095" t="s">
        <v>61</v>
      </c>
      <c r="C2095" t="str">
        <f>HYPERLINK("http://service.sap.com/sap/support/notes/1924130","1924130")</f>
        <v>1924130</v>
      </c>
      <c r="D2095">
        <v>2</v>
      </c>
      <c r="E2095" t="s">
        <v>2553</v>
      </c>
      <c r="F2095" t="s">
        <v>17</v>
      </c>
    </row>
    <row r="2096" spans="1:6" x14ac:dyDescent="0.3">
      <c r="A2096" t="s">
        <v>1681</v>
      </c>
      <c r="B2096" t="s">
        <v>61</v>
      </c>
      <c r="C2096" t="str">
        <f>HYPERLINK("http://service.sap.com/sap/support/notes/1924384","1924384")</f>
        <v>1924384</v>
      </c>
      <c r="D2096">
        <v>3</v>
      </c>
      <c r="E2096" t="s">
        <v>2554</v>
      </c>
      <c r="F2096" t="s">
        <v>17</v>
      </c>
    </row>
    <row r="2097" spans="1:6" x14ac:dyDescent="0.3">
      <c r="A2097" t="s">
        <v>1681</v>
      </c>
      <c r="B2097" t="s">
        <v>61</v>
      </c>
      <c r="C2097" t="str">
        <f>HYPERLINK("http://service.sap.com/sap/support/notes/1924731","1924731")</f>
        <v>1924731</v>
      </c>
      <c r="D2097">
        <v>6</v>
      </c>
      <c r="E2097" t="s">
        <v>2555</v>
      </c>
      <c r="F2097" t="s">
        <v>17</v>
      </c>
    </row>
    <row r="2098" spans="1:6" x14ac:dyDescent="0.3">
      <c r="A2098" t="s">
        <v>1681</v>
      </c>
      <c r="B2098" t="s">
        <v>61</v>
      </c>
      <c r="C2098" t="str">
        <f>HYPERLINK("http://service.sap.com/sap/support/notes/1925006","1925006")</f>
        <v>1925006</v>
      </c>
      <c r="D2098">
        <v>4</v>
      </c>
      <c r="E2098" t="s">
        <v>2556</v>
      </c>
      <c r="F2098" t="s">
        <v>17</v>
      </c>
    </row>
    <row r="2099" spans="1:6" x14ac:dyDescent="0.3">
      <c r="A2099" t="s">
        <v>1681</v>
      </c>
      <c r="B2099" t="s">
        <v>61</v>
      </c>
      <c r="C2099" t="str">
        <f>HYPERLINK("http://service.sap.com/sap/support/notes/1925446","1925446")</f>
        <v>1925446</v>
      </c>
      <c r="D2099">
        <v>3</v>
      </c>
      <c r="E2099" t="s">
        <v>2557</v>
      </c>
      <c r="F2099" t="s">
        <v>17</v>
      </c>
    </row>
    <row r="2100" spans="1:6" x14ac:dyDescent="0.3">
      <c r="A2100" t="s">
        <v>1681</v>
      </c>
      <c r="B2100" t="s">
        <v>61</v>
      </c>
      <c r="C2100" t="str">
        <f>HYPERLINK("http://service.sap.com/sap/support/notes/1925560","1925560")</f>
        <v>1925560</v>
      </c>
      <c r="D2100">
        <v>2</v>
      </c>
      <c r="E2100" t="s">
        <v>2558</v>
      </c>
      <c r="F2100" t="s">
        <v>17</v>
      </c>
    </row>
    <row r="2101" spans="1:6" x14ac:dyDescent="0.3">
      <c r="A2101" t="s">
        <v>1681</v>
      </c>
      <c r="B2101" t="s">
        <v>61</v>
      </c>
      <c r="C2101" t="str">
        <f>HYPERLINK("http://service.sap.com/sap/support/notes/1925746","1925746")</f>
        <v>1925746</v>
      </c>
      <c r="D2101">
        <v>2</v>
      </c>
      <c r="E2101" t="s">
        <v>2559</v>
      </c>
      <c r="F2101" t="s">
        <v>17</v>
      </c>
    </row>
    <row r="2102" spans="1:6" x14ac:dyDescent="0.3">
      <c r="A2102" t="s">
        <v>1681</v>
      </c>
      <c r="B2102" t="s">
        <v>61</v>
      </c>
      <c r="C2102" t="str">
        <f>HYPERLINK("http://service.sap.com/sap/support/notes/1926090","1926090")</f>
        <v>1926090</v>
      </c>
      <c r="D2102">
        <v>1</v>
      </c>
      <c r="E2102" t="s">
        <v>2560</v>
      </c>
      <c r="F2102" t="s">
        <v>11</v>
      </c>
    </row>
    <row r="2103" spans="1:6" x14ac:dyDescent="0.3">
      <c r="A2103" t="s">
        <v>1681</v>
      </c>
      <c r="B2103" t="s">
        <v>61</v>
      </c>
      <c r="C2103" t="str">
        <f>HYPERLINK("http://service.sap.com/sap/support/notes/1926756","1926756")</f>
        <v>1926756</v>
      </c>
      <c r="D2103">
        <v>3</v>
      </c>
      <c r="E2103" t="s">
        <v>2561</v>
      </c>
      <c r="F2103" t="s">
        <v>17</v>
      </c>
    </row>
    <row r="2104" spans="1:6" x14ac:dyDescent="0.3">
      <c r="A2104" t="s">
        <v>1681</v>
      </c>
      <c r="B2104" t="s">
        <v>61</v>
      </c>
      <c r="C2104" t="str">
        <f>HYPERLINK("http://service.sap.com/sap/support/notes/1928227","1928227")</f>
        <v>1928227</v>
      </c>
      <c r="D2104">
        <v>2</v>
      </c>
      <c r="E2104" t="s">
        <v>2562</v>
      </c>
      <c r="F2104" t="s">
        <v>13</v>
      </c>
    </row>
    <row r="2105" spans="1:6" x14ac:dyDescent="0.3">
      <c r="A2105" t="s">
        <v>1681</v>
      </c>
      <c r="B2105" t="s">
        <v>61</v>
      </c>
      <c r="C2105" t="str">
        <f>HYPERLINK("http://service.sap.com/sap/support/notes/1930095","1930095")</f>
        <v>1930095</v>
      </c>
      <c r="D2105">
        <v>2</v>
      </c>
      <c r="E2105" t="s">
        <v>2563</v>
      </c>
      <c r="F2105" t="s">
        <v>17</v>
      </c>
    </row>
    <row r="2106" spans="1:6" x14ac:dyDescent="0.3">
      <c r="A2106" t="s">
        <v>1681</v>
      </c>
      <c r="B2106" t="s">
        <v>61</v>
      </c>
      <c r="C2106" t="str">
        <f>HYPERLINK("http://service.sap.com/sap/support/notes/1930407","1930407")</f>
        <v>1930407</v>
      </c>
      <c r="D2106">
        <v>2</v>
      </c>
      <c r="E2106" t="s">
        <v>2564</v>
      </c>
      <c r="F2106" t="s">
        <v>17</v>
      </c>
    </row>
    <row r="2107" spans="1:6" x14ac:dyDescent="0.3">
      <c r="A2107" t="s">
        <v>1681</v>
      </c>
      <c r="B2107" t="s">
        <v>61</v>
      </c>
      <c r="C2107" t="str">
        <f>HYPERLINK("http://service.sap.com/sap/support/notes/1931081","1931081")</f>
        <v>1931081</v>
      </c>
      <c r="D2107">
        <v>1</v>
      </c>
      <c r="E2107" t="s">
        <v>2565</v>
      </c>
      <c r="F2107" t="s">
        <v>17</v>
      </c>
    </row>
    <row r="2108" spans="1:6" x14ac:dyDescent="0.3">
      <c r="A2108" t="s">
        <v>1681</v>
      </c>
      <c r="B2108" t="s">
        <v>61</v>
      </c>
      <c r="C2108" t="str">
        <f>HYPERLINK("http://service.sap.com/sap/support/notes/1931141","1931141")</f>
        <v>1931141</v>
      </c>
      <c r="D2108">
        <v>2</v>
      </c>
      <c r="E2108" t="s">
        <v>2566</v>
      </c>
      <c r="F2108" t="s">
        <v>17</v>
      </c>
    </row>
    <row r="2109" spans="1:6" x14ac:dyDescent="0.3">
      <c r="A2109" t="s">
        <v>1681</v>
      </c>
      <c r="B2109" t="s">
        <v>61</v>
      </c>
      <c r="C2109" t="str">
        <f>HYPERLINK("http://service.sap.com/sap/support/notes/1931817","1931817")</f>
        <v>1931817</v>
      </c>
      <c r="D2109">
        <v>2</v>
      </c>
      <c r="E2109" t="s">
        <v>2567</v>
      </c>
      <c r="F2109" t="s">
        <v>17</v>
      </c>
    </row>
    <row r="2110" spans="1:6" x14ac:dyDescent="0.3">
      <c r="A2110" t="s">
        <v>1681</v>
      </c>
      <c r="B2110" t="s">
        <v>61</v>
      </c>
      <c r="C2110" t="str">
        <f>HYPERLINK("http://service.sap.com/sap/support/notes/1933179","1933179")</f>
        <v>1933179</v>
      </c>
      <c r="D2110">
        <v>1</v>
      </c>
      <c r="E2110" t="s">
        <v>2568</v>
      </c>
      <c r="F2110" t="s">
        <v>17</v>
      </c>
    </row>
    <row r="2111" spans="1:6" x14ac:dyDescent="0.3">
      <c r="A2111" t="s">
        <v>1681</v>
      </c>
      <c r="B2111" t="s">
        <v>61</v>
      </c>
      <c r="C2111" t="str">
        <f>HYPERLINK("http://service.sap.com/sap/support/notes/1933640","1933640")</f>
        <v>1933640</v>
      </c>
      <c r="D2111">
        <v>1</v>
      </c>
      <c r="E2111" t="s">
        <v>2569</v>
      </c>
      <c r="F2111" t="s">
        <v>17</v>
      </c>
    </row>
    <row r="2112" spans="1:6" x14ac:dyDescent="0.3">
      <c r="A2112" t="s">
        <v>1681</v>
      </c>
      <c r="B2112" t="s">
        <v>61</v>
      </c>
      <c r="C2112" t="str">
        <f>HYPERLINK("http://service.sap.com/sap/support/notes/1933731","1933731")</f>
        <v>1933731</v>
      </c>
      <c r="D2112">
        <v>2</v>
      </c>
      <c r="E2112" t="s">
        <v>2570</v>
      </c>
      <c r="F2112" t="s">
        <v>17</v>
      </c>
    </row>
    <row r="2113" spans="1:6" x14ac:dyDescent="0.3">
      <c r="A2113" t="s">
        <v>1681</v>
      </c>
      <c r="B2113" t="s">
        <v>61</v>
      </c>
      <c r="C2113" t="str">
        <f>HYPERLINK("http://service.sap.com/sap/support/notes/1934503","1934503")</f>
        <v>1934503</v>
      </c>
      <c r="D2113">
        <v>5</v>
      </c>
      <c r="E2113" t="s">
        <v>2571</v>
      </c>
      <c r="F2113" t="s">
        <v>17</v>
      </c>
    </row>
    <row r="2114" spans="1:6" x14ac:dyDescent="0.3">
      <c r="A2114" t="s">
        <v>1681</v>
      </c>
      <c r="B2114" t="s">
        <v>61</v>
      </c>
      <c r="C2114" t="str">
        <f>HYPERLINK("http://service.sap.com/sap/support/notes/1935683","1935683")</f>
        <v>1935683</v>
      </c>
      <c r="D2114">
        <v>3</v>
      </c>
      <c r="E2114" t="s">
        <v>2572</v>
      </c>
      <c r="F2114" t="s">
        <v>17</v>
      </c>
    </row>
    <row r="2115" spans="1:6" x14ac:dyDescent="0.3">
      <c r="A2115" t="s">
        <v>1681</v>
      </c>
      <c r="B2115" t="s">
        <v>61</v>
      </c>
      <c r="C2115" t="str">
        <f>HYPERLINK("http://service.sap.com/sap/support/notes/1935763","1935763")</f>
        <v>1935763</v>
      </c>
      <c r="D2115">
        <v>2</v>
      </c>
      <c r="E2115" t="s">
        <v>2573</v>
      </c>
      <c r="F2115" t="s">
        <v>17</v>
      </c>
    </row>
    <row r="2116" spans="1:6" x14ac:dyDescent="0.3">
      <c r="A2116" t="s">
        <v>1681</v>
      </c>
      <c r="B2116" t="s">
        <v>61</v>
      </c>
      <c r="C2116" t="str">
        <f>HYPERLINK("http://service.sap.com/sap/support/notes/1936969","1936969")</f>
        <v>1936969</v>
      </c>
      <c r="D2116">
        <v>1</v>
      </c>
      <c r="E2116" t="s">
        <v>2574</v>
      </c>
      <c r="F2116" t="s">
        <v>17</v>
      </c>
    </row>
    <row r="2117" spans="1:6" x14ac:dyDescent="0.3">
      <c r="A2117" t="s">
        <v>1681</v>
      </c>
      <c r="B2117" t="s">
        <v>61</v>
      </c>
      <c r="C2117" t="str">
        <f>HYPERLINK("http://service.sap.com/sap/support/notes/1938849","1938849")</f>
        <v>1938849</v>
      </c>
      <c r="D2117">
        <v>4</v>
      </c>
      <c r="E2117" t="s">
        <v>2575</v>
      </c>
      <c r="F2117" t="s">
        <v>17</v>
      </c>
    </row>
    <row r="2118" spans="1:6" x14ac:dyDescent="0.3">
      <c r="A2118" t="s">
        <v>1681</v>
      </c>
      <c r="B2118" t="s">
        <v>61</v>
      </c>
      <c r="C2118" t="str">
        <f>HYPERLINK("http://service.sap.com/sap/support/notes/1939186","1939186")</f>
        <v>1939186</v>
      </c>
      <c r="D2118">
        <v>2</v>
      </c>
      <c r="E2118" t="s">
        <v>2576</v>
      </c>
      <c r="F2118" t="s">
        <v>17</v>
      </c>
    </row>
    <row r="2119" spans="1:6" x14ac:dyDescent="0.3">
      <c r="A2119" t="s">
        <v>1681</v>
      </c>
      <c r="B2119" t="s">
        <v>61</v>
      </c>
      <c r="C2119" t="str">
        <f>HYPERLINK("http://service.sap.com/sap/support/notes/1939571","1939571")</f>
        <v>1939571</v>
      </c>
      <c r="D2119">
        <v>1</v>
      </c>
      <c r="E2119" t="s">
        <v>2577</v>
      </c>
      <c r="F2119" t="s">
        <v>17</v>
      </c>
    </row>
    <row r="2120" spans="1:6" x14ac:dyDescent="0.3">
      <c r="A2120" t="s">
        <v>1681</v>
      </c>
      <c r="B2120" t="s">
        <v>61</v>
      </c>
      <c r="C2120" t="str">
        <f>HYPERLINK("http://service.sap.com/sap/support/notes/1940022","1940022")</f>
        <v>1940022</v>
      </c>
      <c r="D2120">
        <v>1</v>
      </c>
      <c r="E2120" t="s">
        <v>2578</v>
      </c>
      <c r="F2120" t="s">
        <v>17</v>
      </c>
    </row>
    <row r="2121" spans="1:6" x14ac:dyDescent="0.3">
      <c r="A2121" t="s">
        <v>1681</v>
      </c>
      <c r="B2121" t="s">
        <v>61</v>
      </c>
      <c r="C2121" t="str">
        <f>HYPERLINK("http://service.sap.com/sap/support/notes/1940038","1940038")</f>
        <v>1940038</v>
      </c>
      <c r="D2121">
        <v>1</v>
      </c>
      <c r="E2121" t="s">
        <v>2579</v>
      </c>
      <c r="F2121" t="s">
        <v>17</v>
      </c>
    </row>
    <row r="2122" spans="1:6" x14ac:dyDescent="0.3">
      <c r="A2122" t="s">
        <v>1681</v>
      </c>
      <c r="B2122" t="s">
        <v>61</v>
      </c>
      <c r="C2122" t="str">
        <f>HYPERLINK("http://service.sap.com/sap/support/notes/1940081","1940081")</f>
        <v>1940081</v>
      </c>
      <c r="D2122">
        <v>2</v>
      </c>
      <c r="E2122" t="s">
        <v>2580</v>
      </c>
      <c r="F2122" t="s">
        <v>17</v>
      </c>
    </row>
    <row r="2123" spans="1:6" x14ac:dyDescent="0.3">
      <c r="A2123" t="s">
        <v>1681</v>
      </c>
      <c r="B2123" t="s">
        <v>61</v>
      </c>
      <c r="C2123" t="str">
        <f>HYPERLINK("http://service.sap.com/sap/support/notes/1940264","1940264")</f>
        <v>1940264</v>
      </c>
      <c r="D2123">
        <v>3</v>
      </c>
      <c r="E2123" t="s">
        <v>2581</v>
      </c>
      <c r="F2123" t="s">
        <v>17</v>
      </c>
    </row>
    <row r="2124" spans="1:6" x14ac:dyDescent="0.3">
      <c r="A2124" t="s">
        <v>1681</v>
      </c>
      <c r="B2124" t="s">
        <v>61</v>
      </c>
      <c r="C2124" t="str">
        <f>HYPERLINK("http://service.sap.com/sap/support/notes/1940476","1940476")</f>
        <v>1940476</v>
      </c>
      <c r="D2124">
        <v>1</v>
      </c>
      <c r="E2124" t="s">
        <v>2582</v>
      </c>
      <c r="F2124" t="s">
        <v>17</v>
      </c>
    </row>
    <row r="2125" spans="1:6" x14ac:dyDescent="0.3">
      <c r="A2125" t="s">
        <v>1681</v>
      </c>
      <c r="B2125" t="s">
        <v>61</v>
      </c>
      <c r="C2125" t="str">
        <f>HYPERLINK("http://service.sap.com/sap/support/notes/1941007","1941007")</f>
        <v>1941007</v>
      </c>
      <c r="D2125">
        <v>2</v>
      </c>
      <c r="E2125" t="s">
        <v>2583</v>
      </c>
      <c r="F2125" t="s">
        <v>17</v>
      </c>
    </row>
    <row r="2126" spans="1:6" x14ac:dyDescent="0.3">
      <c r="A2126" t="s">
        <v>1681</v>
      </c>
      <c r="B2126" t="s">
        <v>61</v>
      </c>
      <c r="C2126" t="str">
        <f>HYPERLINK("http://service.sap.com/sap/support/notes/1941016","1941016")</f>
        <v>1941016</v>
      </c>
      <c r="D2126">
        <v>1</v>
      </c>
      <c r="E2126" t="s">
        <v>2584</v>
      </c>
      <c r="F2126" t="s">
        <v>17</v>
      </c>
    </row>
    <row r="2127" spans="1:6" x14ac:dyDescent="0.3">
      <c r="A2127" t="s">
        <v>1681</v>
      </c>
      <c r="B2127" t="s">
        <v>61</v>
      </c>
      <c r="C2127" t="str">
        <f>HYPERLINK("http://service.sap.com/sap/support/notes/1942539","1942539")</f>
        <v>1942539</v>
      </c>
      <c r="D2127">
        <v>3</v>
      </c>
      <c r="E2127" t="s">
        <v>2585</v>
      </c>
      <c r="F2127" t="s">
        <v>17</v>
      </c>
    </row>
    <row r="2128" spans="1:6" x14ac:dyDescent="0.3">
      <c r="A2128" t="s">
        <v>1681</v>
      </c>
      <c r="B2128" t="s">
        <v>61</v>
      </c>
      <c r="C2128" t="str">
        <f>HYPERLINK("http://service.sap.com/sap/support/notes/1942613","1942613")</f>
        <v>1942613</v>
      </c>
      <c r="D2128">
        <v>1</v>
      </c>
      <c r="E2128" t="s">
        <v>2586</v>
      </c>
      <c r="F2128" t="s">
        <v>17</v>
      </c>
    </row>
    <row r="2129" spans="1:6" x14ac:dyDescent="0.3">
      <c r="A2129" t="s">
        <v>1681</v>
      </c>
      <c r="B2129" t="s">
        <v>61</v>
      </c>
      <c r="C2129" t="str">
        <f>HYPERLINK("http://service.sap.com/sap/support/notes/1942911","1942911")</f>
        <v>1942911</v>
      </c>
      <c r="D2129">
        <v>1</v>
      </c>
      <c r="E2129" t="s">
        <v>2582</v>
      </c>
      <c r="F2129" t="s">
        <v>17</v>
      </c>
    </row>
    <row r="2130" spans="1:6" x14ac:dyDescent="0.3">
      <c r="A2130" t="s">
        <v>1681</v>
      </c>
      <c r="B2130" t="s">
        <v>61</v>
      </c>
      <c r="C2130" t="str">
        <f>HYPERLINK("http://service.sap.com/sap/support/notes/1943280","1943280")</f>
        <v>1943280</v>
      </c>
      <c r="D2130">
        <v>1</v>
      </c>
      <c r="E2130" t="s">
        <v>2582</v>
      </c>
      <c r="F2130" t="s">
        <v>17</v>
      </c>
    </row>
    <row r="2131" spans="1:6" x14ac:dyDescent="0.3">
      <c r="A2131" t="s">
        <v>1681</v>
      </c>
      <c r="B2131" t="s">
        <v>61</v>
      </c>
      <c r="C2131" t="str">
        <f>HYPERLINK("http://service.sap.com/sap/support/notes/1945089","1945089")</f>
        <v>1945089</v>
      </c>
      <c r="D2131">
        <v>1</v>
      </c>
      <c r="E2131" t="s">
        <v>2587</v>
      </c>
      <c r="F2131" t="s">
        <v>17</v>
      </c>
    </row>
    <row r="2132" spans="1:6" x14ac:dyDescent="0.3">
      <c r="A2132" t="s">
        <v>1681</v>
      </c>
      <c r="B2132" t="s">
        <v>61</v>
      </c>
      <c r="C2132" t="str">
        <f>HYPERLINK("http://service.sap.com/sap/support/notes/1946919","1946919")</f>
        <v>1946919</v>
      </c>
      <c r="D2132">
        <v>2</v>
      </c>
      <c r="E2132" t="s">
        <v>2588</v>
      </c>
      <c r="F2132" t="s">
        <v>17</v>
      </c>
    </row>
    <row r="2133" spans="1:6" x14ac:dyDescent="0.3">
      <c r="A2133" t="s">
        <v>1681</v>
      </c>
      <c r="B2133" t="s">
        <v>61</v>
      </c>
      <c r="C2133" t="str">
        <f>HYPERLINK("http://service.sap.com/sap/support/notes/1947229","1947229")</f>
        <v>1947229</v>
      </c>
      <c r="D2133">
        <v>2</v>
      </c>
      <c r="E2133" t="s">
        <v>2589</v>
      </c>
      <c r="F2133" t="s">
        <v>17</v>
      </c>
    </row>
    <row r="2134" spans="1:6" x14ac:dyDescent="0.3">
      <c r="A2134" t="s">
        <v>1681</v>
      </c>
      <c r="B2134" t="s">
        <v>61</v>
      </c>
      <c r="C2134" t="str">
        <f>HYPERLINK("http://service.sap.com/sap/support/notes/1947244","1947244")</f>
        <v>1947244</v>
      </c>
      <c r="D2134">
        <v>1</v>
      </c>
      <c r="E2134" t="s">
        <v>2590</v>
      </c>
      <c r="F2134" t="s">
        <v>17</v>
      </c>
    </row>
    <row r="2135" spans="1:6" x14ac:dyDescent="0.3">
      <c r="A2135" t="s">
        <v>1681</v>
      </c>
      <c r="B2135" t="s">
        <v>61</v>
      </c>
      <c r="C2135" t="str">
        <f>HYPERLINK("http://service.sap.com/sap/support/notes/1947838","1947838")</f>
        <v>1947838</v>
      </c>
      <c r="D2135">
        <v>1</v>
      </c>
      <c r="E2135" t="s">
        <v>2591</v>
      </c>
      <c r="F2135" t="s">
        <v>17</v>
      </c>
    </row>
    <row r="2136" spans="1:6" x14ac:dyDescent="0.3">
      <c r="A2136" t="s">
        <v>1681</v>
      </c>
      <c r="B2136" t="s">
        <v>61</v>
      </c>
      <c r="C2136" t="str">
        <f>HYPERLINK("http://service.sap.com/sap/support/notes/1948163","1948163")</f>
        <v>1948163</v>
      </c>
      <c r="D2136">
        <v>3</v>
      </c>
      <c r="E2136" t="s">
        <v>2592</v>
      </c>
      <c r="F2136" t="s">
        <v>17</v>
      </c>
    </row>
    <row r="2137" spans="1:6" x14ac:dyDescent="0.3">
      <c r="A2137" t="s">
        <v>1681</v>
      </c>
      <c r="B2137" t="s">
        <v>61</v>
      </c>
      <c r="C2137" t="str">
        <f>HYPERLINK("http://service.sap.com/sap/support/notes/1949253","1949253")</f>
        <v>1949253</v>
      </c>
      <c r="D2137">
        <v>1</v>
      </c>
      <c r="E2137" t="s">
        <v>2582</v>
      </c>
      <c r="F2137" t="s">
        <v>17</v>
      </c>
    </row>
    <row r="2138" spans="1:6" x14ac:dyDescent="0.3">
      <c r="A2138" t="s">
        <v>1681</v>
      </c>
      <c r="B2138" t="s">
        <v>61</v>
      </c>
      <c r="C2138" t="str">
        <f>HYPERLINK("http://service.sap.com/sap/support/notes/1949494","1949494")</f>
        <v>1949494</v>
      </c>
      <c r="D2138">
        <v>1</v>
      </c>
      <c r="E2138" t="s">
        <v>2593</v>
      </c>
      <c r="F2138" t="s">
        <v>17</v>
      </c>
    </row>
    <row r="2139" spans="1:6" x14ac:dyDescent="0.3">
      <c r="A2139" t="s">
        <v>1681</v>
      </c>
      <c r="B2139" t="s">
        <v>61</v>
      </c>
      <c r="C2139" t="str">
        <f>HYPERLINK("http://service.sap.com/sap/support/notes/1949736","1949736")</f>
        <v>1949736</v>
      </c>
      <c r="D2139">
        <v>1</v>
      </c>
      <c r="E2139" t="s">
        <v>2594</v>
      </c>
      <c r="F2139" t="s">
        <v>17</v>
      </c>
    </row>
    <row r="2140" spans="1:6" x14ac:dyDescent="0.3">
      <c r="A2140" t="s">
        <v>1681</v>
      </c>
      <c r="B2140" t="s">
        <v>61</v>
      </c>
      <c r="C2140" t="str">
        <f>HYPERLINK("http://service.sap.com/sap/support/notes/1950605","1950605")</f>
        <v>1950605</v>
      </c>
      <c r="D2140">
        <v>1</v>
      </c>
      <c r="E2140" t="s">
        <v>2595</v>
      </c>
      <c r="F2140" t="s">
        <v>17</v>
      </c>
    </row>
    <row r="2141" spans="1:6" x14ac:dyDescent="0.3">
      <c r="A2141" t="s">
        <v>1681</v>
      </c>
      <c r="B2141" t="s">
        <v>61</v>
      </c>
      <c r="C2141" t="str">
        <f>HYPERLINK("http://service.sap.com/sap/support/notes/1951573","1951573")</f>
        <v>1951573</v>
      </c>
      <c r="D2141">
        <v>1</v>
      </c>
      <c r="E2141" t="s">
        <v>2596</v>
      </c>
      <c r="F2141" t="s">
        <v>17</v>
      </c>
    </row>
    <row r="2142" spans="1:6" x14ac:dyDescent="0.3">
      <c r="A2142" t="s">
        <v>1681</v>
      </c>
      <c r="B2142" t="s">
        <v>61</v>
      </c>
      <c r="C2142" t="str">
        <f>HYPERLINK("http://service.sap.com/sap/support/notes/1952762","1952762")</f>
        <v>1952762</v>
      </c>
      <c r="D2142">
        <v>1</v>
      </c>
      <c r="E2142" t="s">
        <v>2597</v>
      </c>
      <c r="F2142" t="s">
        <v>17</v>
      </c>
    </row>
    <row r="2143" spans="1:6" x14ac:dyDescent="0.3">
      <c r="A2143" t="s">
        <v>1681</v>
      </c>
      <c r="B2143" t="s">
        <v>61</v>
      </c>
      <c r="C2143" t="str">
        <f>HYPERLINK("http://service.sap.com/sap/support/notes/1952865","1952865")</f>
        <v>1952865</v>
      </c>
      <c r="D2143">
        <v>1</v>
      </c>
      <c r="E2143" t="s">
        <v>2598</v>
      </c>
      <c r="F2143" t="s">
        <v>17</v>
      </c>
    </row>
    <row r="2144" spans="1:6" x14ac:dyDescent="0.3">
      <c r="A2144" t="s">
        <v>1791</v>
      </c>
      <c r="B2144" t="s">
        <v>1553</v>
      </c>
      <c r="C2144" t="str">
        <f>HYPERLINK("http://service.sap.com/sap/support/notes/1919006","1919006")</f>
        <v>1919006</v>
      </c>
      <c r="D2144">
        <v>1</v>
      </c>
      <c r="E2144" t="s">
        <v>2599</v>
      </c>
      <c r="F2144" t="s">
        <v>11</v>
      </c>
    </row>
    <row r="2145" spans="1:6" x14ac:dyDescent="0.3">
      <c r="A2145" t="s">
        <v>2600</v>
      </c>
      <c r="B2145" t="s">
        <v>2601</v>
      </c>
    </row>
    <row r="2146" spans="1:6" x14ac:dyDescent="0.3">
      <c r="A2146" t="s">
        <v>2602</v>
      </c>
      <c r="B2146" t="s">
        <v>2603</v>
      </c>
      <c r="C2146" t="str">
        <f>HYPERLINK("http://service.sap.com/sap/support/notes/1917789","1917789")</f>
        <v>1917789</v>
      </c>
      <c r="D2146">
        <v>1</v>
      </c>
      <c r="E2146" t="s">
        <v>2604</v>
      </c>
      <c r="F2146" t="s">
        <v>13</v>
      </c>
    </row>
    <row r="2147" spans="1:6" x14ac:dyDescent="0.3">
      <c r="A2147" t="s">
        <v>2602</v>
      </c>
      <c r="B2147" t="s">
        <v>2603</v>
      </c>
      <c r="C2147" t="str">
        <f>HYPERLINK("http://service.sap.com/sap/support/notes/1947451","1947451")</f>
        <v>1947451</v>
      </c>
      <c r="D2147">
        <v>1</v>
      </c>
      <c r="E2147" t="s">
        <v>2605</v>
      </c>
      <c r="F2147" t="s">
        <v>17</v>
      </c>
    </row>
    <row r="2148" spans="1:6" x14ac:dyDescent="0.3">
      <c r="A2148" t="s">
        <v>1794</v>
      </c>
      <c r="B2148" t="s">
        <v>1795</v>
      </c>
    </row>
    <row r="2149" spans="1:6" x14ac:dyDescent="0.3">
      <c r="A2149" t="s">
        <v>1796</v>
      </c>
      <c r="B2149" t="s">
        <v>61</v>
      </c>
      <c r="C2149" t="str">
        <f>HYPERLINK("http://service.sap.com/sap/support/notes/1918344","1918344")</f>
        <v>1918344</v>
      </c>
      <c r="D2149">
        <v>2</v>
      </c>
      <c r="E2149" t="s">
        <v>2606</v>
      </c>
      <c r="F2149" t="s">
        <v>11</v>
      </c>
    </row>
    <row r="2150" spans="1:6" x14ac:dyDescent="0.3">
      <c r="A2150" t="s">
        <v>1810</v>
      </c>
      <c r="B2150" t="s">
        <v>1811</v>
      </c>
    </row>
    <row r="2151" spans="1:6" x14ac:dyDescent="0.3">
      <c r="A2151" t="s">
        <v>1812</v>
      </c>
      <c r="B2151" t="s">
        <v>61</v>
      </c>
      <c r="C2151" t="str">
        <f>HYPERLINK("http://service.sap.com/sap/support/notes/1951255","1951255")</f>
        <v>1951255</v>
      </c>
      <c r="D2151">
        <v>2</v>
      </c>
      <c r="E2151" t="s">
        <v>2607</v>
      </c>
      <c r="F2151" t="s">
        <v>17</v>
      </c>
    </row>
    <row r="2152" spans="1:6" x14ac:dyDescent="0.3">
      <c r="A2152" t="s">
        <v>1814</v>
      </c>
      <c r="B2152" t="s">
        <v>1815</v>
      </c>
    </row>
    <row r="2153" spans="1:6" x14ac:dyDescent="0.3">
      <c r="A2153" t="s">
        <v>1816</v>
      </c>
      <c r="B2153" t="s">
        <v>1817</v>
      </c>
      <c r="C2153" t="str">
        <f>HYPERLINK("http://service.sap.com/sap/support/notes/1913666","1913666")</f>
        <v>1913666</v>
      </c>
      <c r="D2153">
        <v>2</v>
      </c>
      <c r="E2153" t="s">
        <v>2608</v>
      </c>
      <c r="F2153" t="s">
        <v>11</v>
      </c>
    </row>
    <row r="2154" spans="1:6" x14ac:dyDescent="0.3">
      <c r="A2154" t="s">
        <v>1816</v>
      </c>
      <c r="B2154" t="s">
        <v>1817</v>
      </c>
      <c r="C2154" t="str">
        <f>HYPERLINK("http://service.sap.com/sap/support/notes/1939873","1939873")</f>
        <v>1939873</v>
      </c>
      <c r="D2154">
        <v>16</v>
      </c>
      <c r="E2154" t="s">
        <v>2609</v>
      </c>
      <c r="F2154" t="s">
        <v>13</v>
      </c>
    </row>
    <row r="2155" spans="1:6" x14ac:dyDescent="0.3">
      <c r="A2155" t="s">
        <v>1819</v>
      </c>
      <c r="B2155" t="s">
        <v>1820</v>
      </c>
    </row>
    <row r="2156" spans="1:6" x14ac:dyDescent="0.3">
      <c r="A2156" t="s">
        <v>1821</v>
      </c>
      <c r="B2156" t="s">
        <v>1822</v>
      </c>
    </row>
    <row r="2157" spans="1:6" x14ac:dyDescent="0.3">
      <c r="A2157" t="s">
        <v>1823</v>
      </c>
      <c r="B2157" t="s">
        <v>1824</v>
      </c>
    </row>
    <row r="2158" spans="1:6" x14ac:dyDescent="0.3">
      <c r="A2158" t="s">
        <v>1825</v>
      </c>
      <c r="B2158" t="s">
        <v>1826</v>
      </c>
      <c r="C2158" t="str">
        <f>HYPERLINK("http://service.sap.com/sap/support/notes/1931033","1931033")</f>
        <v>1931033</v>
      </c>
      <c r="D2158">
        <v>1</v>
      </c>
      <c r="E2158" t="s">
        <v>2610</v>
      </c>
      <c r="F2158" t="s">
        <v>11</v>
      </c>
    </row>
    <row r="2159" spans="1:6" x14ac:dyDescent="0.3">
      <c r="A2159" t="s">
        <v>6</v>
      </c>
      <c r="B2159" t="s">
        <v>7</v>
      </c>
    </row>
    <row r="2160" spans="1:6" x14ac:dyDescent="0.3">
      <c r="A2160" t="s">
        <v>8</v>
      </c>
      <c r="B2160" t="s">
        <v>9</v>
      </c>
      <c r="C2160" t="str">
        <f>HYPERLINK("http://service.sap.com/sap/support/notes/1968465","1968465")</f>
        <v>1968465</v>
      </c>
      <c r="D2160">
        <v>3</v>
      </c>
      <c r="E2160" t="s">
        <v>2611</v>
      </c>
      <c r="F2160" t="s">
        <v>17</v>
      </c>
    </row>
    <row r="2161" spans="1:6" x14ac:dyDescent="0.3">
      <c r="A2161" t="s">
        <v>14</v>
      </c>
      <c r="B2161" t="s">
        <v>15</v>
      </c>
      <c r="C2161" t="str">
        <f>HYPERLINK("http://service.sap.com/sap/support/notes/1937742","1937742")</f>
        <v>1937742</v>
      </c>
      <c r="D2161">
        <v>2</v>
      </c>
      <c r="E2161" t="s">
        <v>2612</v>
      </c>
      <c r="F2161" t="s">
        <v>17</v>
      </c>
    </row>
    <row r="2162" spans="1:6" x14ac:dyDescent="0.3">
      <c r="A2162" t="s">
        <v>14</v>
      </c>
      <c r="B2162" t="s">
        <v>15</v>
      </c>
      <c r="C2162" t="str">
        <f>HYPERLINK("http://service.sap.com/sap/support/notes/1943314","1943314")</f>
        <v>1943314</v>
      </c>
      <c r="D2162">
        <v>2</v>
      </c>
      <c r="E2162" t="s">
        <v>2613</v>
      </c>
      <c r="F2162" t="s">
        <v>17</v>
      </c>
    </row>
    <row r="2163" spans="1:6" x14ac:dyDescent="0.3">
      <c r="A2163" t="s">
        <v>14</v>
      </c>
      <c r="B2163" t="s">
        <v>15</v>
      </c>
      <c r="C2163" t="str">
        <f>HYPERLINK("http://service.sap.com/sap/support/notes/1965313","1965313")</f>
        <v>1965313</v>
      </c>
      <c r="D2163">
        <v>2</v>
      </c>
      <c r="E2163" t="s">
        <v>2614</v>
      </c>
      <c r="F2163" t="s">
        <v>17</v>
      </c>
    </row>
    <row r="2164" spans="1:6" x14ac:dyDescent="0.3">
      <c r="A2164" t="s">
        <v>14</v>
      </c>
      <c r="B2164" t="s">
        <v>15</v>
      </c>
      <c r="C2164" t="str">
        <f>HYPERLINK("http://service.sap.com/sap/support/notes/1972689","1972689")</f>
        <v>1972689</v>
      </c>
      <c r="D2164">
        <v>2</v>
      </c>
      <c r="E2164" t="s">
        <v>2615</v>
      </c>
      <c r="F2164" t="s">
        <v>17</v>
      </c>
    </row>
    <row r="2165" spans="1:6" x14ac:dyDescent="0.3">
      <c r="A2165" t="s">
        <v>14</v>
      </c>
      <c r="B2165" t="s">
        <v>15</v>
      </c>
      <c r="C2165" t="str">
        <f>HYPERLINK("http://service.sap.com/sap/support/notes/1981329","1981329")</f>
        <v>1981329</v>
      </c>
      <c r="D2165">
        <v>1</v>
      </c>
      <c r="E2165" t="s">
        <v>2616</v>
      </c>
      <c r="F2165" t="s">
        <v>17</v>
      </c>
    </row>
    <row r="2166" spans="1:6" x14ac:dyDescent="0.3">
      <c r="A2166" t="s">
        <v>14</v>
      </c>
      <c r="B2166" t="s">
        <v>15</v>
      </c>
      <c r="C2166" t="str">
        <f>HYPERLINK("http://service.sap.com/sap/support/notes/1982803","1982803")</f>
        <v>1982803</v>
      </c>
      <c r="D2166">
        <v>3</v>
      </c>
      <c r="E2166" t="s">
        <v>2617</v>
      </c>
      <c r="F2166" t="s">
        <v>17</v>
      </c>
    </row>
    <row r="2167" spans="1:6" x14ac:dyDescent="0.3">
      <c r="A2167" t="s">
        <v>26</v>
      </c>
      <c r="B2167" t="s">
        <v>27</v>
      </c>
      <c r="C2167" t="str">
        <f>HYPERLINK("http://service.sap.com/sap/support/notes/1933475","1933475")</f>
        <v>1933475</v>
      </c>
      <c r="D2167">
        <v>4</v>
      </c>
      <c r="E2167" t="s">
        <v>2618</v>
      </c>
      <c r="F2167" t="s">
        <v>17</v>
      </c>
    </row>
    <row r="2168" spans="1:6" x14ac:dyDescent="0.3">
      <c r="A2168" t="s">
        <v>26</v>
      </c>
      <c r="B2168" t="s">
        <v>27</v>
      </c>
      <c r="C2168" t="str">
        <f>HYPERLINK("http://service.sap.com/sap/support/notes/1944624","1944624")</f>
        <v>1944624</v>
      </c>
      <c r="D2168">
        <v>2</v>
      </c>
      <c r="E2168" t="s">
        <v>2619</v>
      </c>
      <c r="F2168" t="s">
        <v>13</v>
      </c>
    </row>
    <row r="2169" spans="1:6" x14ac:dyDescent="0.3">
      <c r="A2169" t="s">
        <v>26</v>
      </c>
      <c r="B2169" t="s">
        <v>27</v>
      </c>
      <c r="C2169" t="str">
        <f>HYPERLINK("http://service.sap.com/sap/support/notes/1946329","1946329")</f>
        <v>1946329</v>
      </c>
      <c r="D2169">
        <v>2</v>
      </c>
      <c r="E2169" t="s">
        <v>2620</v>
      </c>
      <c r="F2169" t="s">
        <v>17</v>
      </c>
    </row>
    <row r="2170" spans="1:6" x14ac:dyDescent="0.3">
      <c r="A2170" t="s">
        <v>26</v>
      </c>
      <c r="B2170" t="s">
        <v>27</v>
      </c>
      <c r="C2170" t="str">
        <f>HYPERLINK("http://service.sap.com/sap/support/notes/1946621","1946621")</f>
        <v>1946621</v>
      </c>
      <c r="D2170">
        <v>2</v>
      </c>
      <c r="E2170" t="s">
        <v>2621</v>
      </c>
      <c r="F2170" t="s">
        <v>17</v>
      </c>
    </row>
    <row r="2171" spans="1:6" x14ac:dyDescent="0.3">
      <c r="A2171" t="s">
        <v>26</v>
      </c>
      <c r="B2171" t="s">
        <v>27</v>
      </c>
      <c r="C2171" t="str">
        <f>HYPERLINK("http://service.sap.com/sap/support/notes/1953386","1953386")</f>
        <v>1953386</v>
      </c>
      <c r="D2171">
        <v>3</v>
      </c>
      <c r="E2171" t="s">
        <v>2622</v>
      </c>
      <c r="F2171" t="s">
        <v>17</v>
      </c>
    </row>
    <row r="2172" spans="1:6" x14ac:dyDescent="0.3">
      <c r="A2172" t="s">
        <v>26</v>
      </c>
      <c r="B2172" t="s">
        <v>27</v>
      </c>
      <c r="C2172" t="str">
        <f>HYPERLINK("http://service.sap.com/sap/support/notes/1955834","1955834")</f>
        <v>1955834</v>
      </c>
      <c r="D2172">
        <v>2</v>
      </c>
      <c r="E2172" t="s">
        <v>2623</v>
      </c>
      <c r="F2172" t="s">
        <v>17</v>
      </c>
    </row>
    <row r="2173" spans="1:6" x14ac:dyDescent="0.3">
      <c r="A2173" t="s">
        <v>26</v>
      </c>
      <c r="B2173" t="s">
        <v>27</v>
      </c>
      <c r="C2173" t="str">
        <f>HYPERLINK("http://service.sap.com/sap/support/notes/1958730","1958730")</f>
        <v>1958730</v>
      </c>
      <c r="D2173">
        <v>2</v>
      </c>
      <c r="E2173" t="s">
        <v>2624</v>
      </c>
      <c r="F2173" t="s">
        <v>17</v>
      </c>
    </row>
    <row r="2174" spans="1:6" x14ac:dyDescent="0.3">
      <c r="A2174" t="s">
        <v>26</v>
      </c>
      <c r="B2174" t="s">
        <v>27</v>
      </c>
      <c r="C2174" t="str">
        <f>HYPERLINK("http://service.sap.com/sap/support/notes/1960041","1960041")</f>
        <v>1960041</v>
      </c>
      <c r="D2174">
        <v>3</v>
      </c>
      <c r="E2174" t="s">
        <v>2625</v>
      </c>
      <c r="F2174" t="s">
        <v>17</v>
      </c>
    </row>
    <row r="2175" spans="1:6" x14ac:dyDescent="0.3">
      <c r="A2175" t="s">
        <v>26</v>
      </c>
      <c r="B2175" t="s">
        <v>27</v>
      </c>
      <c r="C2175" t="str">
        <f>HYPERLINK("http://service.sap.com/sap/support/notes/1967509","1967509")</f>
        <v>1967509</v>
      </c>
      <c r="D2175">
        <v>1</v>
      </c>
      <c r="E2175" t="s">
        <v>2626</v>
      </c>
      <c r="F2175" t="s">
        <v>17</v>
      </c>
    </row>
    <row r="2176" spans="1:6" x14ac:dyDescent="0.3">
      <c r="A2176" t="s">
        <v>26</v>
      </c>
      <c r="B2176" t="s">
        <v>27</v>
      </c>
      <c r="C2176" t="str">
        <f>HYPERLINK("http://service.sap.com/sap/support/notes/1969962","1969962")</f>
        <v>1969962</v>
      </c>
      <c r="D2176">
        <v>2</v>
      </c>
      <c r="E2176" t="s">
        <v>2627</v>
      </c>
      <c r="F2176" t="s">
        <v>17</v>
      </c>
    </row>
    <row r="2177" spans="1:6" x14ac:dyDescent="0.3">
      <c r="A2177" t="s">
        <v>26</v>
      </c>
      <c r="B2177" t="s">
        <v>27</v>
      </c>
      <c r="C2177" t="str">
        <f>HYPERLINK("http://service.sap.com/sap/support/notes/1970066","1970066")</f>
        <v>1970066</v>
      </c>
      <c r="D2177">
        <v>2</v>
      </c>
      <c r="E2177" t="s">
        <v>2628</v>
      </c>
      <c r="F2177" t="s">
        <v>17</v>
      </c>
    </row>
    <row r="2178" spans="1:6" x14ac:dyDescent="0.3">
      <c r="A2178" t="s">
        <v>26</v>
      </c>
      <c r="B2178" t="s">
        <v>27</v>
      </c>
      <c r="C2178" t="str">
        <f>HYPERLINK("http://service.sap.com/sap/support/notes/1983276","1983276")</f>
        <v>1983276</v>
      </c>
      <c r="D2178">
        <v>2</v>
      </c>
      <c r="E2178" t="s">
        <v>2629</v>
      </c>
      <c r="F2178" t="s">
        <v>11</v>
      </c>
    </row>
    <row r="2179" spans="1:6" x14ac:dyDescent="0.3">
      <c r="A2179" t="s">
        <v>32</v>
      </c>
      <c r="B2179" t="s">
        <v>33</v>
      </c>
    </row>
    <row r="2180" spans="1:6" x14ac:dyDescent="0.3">
      <c r="A2180" t="s">
        <v>39</v>
      </c>
      <c r="B2180" t="s">
        <v>40</v>
      </c>
    </row>
    <row r="2181" spans="1:6" x14ac:dyDescent="0.3">
      <c r="A2181" t="s">
        <v>41</v>
      </c>
      <c r="B2181" t="s">
        <v>42</v>
      </c>
    </row>
    <row r="2182" spans="1:6" x14ac:dyDescent="0.3">
      <c r="A2182" t="s">
        <v>43</v>
      </c>
      <c r="B2182" t="s">
        <v>44</v>
      </c>
      <c r="C2182" t="str">
        <f>HYPERLINK("http://service.sap.com/sap/support/notes/1976333","1976333")</f>
        <v>1976333</v>
      </c>
      <c r="D2182">
        <v>2</v>
      </c>
      <c r="E2182" t="s">
        <v>2630</v>
      </c>
      <c r="F2182" t="s">
        <v>17</v>
      </c>
    </row>
    <row r="2183" spans="1:6" x14ac:dyDescent="0.3">
      <c r="A2183" t="s">
        <v>43</v>
      </c>
      <c r="B2183" t="s">
        <v>44</v>
      </c>
      <c r="C2183" t="str">
        <f>HYPERLINK("http://service.sap.com/sap/support/notes/1984509","1984509")</f>
        <v>1984509</v>
      </c>
      <c r="D2183">
        <v>2</v>
      </c>
      <c r="E2183" t="s">
        <v>2631</v>
      </c>
      <c r="F2183" t="s">
        <v>17</v>
      </c>
    </row>
    <row r="2184" spans="1:6" x14ac:dyDescent="0.3">
      <c r="A2184" t="s">
        <v>46</v>
      </c>
      <c r="B2184" t="s">
        <v>47</v>
      </c>
    </row>
    <row r="2185" spans="1:6" x14ac:dyDescent="0.3">
      <c r="A2185" t="s">
        <v>48</v>
      </c>
      <c r="B2185" t="s">
        <v>49</v>
      </c>
    </row>
    <row r="2186" spans="1:6" x14ac:dyDescent="0.3">
      <c r="A2186" t="s">
        <v>50</v>
      </c>
      <c r="B2186" t="s">
        <v>51</v>
      </c>
    </row>
    <row r="2187" spans="1:6" x14ac:dyDescent="0.3">
      <c r="A2187" t="s">
        <v>2632</v>
      </c>
      <c r="B2187" t="s">
        <v>224</v>
      </c>
      <c r="C2187" t="str">
        <f>HYPERLINK("http://service.sap.com/sap/support/notes/1972882","1972882")</f>
        <v>1972882</v>
      </c>
      <c r="D2187">
        <v>1</v>
      </c>
      <c r="E2187" t="s">
        <v>2633</v>
      </c>
      <c r="F2187" t="s">
        <v>13</v>
      </c>
    </row>
    <row r="2188" spans="1:6" x14ac:dyDescent="0.3">
      <c r="A2188" t="s">
        <v>55</v>
      </c>
      <c r="B2188" t="s">
        <v>56</v>
      </c>
      <c r="C2188" t="str">
        <f>HYPERLINK("http://service.sap.com/sap/support/notes/1952810","1952810")</f>
        <v>1952810</v>
      </c>
      <c r="D2188">
        <v>2</v>
      </c>
      <c r="E2188" t="s">
        <v>2634</v>
      </c>
      <c r="F2188" t="s">
        <v>17</v>
      </c>
    </row>
    <row r="2189" spans="1:6" x14ac:dyDescent="0.3">
      <c r="A2189" t="s">
        <v>60</v>
      </c>
      <c r="B2189" t="s">
        <v>61</v>
      </c>
    </row>
    <row r="2190" spans="1:6" x14ac:dyDescent="0.3">
      <c r="A2190" t="s">
        <v>62</v>
      </c>
      <c r="B2190" t="s">
        <v>63</v>
      </c>
      <c r="C2190" t="str">
        <f>HYPERLINK("http://service.sap.com/sap/support/notes/1953616","1953616")</f>
        <v>1953616</v>
      </c>
      <c r="D2190">
        <v>2</v>
      </c>
      <c r="E2190" t="s">
        <v>2635</v>
      </c>
      <c r="F2190" t="s">
        <v>17</v>
      </c>
    </row>
    <row r="2191" spans="1:6" x14ac:dyDescent="0.3">
      <c r="A2191" t="s">
        <v>62</v>
      </c>
      <c r="B2191" t="s">
        <v>63</v>
      </c>
      <c r="C2191" t="str">
        <f>HYPERLINK("http://service.sap.com/sap/support/notes/1965800","1965800")</f>
        <v>1965800</v>
      </c>
      <c r="D2191">
        <v>1</v>
      </c>
      <c r="E2191" t="s">
        <v>2636</v>
      </c>
      <c r="F2191" t="s">
        <v>17</v>
      </c>
    </row>
    <row r="2192" spans="1:6" x14ac:dyDescent="0.3">
      <c r="A2192" t="s">
        <v>66</v>
      </c>
      <c r="B2192" t="s">
        <v>67</v>
      </c>
      <c r="C2192" t="str">
        <f>HYPERLINK("http://service.sap.com/sap/support/notes/1956088","1956088")</f>
        <v>1956088</v>
      </c>
      <c r="D2192">
        <v>3</v>
      </c>
      <c r="E2192" t="s">
        <v>2637</v>
      </c>
      <c r="F2192" t="s">
        <v>17</v>
      </c>
    </row>
    <row r="2193" spans="1:6" x14ac:dyDescent="0.3">
      <c r="A2193" t="s">
        <v>66</v>
      </c>
      <c r="B2193" t="s">
        <v>67</v>
      </c>
      <c r="C2193" t="str">
        <f>HYPERLINK("http://service.sap.com/sap/support/notes/1956090","1956090")</f>
        <v>1956090</v>
      </c>
      <c r="D2193">
        <v>2</v>
      </c>
      <c r="E2193" t="s">
        <v>2638</v>
      </c>
      <c r="F2193" t="s">
        <v>17</v>
      </c>
    </row>
    <row r="2194" spans="1:6" x14ac:dyDescent="0.3">
      <c r="A2194" t="s">
        <v>66</v>
      </c>
      <c r="B2194" t="s">
        <v>67</v>
      </c>
      <c r="C2194" t="str">
        <f>HYPERLINK("http://service.sap.com/sap/support/notes/1956835","1956835")</f>
        <v>1956835</v>
      </c>
      <c r="D2194">
        <v>2</v>
      </c>
      <c r="E2194" t="s">
        <v>2639</v>
      </c>
      <c r="F2194" t="s">
        <v>17</v>
      </c>
    </row>
    <row r="2195" spans="1:6" x14ac:dyDescent="0.3">
      <c r="A2195" t="s">
        <v>66</v>
      </c>
      <c r="B2195" t="s">
        <v>67</v>
      </c>
      <c r="C2195" t="str">
        <f>HYPERLINK("http://service.sap.com/sap/support/notes/1964964","1964964")</f>
        <v>1964964</v>
      </c>
      <c r="D2195">
        <v>2</v>
      </c>
      <c r="E2195" t="s">
        <v>2640</v>
      </c>
      <c r="F2195" t="s">
        <v>17</v>
      </c>
    </row>
    <row r="2196" spans="1:6" x14ac:dyDescent="0.3">
      <c r="A2196" t="s">
        <v>66</v>
      </c>
      <c r="B2196" t="s">
        <v>67</v>
      </c>
      <c r="C2196" t="str">
        <f>HYPERLINK("http://service.sap.com/sap/support/notes/1968272","1968272")</f>
        <v>1968272</v>
      </c>
      <c r="D2196">
        <v>2</v>
      </c>
      <c r="E2196" t="s">
        <v>2641</v>
      </c>
      <c r="F2196" t="s">
        <v>17</v>
      </c>
    </row>
    <row r="2197" spans="1:6" x14ac:dyDescent="0.3">
      <c r="A2197" t="s">
        <v>66</v>
      </c>
      <c r="B2197" t="s">
        <v>67</v>
      </c>
      <c r="C2197" t="str">
        <f>HYPERLINK("http://service.sap.com/sap/support/notes/1976216","1976216")</f>
        <v>1976216</v>
      </c>
      <c r="D2197">
        <v>1</v>
      </c>
      <c r="E2197" t="s">
        <v>2642</v>
      </c>
      <c r="F2197" t="s">
        <v>17</v>
      </c>
    </row>
    <row r="2198" spans="1:6" x14ac:dyDescent="0.3">
      <c r="A2198" t="s">
        <v>66</v>
      </c>
      <c r="B2198" t="s">
        <v>67</v>
      </c>
      <c r="C2198" t="str">
        <f>HYPERLINK("http://service.sap.com/sap/support/notes/1977023","1977023")</f>
        <v>1977023</v>
      </c>
      <c r="D2198">
        <v>2</v>
      </c>
      <c r="E2198" t="s">
        <v>2643</v>
      </c>
      <c r="F2198" t="s">
        <v>17</v>
      </c>
    </row>
    <row r="2199" spans="1:6" x14ac:dyDescent="0.3">
      <c r="A2199" t="s">
        <v>66</v>
      </c>
      <c r="B2199" t="s">
        <v>67</v>
      </c>
      <c r="C2199" t="str">
        <f>HYPERLINK("http://service.sap.com/sap/support/notes/1981820","1981820")</f>
        <v>1981820</v>
      </c>
      <c r="D2199">
        <v>1</v>
      </c>
      <c r="E2199" t="s">
        <v>2644</v>
      </c>
      <c r="F2199" t="s">
        <v>17</v>
      </c>
    </row>
    <row r="2200" spans="1:6" x14ac:dyDescent="0.3">
      <c r="A2200" t="s">
        <v>66</v>
      </c>
      <c r="B2200" t="s">
        <v>67</v>
      </c>
      <c r="C2200" t="str">
        <f>HYPERLINK("http://service.sap.com/sap/support/notes/1982132","1982132")</f>
        <v>1982132</v>
      </c>
      <c r="D2200">
        <v>1</v>
      </c>
      <c r="E2200" t="s">
        <v>2645</v>
      </c>
      <c r="F2200" t="s">
        <v>17</v>
      </c>
    </row>
    <row r="2201" spans="1:6" x14ac:dyDescent="0.3">
      <c r="A2201" t="s">
        <v>2646</v>
      </c>
      <c r="B2201" t="s">
        <v>1358</v>
      </c>
      <c r="C2201" t="str">
        <f>HYPERLINK("http://service.sap.com/sap/support/notes/1963301","1963301")</f>
        <v>1963301</v>
      </c>
      <c r="D2201">
        <v>5</v>
      </c>
      <c r="E2201" t="s">
        <v>2647</v>
      </c>
      <c r="F2201" t="s">
        <v>17</v>
      </c>
    </row>
    <row r="2202" spans="1:6" x14ac:dyDescent="0.3">
      <c r="A2202" t="s">
        <v>2646</v>
      </c>
      <c r="B2202" t="s">
        <v>1358</v>
      </c>
      <c r="C2202" t="str">
        <f>HYPERLINK("http://service.sap.com/sap/support/notes/1966962","1966962")</f>
        <v>1966962</v>
      </c>
      <c r="D2202">
        <v>2</v>
      </c>
      <c r="E2202" t="s">
        <v>2648</v>
      </c>
      <c r="F2202" t="s">
        <v>17</v>
      </c>
    </row>
    <row r="2203" spans="1:6" x14ac:dyDescent="0.3">
      <c r="A2203" t="s">
        <v>2649</v>
      </c>
      <c r="B2203" t="s">
        <v>2650</v>
      </c>
    </row>
    <row r="2204" spans="1:6" x14ac:dyDescent="0.3">
      <c r="A2204" t="s">
        <v>2651</v>
      </c>
      <c r="B2204" t="s">
        <v>2652</v>
      </c>
      <c r="C2204" t="str">
        <f>HYPERLINK("http://service.sap.com/sap/support/notes/1977921","1977921")</f>
        <v>1977921</v>
      </c>
      <c r="D2204">
        <v>1</v>
      </c>
      <c r="E2204" t="s">
        <v>2653</v>
      </c>
      <c r="F2204" t="s">
        <v>13</v>
      </c>
    </row>
    <row r="2205" spans="1:6" x14ac:dyDescent="0.3">
      <c r="A2205" t="s">
        <v>79</v>
      </c>
      <c r="B2205" t="s">
        <v>80</v>
      </c>
    </row>
    <row r="2206" spans="1:6" x14ac:dyDescent="0.3">
      <c r="A2206" t="s">
        <v>1865</v>
      </c>
      <c r="B2206" t="s">
        <v>1866</v>
      </c>
    </row>
    <row r="2207" spans="1:6" x14ac:dyDescent="0.3">
      <c r="A2207" t="s">
        <v>1867</v>
      </c>
      <c r="B2207" t="s">
        <v>1868</v>
      </c>
    </row>
    <row r="2208" spans="1:6" x14ac:dyDescent="0.3">
      <c r="A2208" t="s">
        <v>1872</v>
      </c>
      <c r="B2208" t="s">
        <v>61</v>
      </c>
      <c r="C2208" t="str">
        <f>HYPERLINK("http://service.sap.com/sap/support/notes/1958741","1958741")</f>
        <v>1958741</v>
      </c>
      <c r="D2208">
        <v>1</v>
      </c>
      <c r="E2208" t="s">
        <v>2654</v>
      </c>
      <c r="F2208" t="s">
        <v>17</v>
      </c>
    </row>
    <row r="2209" spans="1:6" x14ac:dyDescent="0.3">
      <c r="A2209" t="s">
        <v>84</v>
      </c>
      <c r="B2209" t="s">
        <v>85</v>
      </c>
    </row>
    <row r="2210" spans="1:6" x14ac:dyDescent="0.3">
      <c r="A2210" t="s">
        <v>86</v>
      </c>
      <c r="B2210" t="s">
        <v>87</v>
      </c>
    </row>
    <row r="2211" spans="1:6" x14ac:dyDescent="0.3">
      <c r="A2211" t="s">
        <v>88</v>
      </c>
      <c r="B2211" t="s">
        <v>89</v>
      </c>
      <c r="C2211" t="str">
        <f>HYPERLINK("http://service.sap.com/sap/support/notes/1965035","1965035")</f>
        <v>1965035</v>
      </c>
      <c r="D2211">
        <v>1</v>
      </c>
      <c r="E2211" t="s">
        <v>2655</v>
      </c>
      <c r="F2211" t="s">
        <v>17</v>
      </c>
    </row>
    <row r="2212" spans="1:6" x14ac:dyDescent="0.3">
      <c r="A2212" t="s">
        <v>91</v>
      </c>
      <c r="B2212" t="s">
        <v>92</v>
      </c>
      <c r="C2212" t="str">
        <f>HYPERLINK("http://service.sap.com/sap/support/notes/1906078","1906078")</f>
        <v>1906078</v>
      </c>
      <c r="D2212">
        <v>38</v>
      </c>
      <c r="E2212" t="s">
        <v>2656</v>
      </c>
      <c r="F2212" t="s">
        <v>17</v>
      </c>
    </row>
    <row r="2213" spans="1:6" x14ac:dyDescent="0.3">
      <c r="A2213" t="s">
        <v>91</v>
      </c>
      <c r="B2213" t="s">
        <v>92</v>
      </c>
      <c r="C2213" t="str">
        <f>HYPERLINK("http://service.sap.com/sap/support/notes/1923322","1923322")</f>
        <v>1923322</v>
      </c>
      <c r="D2213">
        <v>22</v>
      </c>
      <c r="E2213" t="s">
        <v>2657</v>
      </c>
      <c r="F2213" t="s">
        <v>17</v>
      </c>
    </row>
    <row r="2214" spans="1:6" x14ac:dyDescent="0.3">
      <c r="A2214" t="s">
        <v>91</v>
      </c>
      <c r="B2214" t="s">
        <v>92</v>
      </c>
      <c r="C2214" t="str">
        <f>HYPERLINK("http://service.sap.com/sap/support/notes/1937628","1937628")</f>
        <v>1937628</v>
      </c>
      <c r="D2214">
        <v>2</v>
      </c>
      <c r="E2214" t="s">
        <v>2658</v>
      </c>
      <c r="F2214" t="s">
        <v>13</v>
      </c>
    </row>
    <row r="2215" spans="1:6" x14ac:dyDescent="0.3">
      <c r="A2215" t="s">
        <v>91</v>
      </c>
      <c r="B2215" t="s">
        <v>92</v>
      </c>
      <c r="C2215" t="str">
        <f>HYPERLINK("http://service.sap.com/sap/support/notes/1948079","1948079")</f>
        <v>1948079</v>
      </c>
      <c r="D2215">
        <v>2</v>
      </c>
      <c r="E2215" t="s">
        <v>2659</v>
      </c>
      <c r="F2215" t="s">
        <v>13</v>
      </c>
    </row>
    <row r="2216" spans="1:6" x14ac:dyDescent="0.3">
      <c r="A2216" t="s">
        <v>91</v>
      </c>
      <c r="B2216" t="s">
        <v>92</v>
      </c>
      <c r="C2216" t="str">
        <f>HYPERLINK("http://service.sap.com/sap/support/notes/1965913","1965913")</f>
        <v>1965913</v>
      </c>
      <c r="D2216">
        <v>2</v>
      </c>
      <c r="E2216" t="s">
        <v>2660</v>
      </c>
      <c r="F2216" t="s">
        <v>17</v>
      </c>
    </row>
    <row r="2217" spans="1:6" x14ac:dyDescent="0.3">
      <c r="A2217" t="s">
        <v>91</v>
      </c>
      <c r="B2217" t="s">
        <v>92</v>
      </c>
      <c r="C2217" t="str">
        <f>HYPERLINK("http://service.sap.com/sap/support/notes/1973908","1973908")</f>
        <v>1973908</v>
      </c>
      <c r="D2217">
        <v>2</v>
      </c>
      <c r="E2217" t="s">
        <v>2661</v>
      </c>
      <c r="F2217" t="s">
        <v>17</v>
      </c>
    </row>
    <row r="2218" spans="1:6" x14ac:dyDescent="0.3">
      <c r="A2218" t="s">
        <v>91</v>
      </c>
      <c r="B2218" t="s">
        <v>92</v>
      </c>
      <c r="C2218" t="str">
        <f>HYPERLINK("http://service.sap.com/sap/support/notes/1979145","1979145")</f>
        <v>1979145</v>
      </c>
      <c r="D2218">
        <v>1</v>
      </c>
      <c r="E2218" t="s">
        <v>2662</v>
      </c>
      <c r="F2218" t="s">
        <v>13</v>
      </c>
    </row>
    <row r="2219" spans="1:6" x14ac:dyDescent="0.3">
      <c r="A2219" t="s">
        <v>91</v>
      </c>
      <c r="B2219" t="s">
        <v>92</v>
      </c>
      <c r="C2219" t="str">
        <f>HYPERLINK("http://service.sap.com/sap/support/notes/1979403","1979403")</f>
        <v>1979403</v>
      </c>
      <c r="D2219">
        <v>1</v>
      </c>
      <c r="E2219" t="s">
        <v>2663</v>
      </c>
      <c r="F2219" t="s">
        <v>13</v>
      </c>
    </row>
    <row r="2220" spans="1:6" x14ac:dyDescent="0.3">
      <c r="A2220" t="s">
        <v>91</v>
      </c>
      <c r="B2220" t="s">
        <v>92</v>
      </c>
      <c r="C2220" t="str">
        <f>HYPERLINK("http://service.sap.com/sap/support/notes/1985498","1985498")</f>
        <v>1985498</v>
      </c>
      <c r="D2220">
        <v>1</v>
      </c>
      <c r="E2220" t="s">
        <v>2664</v>
      </c>
      <c r="F2220" t="s">
        <v>13</v>
      </c>
    </row>
    <row r="2221" spans="1:6" x14ac:dyDescent="0.3">
      <c r="A2221" t="s">
        <v>91</v>
      </c>
      <c r="B2221" t="s">
        <v>92</v>
      </c>
      <c r="C2221" t="str">
        <f>HYPERLINK("http://service.sap.com/sap/support/notes/1989649","1989649")</f>
        <v>1989649</v>
      </c>
      <c r="D2221">
        <v>2</v>
      </c>
      <c r="E2221" t="s">
        <v>2665</v>
      </c>
      <c r="F2221" t="s">
        <v>13</v>
      </c>
    </row>
    <row r="2222" spans="1:6" x14ac:dyDescent="0.3">
      <c r="A2222" t="s">
        <v>91</v>
      </c>
      <c r="B2222" t="s">
        <v>92</v>
      </c>
      <c r="C2222" t="str">
        <f>HYPERLINK("http://service.sap.com/sap/support/notes/1990639","1990639")</f>
        <v>1990639</v>
      </c>
      <c r="D2222">
        <v>5</v>
      </c>
      <c r="E2222" t="s">
        <v>2666</v>
      </c>
      <c r="F2222" t="s">
        <v>17</v>
      </c>
    </row>
    <row r="2223" spans="1:6" x14ac:dyDescent="0.3">
      <c r="A2223" t="s">
        <v>91</v>
      </c>
      <c r="B2223" t="s">
        <v>92</v>
      </c>
      <c r="C2223" t="str">
        <f>HYPERLINK("http://service.sap.com/sap/support/notes/1993761","1993761")</f>
        <v>1993761</v>
      </c>
      <c r="D2223">
        <v>4</v>
      </c>
      <c r="E2223" t="s">
        <v>2667</v>
      </c>
      <c r="F2223" t="s">
        <v>17</v>
      </c>
    </row>
    <row r="2224" spans="1:6" x14ac:dyDescent="0.3">
      <c r="A2224" t="s">
        <v>103</v>
      </c>
      <c r="B2224" t="s">
        <v>104</v>
      </c>
    </row>
    <row r="2225" spans="1:6" x14ac:dyDescent="0.3">
      <c r="A2225" t="s">
        <v>105</v>
      </c>
      <c r="B2225" t="s">
        <v>106</v>
      </c>
    </row>
    <row r="2226" spans="1:6" x14ac:dyDescent="0.3">
      <c r="A2226" t="s">
        <v>107</v>
      </c>
      <c r="B2226" t="s">
        <v>108</v>
      </c>
      <c r="C2226" t="str">
        <f>HYPERLINK("http://service.sap.com/sap/support/notes/1950691","1950691")</f>
        <v>1950691</v>
      </c>
      <c r="D2226">
        <v>1</v>
      </c>
      <c r="E2226" t="s">
        <v>2668</v>
      </c>
      <c r="F2226" t="s">
        <v>17</v>
      </c>
    </row>
    <row r="2227" spans="1:6" x14ac:dyDescent="0.3">
      <c r="A2227" t="s">
        <v>115</v>
      </c>
      <c r="B2227" t="s">
        <v>51</v>
      </c>
    </row>
    <row r="2228" spans="1:6" x14ac:dyDescent="0.3">
      <c r="A2228" t="s">
        <v>117</v>
      </c>
      <c r="B2228" t="s">
        <v>53</v>
      </c>
      <c r="C2228" t="str">
        <f>HYPERLINK("http://service.sap.com/sap/support/notes/395134","395134")</f>
        <v>395134</v>
      </c>
      <c r="D2228">
        <v>3</v>
      </c>
      <c r="E2228" t="s">
        <v>2669</v>
      </c>
      <c r="F2228" t="s">
        <v>94</v>
      </c>
    </row>
    <row r="2229" spans="1:6" x14ac:dyDescent="0.3">
      <c r="A2229" t="s">
        <v>117</v>
      </c>
      <c r="B2229" t="s">
        <v>53</v>
      </c>
      <c r="C2229" t="str">
        <f>HYPERLINK("http://service.sap.com/sap/support/notes/695771","695771")</f>
        <v>695771</v>
      </c>
      <c r="D2229">
        <v>1</v>
      </c>
      <c r="E2229" t="s">
        <v>1892</v>
      </c>
      <c r="F2229" t="s">
        <v>94</v>
      </c>
    </row>
    <row r="2230" spans="1:6" x14ac:dyDescent="0.3">
      <c r="A2230" t="s">
        <v>117</v>
      </c>
      <c r="B2230" t="s">
        <v>53</v>
      </c>
      <c r="C2230" t="str">
        <f>HYPERLINK("http://service.sap.com/sap/support/notes/1433126","1433126")</f>
        <v>1433126</v>
      </c>
      <c r="D2230">
        <v>1</v>
      </c>
      <c r="E2230" t="s">
        <v>118</v>
      </c>
      <c r="F2230" t="s">
        <v>17</v>
      </c>
    </row>
    <row r="2231" spans="1:6" x14ac:dyDescent="0.3">
      <c r="A2231" t="s">
        <v>117</v>
      </c>
      <c r="B2231" t="s">
        <v>53</v>
      </c>
      <c r="C2231" t="str">
        <f>HYPERLINK("http://service.sap.com/sap/support/notes/1908561","1908561")</f>
        <v>1908561</v>
      </c>
      <c r="D2231">
        <v>1</v>
      </c>
      <c r="E2231" t="s">
        <v>2670</v>
      </c>
      <c r="F2231" t="s">
        <v>13</v>
      </c>
    </row>
    <row r="2232" spans="1:6" x14ac:dyDescent="0.3">
      <c r="A2232" t="s">
        <v>117</v>
      </c>
      <c r="B2232" t="s">
        <v>53</v>
      </c>
      <c r="C2232" t="str">
        <f>HYPERLINK("http://service.sap.com/sap/support/notes/1950444","1950444")</f>
        <v>1950444</v>
      </c>
      <c r="D2232">
        <v>2</v>
      </c>
      <c r="E2232" t="s">
        <v>2671</v>
      </c>
      <c r="F2232" t="s">
        <v>94</v>
      </c>
    </row>
    <row r="2233" spans="1:6" x14ac:dyDescent="0.3">
      <c r="A2233" t="s">
        <v>117</v>
      </c>
      <c r="B2233" t="s">
        <v>53</v>
      </c>
      <c r="C2233" t="str">
        <f>HYPERLINK("http://service.sap.com/sap/support/notes/1956132","1956132")</f>
        <v>1956132</v>
      </c>
      <c r="D2233">
        <v>2</v>
      </c>
      <c r="E2233" t="s">
        <v>2672</v>
      </c>
      <c r="F2233" t="s">
        <v>94</v>
      </c>
    </row>
    <row r="2234" spans="1:6" x14ac:dyDescent="0.3">
      <c r="A2234" t="s">
        <v>117</v>
      </c>
      <c r="B2234" t="s">
        <v>53</v>
      </c>
      <c r="C2234" t="str">
        <f>HYPERLINK("http://service.sap.com/sap/support/notes/1960931","1960931")</f>
        <v>1960931</v>
      </c>
      <c r="D2234">
        <v>3</v>
      </c>
      <c r="E2234" t="s">
        <v>2673</v>
      </c>
      <c r="F2234" t="s">
        <v>17</v>
      </c>
    </row>
    <row r="2235" spans="1:6" x14ac:dyDescent="0.3">
      <c r="A2235" t="s">
        <v>117</v>
      </c>
      <c r="B2235" t="s">
        <v>53</v>
      </c>
      <c r="C2235" t="str">
        <f>HYPERLINK("http://service.sap.com/sap/support/notes/1972708","1972708")</f>
        <v>1972708</v>
      </c>
      <c r="D2235">
        <v>2</v>
      </c>
      <c r="E2235" t="s">
        <v>2674</v>
      </c>
      <c r="F2235" t="s">
        <v>13</v>
      </c>
    </row>
    <row r="2236" spans="1:6" x14ac:dyDescent="0.3">
      <c r="A2236" t="s">
        <v>117</v>
      </c>
      <c r="B2236" t="s">
        <v>53</v>
      </c>
      <c r="C2236" t="str">
        <f>HYPERLINK("http://service.sap.com/sap/support/notes/1973751","1973751")</f>
        <v>1973751</v>
      </c>
      <c r="D2236">
        <v>2</v>
      </c>
      <c r="E2236" t="s">
        <v>2675</v>
      </c>
      <c r="F2236" t="s">
        <v>13</v>
      </c>
    </row>
    <row r="2237" spans="1:6" x14ac:dyDescent="0.3">
      <c r="A2237" t="s">
        <v>117</v>
      </c>
      <c r="B2237" t="s">
        <v>53</v>
      </c>
      <c r="C2237" t="str">
        <f>HYPERLINK("http://service.sap.com/sap/support/notes/1980354","1980354")</f>
        <v>1980354</v>
      </c>
      <c r="D2237">
        <v>3</v>
      </c>
      <c r="E2237" t="s">
        <v>2676</v>
      </c>
      <c r="F2237" t="s">
        <v>13</v>
      </c>
    </row>
    <row r="2238" spans="1:6" x14ac:dyDescent="0.3">
      <c r="A2238" t="s">
        <v>117</v>
      </c>
      <c r="B2238" t="s">
        <v>53</v>
      </c>
      <c r="C2238" t="str">
        <f>HYPERLINK("http://service.sap.com/sap/support/notes/1982083","1982083")</f>
        <v>1982083</v>
      </c>
      <c r="D2238">
        <v>1</v>
      </c>
      <c r="E2238" t="s">
        <v>2677</v>
      </c>
      <c r="F2238" t="s">
        <v>17</v>
      </c>
    </row>
    <row r="2239" spans="1:6" x14ac:dyDescent="0.3">
      <c r="A2239" t="s">
        <v>117</v>
      </c>
      <c r="B2239" t="s">
        <v>53</v>
      </c>
      <c r="C2239" t="str">
        <f>HYPERLINK("http://service.sap.com/sap/support/notes/1984098","1984098")</f>
        <v>1984098</v>
      </c>
      <c r="D2239">
        <v>1</v>
      </c>
      <c r="E2239" t="s">
        <v>2678</v>
      </c>
      <c r="F2239" t="s">
        <v>13</v>
      </c>
    </row>
    <row r="2240" spans="1:6" x14ac:dyDescent="0.3">
      <c r="A2240" t="s">
        <v>117</v>
      </c>
      <c r="B2240" t="s">
        <v>53</v>
      </c>
      <c r="C2240" t="str">
        <f>HYPERLINK("http://service.sap.com/sap/support/notes/1990178","1990178")</f>
        <v>1990178</v>
      </c>
      <c r="D2240">
        <v>1</v>
      </c>
      <c r="E2240" t="s">
        <v>2679</v>
      </c>
      <c r="F2240" t="s">
        <v>13</v>
      </c>
    </row>
    <row r="2241" spans="1:6" x14ac:dyDescent="0.3">
      <c r="A2241" t="s">
        <v>128</v>
      </c>
      <c r="B2241" t="s">
        <v>1904</v>
      </c>
      <c r="C2241" t="str">
        <f>HYPERLINK("http://service.sap.com/sap/support/notes/1980096","1980096")</f>
        <v>1980096</v>
      </c>
      <c r="D2241">
        <v>3</v>
      </c>
      <c r="E2241" t="s">
        <v>2680</v>
      </c>
      <c r="F2241" t="s">
        <v>17</v>
      </c>
    </row>
    <row r="2242" spans="1:6" x14ac:dyDescent="0.3">
      <c r="A2242" t="s">
        <v>130</v>
      </c>
      <c r="B2242" t="s">
        <v>131</v>
      </c>
      <c r="C2242" t="str">
        <f>HYPERLINK("http://service.sap.com/sap/support/notes/1920838","1920838")</f>
        <v>1920838</v>
      </c>
      <c r="D2242">
        <v>3</v>
      </c>
      <c r="E2242" t="s">
        <v>2681</v>
      </c>
      <c r="F2242" t="s">
        <v>17</v>
      </c>
    </row>
    <row r="2243" spans="1:6" x14ac:dyDescent="0.3">
      <c r="A2243" t="s">
        <v>130</v>
      </c>
      <c r="B2243" t="s">
        <v>131</v>
      </c>
      <c r="C2243" t="str">
        <f>HYPERLINK("http://service.sap.com/sap/support/notes/1946677","1946677")</f>
        <v>1946677</v>
      </c>
      <c r="D2243">
        <v>1</v>
      </c>
      <c r="E2243" t="s">
        <v>2682</v>
      </c>
      <c r="F2243" t="s">
        <v>17</v>
      </c>
    </row>
    <row r="2244" spans="1:6" x14ac:dyDescent="0.3">
      <c r="A2244" t="s">
        <v>130</v>
      </c>
      <c r="B2244" t="s">
        <v>131</v>
      </c>
      <c r="C2244" t="str">
        <f>HYPERLINK("http://service.sap.com/sap/support/notes/1953921","1953921")</f>
        <v>1953921</v>
      </c>
      <c r="D2244">
        <v>2</v>
      </c>
      <c r="E2244" t="s">
        <v>2683</v>
      </c>
      <c r="F2244" t="s">
        <v>17</v>
      </c>
    </row>
    <row r="2245" spans="1:6" x14ac:dyDescent="0.3">
      <c r="A2245" t="s">
        <v>135</v>
      </c>
      <c r="B2245" t="s">
        <v>136</v>
      </c>
    </row>
    <row r="2246" spans="1:6" x14ac:dyDescent="0.3">
      <c r="A2246" t="s">
        <v>2684</v>
      </c>
      <c r="B2246" t="s">
        <v>153</v>
      </c>
      <c r="C2246" t="str">
        <f>HYPERLINK("http://service.sap.com/sap/support/notes/1944159","1944159")</f>
        <v>1944159</v>
      </c>
      <c r="D2246">
        <v>1</v>
      </c>
      <c r="E2246" t="s">
        <v>2685</v>
      </c>
      <c r="F2246" t="s">
        <v>17</v>
      </c>
    </row>
    <row r="2247" spans="1:6" x14ac:dyDescent="0.3">
      <c r="A2247" t="s">
        <v>140</v>
      </c>
      <c r="B2247" t="s">
        <v>131</v>
      </c>
      <c r="C2247" t="str">
        <f>HYPERLINK("http://service.sap.com/sap/support/notes/1026112","1026112")</f>
        <v>1026112</v>
      </c>
      <c r="D2247">
        <v>7</v>
      </c>
      <c r="E2247" t="s">
        <v>2686</v>
      </c>
      <c r="F2247" t="s">
        <v>17</v>
      </c>
    </row>
    <row r="2248" spans="1:6" x14ac:dyDescent="0.3">
      <c r="A2248" t="s">
        <v>140</v>
      </c>
      <c r="B2248" t="s">
        <v>131</v>
      </c>
      <c r="C2248" t="str">
        <f>HYPERLINK("http://service.sap.com/sap/support/notes/1915567","1915567")</f>
        <v>1915567</v>
      </c>
      <c r="D2248">
        <v>6</v>
      </c>
      <c r="E2248" t="s">
        <v>2687</v>
      </c>
      <c r="F2248" t="s">
        <v>17</v>
      </c>
    </row>
    <row r="2249" spans="1:6" x14ac:dyDescent="0.3">
      <c r="A2249" t="s">
        <v>140</v>
      </c>
      <c r="B2249" t="s">
        <v>131</v>
      </c>
      <c r="C2249" t="str">
        <f>HYPERLINK("http://service.sap.com/sap/support/notes/1922886","1922886")</f>
        <v>1922886</v>
      </c>
      <c r="D2249">
        <v>2</v>
      </c>
      <c r="E2249" t="s">
        <v>2688</v>
      </c>
      <c r="F2249" t="s">
        <v>17</v>
      </c>
    </row>
    <row r="2250" spans="1:6" x14ac:dyDescent="0.3">
      <c r="A2250" t="s">
        <v>140</v>
      </c>
      <c r="B2250" t="s">
        <v>131</v>
      </c>
      <c r="C2250" t="str">
        <f>HYPERLINK("http://service.sap.com/sap/support/notes/1939798","1939798")</f>
        <v>1939798</v>
      </c>
      <c r="D2250">
        <v>6</v>
      </c>
      <c r="E2250" t="s">
        <v>2689</v>
      </c>
      <c r="F2250" t="s">
        <v>11</v>
      </c>
    </row>
    <row r="2251" spans="1:6" x14ac:dyDescent="0.3">
      <c r="A2251" t="s">
        <v>140</v>
      </c>
      <c r="B2251" t="s">
        <v>131</v>
      </c>
      <c r="C2251" t="str">
        <f>HYPERLINK("http://service.sap.com/sap/support/notes/1942691","1942691")</f>
        <v>1942691</v>
      </c>
      <c r="D2251">
        <v>2</v>
      </c>
      <c r="E2251" t="s">
        <v>2690</v>
      </c>
      <c r="F2251" t="s">
        <v>17</v>
      </c>
    </row>
    <row r="2252" spans="1:6" x14ac:dyDescent="0.3">
      <c r="A2252" t="s">
        <v>140</v>
      </c>
      <c r="B2252" t="s">
        <v>131</v>
      </c>
      <c r="C2252" t="str">
        <f>HYPERLINK("http://service.sap.com/sap/support/notes/1962182","1962182")</f>
        <v>1962182</v>
      </c>
      <c r="D2252">
        <v>2</v>
      </c>
      <c r="E2252" t="s">
        <v>2691</v>
      </c>
      <c r="F2252" t="s">
        <v>17</v>
      </c>
    </row>
    <row r="2253" spans="1:6" x14ac:dyDescent="0.3">
      <c r="A2253" t="s">
        <v>140</v>
      </c>
      <c r="B2253" t="s">
        <v>131</v>
      </c>
      <c r="C2253" t="str">
        <f>HYPERLINK("http://service.sap.com/sap/support/notes/1985298","1985298")</f>
        <v>1985298</v>
      </c>
      <c r="D2253">
        <v>3</v>
      </c>
      <c r="E2253" t="s">
        <v>2692</v>
      </c>
      <c r="F2253" t="s">
        <v>17</v>
      </c>
    </row>
    <row r="2254" spans="1:6" x14ac:dyDescent="0.3">
      <c r="A2254" t="s">
        <v>147</v>
      </c>
      <c r="B2254" t="s">
        <v>148</v>
      </c>
    </row>
    <row r="2255" spans="1:6" x14ac:dyDescent="0.3">
      <c r="A2255" t="s">
        <v>149</v>
      </c>
      <c r="B2255" t="s">
        <v>138</v>
      </c>
      <c r="C2255" t="str">
        <f>HYPERLINK("http://service.sap.com/sap/support/notes/1968572","1968572")</f>
        <v>1968572</v>
      </c>
      <c r="D2255">
        <v>8</v>
      </c>
      <c r="E2255" t="s">
        <v>2693</v>
      </c>
      <c r="F2255" t="s">
        <v>17</v>
      </c>
    </row>
    <row r="2256" spans="1:6" x14ac:dyDescent="0.3">
      <c r="A2256" t="s">
        <v>149</v>
      </c>
      <c r="B2256" t="s">
        <v>138</v>
      </c>
      <c r="C2256" t="str">
        <f>HYPERLINK("http://service.sap.com/sap/support/notes/1977863","1977863")</f>
        <v>1977863</v>
      </c>
      <c r="D2256">
        <v>4</v>
      </c>
      <c r="E2256" t="s">
        <v>2694</v>
      </c>
      <c r="F2256" t="s">
        <v>17</v>
      </c>
    </row>
    <row r="2257" spans="1:6" x14ac:dyDescent="0.3">
      <c r="A2257" t="s">
        <v>149</v>
      </c>
      <c r="B2257" t="s">
        <v>138</v>
      </c>
      <c r="C2257" t="str">
        <f>HYPERLINK("http://service.sap.com/sap/support/notes/1988603","1988603")</f>
        <v>1988603</v>
      </c>
      <c r="D2257">
        <v>3</v>
      </c>
      <c r="E2257" t="s">
        <v>2695</v>
      </c>
      <c r="F2257" t="s">
        <v>17</v>
      </c>
    </row>
    <row r="2258" spans="1:6" x14ac:dyDescent="0.3">
      <c r="A2258" t="s">
        <v>152</v>
      </c>
      <c r="B2258" t="s">
        <v>153</v>
      </c>
      <c r="C2258" t="str">
        <f>HYPERLINK("http://service.sap.com/sap/support/notes/1981161","1981161")</f>
        <v>1981161</v>
      </c>
      <c r="D2258">
        <v>1</v>
      </c>
      <c r="E2258" t="s">
        <v>2696</v>
      </c>
      <c r="F2258" t="s">
        <v>17</v>
      </c>
    </row>
    <row r="2259" spans="1:6" x14ac:dyDescent="0.3">
      <c r="A2259" t="s">
        <v>152</v>
      </c>
      <c r="B2259" t="s">
        <v>153</v>
      </c>
      <c r="C2259" t="str">
        <f>HYPERLINK("http://service.sap.com/sap/support/notes/1990210","1990210")</f>
        <v>1990210</v>
      </c>
      <c r="D2259">
        <v>2</v>
      </c>
      <c r="E2259" t="s">
        <v>2697</v>
      </c>
      <c r="F2259" t="s">
        <v>17</v>
      </c>
    </row>
    <row r="2260" spans="1:6" x14ac:dyDescent="0.3">
      <c r="A2260" t="s">
        <v>152</v>
      </c>
      <c r="B2260" t="s">
        <v>153</v>
      </c>
      <c r="C2260" t="str">
        <f>HYPERLINK("http://service.sap.com/sap/support/notes/1991854","1991854")</f>
        <v>1991854</v>
      </c>
      <c r="D2260">
        <v>3</v>
      </c>
      <c r="E2260" t="s">
        <v>2698</v>
      </c>
      <c r="F2260" t="s">
        <v>17</v>
      </c>
    </row>
    <row r="2261" spans="1:6" x14ac:dyDescent="0.3">
      <c r="A2261" t="s">
        <v>159</v>
      </c>
      <c r="B2261" t="s">
        <v>160</v>
      </c>
      <c r="C2261" t="str">
        <f>HYPERLINK("http://service.sap.com/sap/support/notes/1954211","1954211")</f>
        <v>1954211</v>
      </c>
      <c r="D2261">
        <v>4</v>
      </c>
      <c r="E2261" t="s">
        <v>2699</v>
      </c>
      <c r="F2261" t="s">
        <v>13</v>
      </c>
    </row>
    <row r="2262" spans="1:6" x14ac:dyDescent="0.3">
      <c r="A2262" t="s">
        <v>159</v>
      </c>
      <c r="B2262" t="s">
        <v>160</v>
      </c>
      <c r="C2262" t="str">
        <f>HYPERLINK("http://service.sap.com/sap/support/notes/1990172","1990172")</f>
        <v>1990172</v>
      </c>
      <c r="D2262">
        <v>2</v>
      </c>
      <c r="E2262" t="s">
        <v>2700</v>
      </c>
      <c r="F2262" t="s">
        <v>17</v>
      </c>
    </row>
    <row r="2263" spans="1:6" x14ac:dyDescent="0.3">
      <c r="A2263" t="s">
        <v>159</v>
      </c>
      <c r="B2263" t="s">
        <v>160</v>
      </c>
      <c r="C2263" t="str">
        <f>HYPERLINK("http://service.sap.com/sap/support/notes/1993702","1993702")</f>
        <v>1993702</v>
      </c>
      <c r="D2263">
        <v>1</v>
      </c>
      <c r="E2263" t="s">
        <v>2701</v>
      </c>
      <c r="F2263" t="s">
        <v>13</v>
      </c>
    </row>
    <row r="2264" spans="1:6" x14ac:dyDescent="0.3">
      <c r="A2264" t="s">
        <v>165</v>
      </c>
      <c r="B2264" t="s">
        <v>131</v>
      </c>
      <c r="C2264" t="str">
        <f>HYPERLINK("http://service.sap.com/sap/support/notes/370287","370287")</f>
        <v>370287</v>
      </c>
      <c r="D2264">
        <v>1</v>
      </c>
      <c r="E2264" t="s">
        <v>2702</v>
      </c>
      <c r="F2264" t="s">
        <v>94</v>
      </c>
    </row>
    <row r="2265" spans="1:6" x14ac:dyDescent="0.3">
      <c r="A2265" t="s">
        <v>165</v>
      </c>
      <c r="B2265" t="s">
        <v>131</v>
      </c>
      <c r="C2265" t="str">
        <f>HYPERLINK("http://service.sap.com/sap/support/notes/1925498","1925498")</f>
        <v>1925498</v>
      </c>
      <c r="D2265">
        <v>3</v>
      </c>
      <c r="E2265" t="s">
        <v>2703</v>
      </c>
      <c r="F2265" t="s">
        <v>17</v>
      </c>
    </row>
    <row r="2266" spans="1:6" x14ac:dyDescent="0.3">
      <c r="A2266" t="s">
        <v>165</v>
      </c>
      <c r="B2266" t="s">
        <v>131</v>
      </c>
      <c r="C2266" t="str">
        <f>HYPERLINK("http://service.sap.com/sap/support/notes/1927000","1927000")</f>
        <v>1927000</v>
      </c>
      <c r="D2266">
        <v>1</v>
      </c>
      <c r="E2266" t="s">
        <v>2704</v>
      </c>
      <c r="F2266" t="s">
        <v>17</v>
      </c>
    </row>
    <row r="2267" spans="1:6" x14ac:dyDescent="0.3">
      <c r="A2267" t="s">
        <v>165</v>
      </c>
      <c r="B2267" t="s">
        <v>131</v>
      </c>
      <c r="C2267" t="str">
        <f>HYPERLINK("http://service.sap.com/sap/support/notes/1943987","1943987")</f>
        <v>1943987</v>
      </c>
      <c r="D2267">
        <v>1</v>
      </c>
      <c r="E2267" t="s">
        <v>2705</v>
      </c>
      <c r="F2267" t="s">
        <v>17</v>
      </c>
    </row>
    <row r="2268" spans="1:6" x14ac:dyDescent="0.3">
      <c r="A2268" t="s">
        <v>165</v>
      </c>
      <c r="B2268" t="s">
        <v>131</v>
      </c>
      <c r="C2268" t="str">
        <f>HYPERLINK("http://service.sap.com/sap/support/notes/1950946","1950946")</f>
        <v>1950946</v>
      </c>
      <c r="D2268">
        <v>2</v>
      </c>
      <c r="E2268" t="s">
        <v>2706</v>
      </c>
      <c r="F2268" t="s">
        <v>17</v>
      </c>
    </row>
    <row r="2269" spans="1:6" x14ac:dyDescent="0.3">
      <c r="A2269" t="s">
        <v>165</v>
      </c>
      <c r="B2269" t="s">
        <v>131</v>
      </c>
      <c r="C2269" t="str">
        <f>HYPERLINK("http://service.sap.com/sap/support/notes/1953887","1953887")</f>
        <v>1953887</v>
      </c>
      <c r="D2269">
        <v>2</v>
      </c>
      <c r="E2269" t="s">
        <v>2707</v>
      </c>
      <c r="F2269" t="s">
        <v>17</v>
      </c>
    </row>
    <row r="2270" spans="1:6" x14ac:dyDescent="0.3">
      <c r="A2270" t="s">
        <v>165</v>
      </c>
      <c r="B2270" t="s">
        <v>131</v>
      </c>
      <c r="C2270" t="str">
        <f>HYPERLINK("http://service.sap.com/sap/support/notes/1957929","1957929")</f>
        <v>1957929</v>
      </c>
      <c r="D2270">
        <v>1</v>
      </c>
      <c r="E2270" t="s">
        <v>2708</v>
      </c>
      <c r="F2270" t="s">
        <v>94</v>
      </c>
    </row>
    <row r="2271" spans="1:6" x14ac:dyDescent="0.3">
      <c r="A2271" t="s">
        <v>175</v>
      </c>
      <c r="B2271" t="s">
        <v>2709</v>
      </c>
      <c r="C2271" t="str">
        <f>HYPERLINK("http://service.sap.com/sap/support/notes/1985233","1985233")</f>
        <v>1985233</v>
      </c>
      <c r="D2271">
        <v>1</v>
      </c>
      <c r="E2271" t="s">
        <v>2710</v>
      </c>
      <c r="F2271" t="s">
        <v>17</v>
      </c>
    </row>
    <row r="2272" spans="1:6" x14ac:dyDescent="0.3">
      <c r="A2272" t="s">
        <v>179</v>
      </c>
      <c r="B2272" t="s">
        <v>160</v>
      </c>
      <c r="C2272" t="str">
        <f>HYPERLINK("http://service.sap.com/sap/support/notes/1943524","1943524")</f>
        <v>1943524</v>
      </c>
      <c r="D2272">
        <v>3</v>
      </c>
      <c r="E2272" t="s">
        <v>2711</v>
      </c>
      <c r="F2272" t="s">
        <v>17</v>
      </c>
    </row>
    <row r="2273" spans="1:6" x14ac:dyDescent="0.3">
      <c r="A2273" t="s">
        <v>181</v>
      </c>
      <c r="B2273" t="s">
        <v>182</v>
      </c>
      <c r="C2273" t="str">
        <f>HYPERLINK("http://service.sap.com/sap/support/notes/1885689","1885689")</f>
        <v>1885689</v>
      </c>
      <c r="D2273">
        <v>1</v>
      </c>
      <c r="E2273" t="s">
        <v>2712</v>
      </c>
      <c r="F2273" t="s">
        <v>13</v>
      </c>
    </row>
    <row r="2274" spans="1:6" x14ac:dyDescent="0.3">
      <c r="A2274" t="s">
        <v>181</v>
      </c>
      <c r="B2274" t="s">
        <v>182</v>
      </c>
      <c r="C2274" t="str">
        <f>HYPERLINK("http://service.sap.com/sap/support/notes/1971727","1971727")</f>
        <v>1971727</v>
      </c>
      <c r="D2274">
        <v>2</v>
      </c>
      <c r="E2274" t="s">
        <v>2713</v>
      </c>
      <c r="F2274" t="s">
        <v>17</v>
      </c>
    </row>
    <row r="2275" spans="1:6" x14ac:dyDescent="0.3">
      <c r="A2275" t="s">
        <v>181</v>
      </c>
      <c r="B2275" t="s">
        <v>182</v>
      </c>
      <c r="C2275" t="str">
        <f>HYPERLINK("http://service.sap.com/sap/support/notes/1976239","1976239")</f>
        <v>1976239</v>
      </c>
      <c r="D2275">
        <v>4</v>
      </c>
      <c r="E2275" t="s">
        <v>2714</v>
      </c>
      <c r="F2275" t="s">
        <v>17</v>
      </c>
    </row>
    <row r="2276" spans="1:6" x14ac:dyDescent="0.3">
      <c r="A2276" t="s">
        <v>181</v>
      </c>
      <c r="B2276" t="s">
        <v>182</v>
      </c>
      <c r="C2276" t="str">
        <f>HYPERLINK("http://service.sap.com/sap/support/notes/1984101","1984101")</f>
        <v>1984101</v>
      </c>
      <c r="D2276">
        <v>1</v>
      </c>
      <c r="E2276" t="s">
        <v>2715</v>
      </c>
      <c r="F2276" t="s">
        <v>13</v>
      </c>
    </row>
    <row r="2277" spans="1:6" x14ac:dyDescent="0.3">
      <c r="A2277" t="s">
        <v>181</v>
      </c>
      <c r="B2277" t="s">
        <v>182</v>
      </c>
      <c r="C2277" t="str">
        <f>HYPERLINK("http://service.sap.com/sap/support/notes/1989925","1989925")</f>
        <v>1989925</v>
      </c>
      <c r="D2277">
        <v>1</v>
      </c>
      <c r="E2277" t="s">
        <v>2716</v>
      </c>
      <c r="F2277" t="s">
        <v>13</v>
      </c>
    </row>
    <row r="2278" spans="1:6" x14ac:dyDescent="0.3">
      <c r="A2278" t="s">
        <v>187</v>
      </c>
      <c r="B2278" t="s">
        <v>188</v>
      </c>
    </row>
    <row r="2279" spans="1:6" x14ac:dyDescent="0.3">
      <c r="A2279" t="s">
        <v>189</v>
      </c>
      <c r="B2279" t="s">
        <v>138</v>
      </c>
      <c r="C2279" t="str">
        <f>HYPERLINK("http://service.sap.com/sap/support/notes/1958976","1958976")</f>
        <v>1958976</v>
      </c>
      <c r="D2279">
        <v>4</v>
      </c>
      <c r="E2279" t="s">
        <v>2717</v>
      </c>
      <c r="F2279" t="s">
        <v>13</v>
      </c>
    </row>
    <row r="2280" spans="1:6" x14ac:dyDescent="0.3">
      <c r="A2280" t="s">
        <v>195</v>
      </c>
      <c r="B2280" t="s">
        <v>153</v>
      </c>
      <c r="C2280" t="str">
        <f>HYPERLINK("http://service.sap.com/sap/support/notes/1933923","1933923")</f>
        <v>1933923</v>
      </c>
      <c r="D2280">
        <v>2</v>
      </c>
      <c r="E2280" t="s">
        <v>2718</v>
      </c>
      <c r="F2280" t="s">
        <v>17</v>
      </c>
    </row>
    <row r="2281" spans="1:6" x14ac:dyDescent="0.3">
      <c r="A2281" t="s">
        <v>195</v>
      </c>
      <c r="B2281" t="s">
        <v>153</v>
      </c>
      <c r="C2281" t="str">
        <f>HYPERLINK("http://service.sap.com/sap/support/notes/1958174","1958174")</f>
        <v>1958174</v>
      </c>
      <c r="D2281">
        <v>2</v>
      </c>
      <c r="E2281" t="s">
        <v>2719</v>
      </c>
      <c r="F2281" t="s">
        <v>17</v>
      </c>
    </row>
    <row r="2282" spans="1:6" x14ac:dyDescent="0.3">
      <c r="A2282" t="s">
        <v>195</v>
      </c>
      <c r="B2282" t="s">
        <v>153</v>
      </c>
      <c r="C2282" t="str">
        <f>HYPERLINK("http://service.sap.com/sap/support/notes/1979366","1979366")</f>
        <v>1979366</v>
      </c>
      <c r="D2282">
        <v>1</v>
      </c>
      <c r="E2282" t="s">
        <v>2720</v>
      </c>
      <c r="F2282" t="s">
        <v>17</v>
      </c>
    </row>
    <row r="2283" spans="1:6" x14ac:dyDescent="0.3">
      <c r="A2283" t="s">
        <v>197</v>
      </c>
      <c r="B2283" t="s">
        <v>198</v>
      </c>
      <c r="C2283" t="str">
        <f>HYPERLINK("http://service.sap.com/sap/support/notes/1947698","1947698")</f>
        <v>1947698</v>
      </c>
      <c r="D2283">
        <v>2</v>
      </c>
      <c r="E2283" t="s">
        <v>2721</v>
      </c>
      <c r="F2283" t="s">
        <v>17</v>
      </c>
    </row>
    <row r="2284" spans="1:6" x14ac:dyDescent="0.3">
      <c r="A2284" t="s">
        <v>197</v>
      </c>
      <c r="B2284" t="s">
        <v>198</v>
      </c>
      <c r="C2284" t="str">
        <f>HYPERLINK("http://service.sap.com/sap/support/notes/1973334","1973334")</f>
        <v>1973334</v>
      </c>
      <c r="D2284">
        <v>3</v>
      </c>
      <c r="E2284" t="s">
        <v>2722</v>
      </c>
      <c r="F2284" t="s">
        <v>17</v>
      </c>
    </row>
    <row r="2285" spans="1:6" x14ac:dyDescent="0.3">
      <c r="A2285" t="s">
        <v>205</v>
      </c>
      <c r="B2285" t="s">
        <v>157</v>
      </c>
      <c r="C2285" t="str">
        <f>HYPERLINK("http://service.sap.com/sap/support/notes/1956948","1956948")</f>
        <v>1956948</v>
      </c>
      <c r="D2285">
        <v>5</v>
      </c>
      <c r="E2285" t="s">
        <v>2723</v>
      </c>
      <c r="F2285" t="s">
        <v>17</v>
      </c>
    </row>
    <row r="2286" spans="1:6" x14ac:dyDescent="0.3">
      <c r="A2286" t="s">
        <v>208</v>
      </c>
      <c r="B2286" t="s">
        <v>131</v>
      </c>
      <c r="C2286" t="str">
        <f>HYPERLINK("http://service.sap.com/sap/support/notes/1760796","1760796")</f>
        <v>1760796</v>
      </c>
      <c r="D2286">
        <v>1</v>
      </c>
      <c r="E2286" t="s">
        <v>211</v>
      </c>
      <c r="F2286" t="s">
        <v>17</v>
      </c>
    </row>
    <row r="2287" spans="1:6" x14ac:dyDescent="0.3">
      <c r="A2287" t="s">
        <v>208</v>
      </c>
      <c r="B2287" t="s">
        <v>131</v>
      </c>
      <c r="C2287" t="str">
        <f>HYPERLINK("http://service.sap.com/sap/support/notes/1912791","1912791")</f>
        <v>1912791</v>
      </c>
      <c r="D2287">
        <v>1</v>
      </c>
      <c r="E2287" t="s">
        <v>2724</v>
      </c>
      <c r="F2287" t="s">
        <v>17</v>
      </c>
    </row>
    <row r="2288" spans="1:6" x14ac:dyDescent="0.3">
      <c r="A2288" t="s">
        <v>208</v>
      </c>
      <c r="B2288" t="s">
        <v>131</v>
      </c>
      <c r="C2288" t="str">
        <f>HYPERLINK("http://service.sap.com/sap/support/notes/1954141","1954141")</f>
        <v>1954141</v>
      </c>
      <c r="D2288">
        <v>2</v>
      </c>
      <c r="E2288" t="s">
        <v>2725</v>
      </c>
      <c r="F2288" t="s">
        <v>17</v>
      </c>
    </row>
    <row r="2289" spans="1:6" x14ac:dyDescent="0.3">
      <c r="A2289" t="s">
        <v>208</v>
      </c>
      <c r="B2289" t="s">
        <v>131</v>
      </c>
      <c r="C2289" t="str">
        <f>HYPERLINK("http://service.sap.com/sap/support/notes/1954531","1954531")</f>
        <v>1954531</v>
      </c>
      <c r="D2289">
        <v>3</v>
      </c>
      <c r="E2289" t="s">
        <v>2726</v>
      </c>
      <c r="F2289" t="s">
        <v>17</v>
      </c>
    </row>
    <row r="2290" spans="1:6" x14ac:dyDescent="0.3">
      <c r="A2290" t="s">
        <v>208</v>
      </c>
      <c r="B2290" t="s">
        <v>131</v>
      </c>
      <c r="C2290" t="str">
        <f>HYPERLINK("http://service.sap.com/sap/support/notes/1969786","1969786")</f>
        <v>1969786</v>
      </c>
      <c r="D2290">
        <v>3</v>
      </c>
      <c r="E2290" t="s">
        <v>2727</v>
      </c>
      <c r="F2290" t="s">
        <v>17</v>
      </c>
    </row>
    <row r="2291" spans="1:6" x14ac:dyDescent="0.3">
      <c r="A2291" t="s">
        <v>208</v>
      </c>
      <c r="B2291" t="s">
        <v>131</v>
      </c>
      <c r="C2291" t="str">
        <f>HYPERLINK("http://service.sap.com/sap/support/notes/1970127","1970127")</f>
        <v>1970127</v>
      </c>
      <c r="D2291">
        <v>2</v>
      </c>
      <c r="E2291" t="s">
        <v>2728</v>
      </c>
      <c r="F2291" t="s">
        <v>17</v>
      </c>
    </row>
    <row r="2292" spans="1:6" x14ac:dyDescent="0.3">
      <c r="A2292" t="s">
        <v>208</v>
      </c>
      <c r="B2292" t="s">
        <v>131</v>
      </c>
      <c r="C2292" t="str">
        <f>HYPERLINK("http://service.sap.com/sap/support/notes/1975282","1975282")</f>
        <v>1975282</v>
      </c>
      <c r="D2292">
        <v>9</v>
      </c>
      <c r="E2292" t="s">
        <v>2729</v>
      </c>
      <c r="F2292" t="s">
        <v>17</v>
      </c>
    </row>
    <row r="2293" spans="1:6" x14ac:dyDescent="0.3">
      <c r="A2293" t="s">
        <v>223</v>
      </c>
      <c r="B2293" t="s">
        <v>224</v>
      </c>
      <c r="C2293" t="str">
        <f>HYPERLINK("http://service.sap.com/sap/support/notes/1761277","1761277")</f>
        <v>1761277</v>
      </c>
      <c r="D2293">
        <v>10</v>
      </c>
      <c r="E2293" t="s">
        <v>2730</v>
      </c>
      <c r="F2293" t="s">
        <v>11</v>
      </c>
    </row>
    <row r="2294" spans="1:6" x14ac:dyDescent="0.3">
      <c r="A2294" t="s">
        <v>223</v>
      </c>
      <c r="B2294" t="s">
        <v>224</v>
      </c>
      <c r="C2294" t="str">
        <f>HYPERLINK("http://service.sap.com/sap/support/notes/1933479","1933479")</f>
        <v>1933479</v>
      </c>
      <c r="D2294">
        <v>5</v>
      </c>
      <c r="E2294" t="s">
        <v>1935</v>
      </c>
      <c r="F2294" t="s">
        <v>17</v>
      </c>
    </row>
    <row r="2295" spans="1:6" x14ac:dyDescent="0.3">
      <c r="A2295" t="s">
        <v>223</v>
      </c>
      <c r="B2295" t="s">
        <v>224</v>
      </c>
      <c r="C2295" t="str">
        <f>HYPERLINK("http://service.sap.com/sap/support/notes/1937444","1937444")</f>
        <v>1937444</v>
      </c>
      <c r="D2295">
        <v>2</v>
      </c>
      <c r="E2295" t="s">
        <v>2731</v>
      </c>
      <c r="F2295" t="s">
        <v>17</v>
      </c>
    </row>
    <row r="2296" spans="1:6" x14ac:dyDescent="0.3">
      <c r="A2296" t="s">
        <v>223</v>
      </c>
      <c r="B2296" t="s">
        <v>224</v>
      </c>
      <c r="C2296" t="str">
        <f>HYPERLINK("http://service.sap.com/sap/support/notes/1957460","1957460")</f>
        <v>1957460</v>
      </c>
      <c r="D2296">
        <v>2</v>
      </c>
      <c r="E2296" t="s">
        <v>2732</v>
      </c>
      <c r="F2296" t="s">
        <v>13</v>
      </c>
    </row>
    <row r="2297" spans="1:6" x14ac:dyDescent="0.3">
      <c r="A2297" t="s">
        <v>223</v>
      </c>
      <c r="B2297" t="s">
        <v>224</v>
      </c>
      <c r="C2297" t="str">
        <f>HYPERLINK("http://service.sap.com/sap/support/notes/1958198","1958198")</f>
        <v>1958198</v>
      </c>
      <c r="D2297">
        <v>1</v>
      </c>
      <c r="E2297" t="s">
        <v>2733</v>
      </c>
      <c r="F2297" t="s">
        <v>17</v>
      </c>
    </row>
    <row r="2298" spans="1:6" x14ac:dyDescent="0.3">
      <c r="A2298" t="s">
        <v>223</v>
      </c>
      <c r="B2298" t="s">
        <v>224</v>
      </c>
      <c r="C2298" t="str">
        <f>HYPERLINK("http://service.sap.com/sap/support/notes/1961889","1961889")</f>
        <v>1961889</v>
      </c>
      <c r="D2298">
        <v>2</v>
      </c>
      <c r="E2298" t="s">
        <v>2734</v>
      </c>
      <c r="F2298" t="s">
        <v>17</v>
      </c>
    </row>
    <row r="2299" spans="1:6" x14ac:dyDescent="0.3">
      <c r="A2299" t="s">
        <v>223</v>
      </c>
      <c r="B2299" t="s">
        <v>224</v>
      </c>
      <c r="C2299" t="str">
        <f>HYPERLINK("http://service.sap.com/sap/support/notes/1970261","1970261")</f>
        <v>1970261</v>
      </c>
      <c r="D2299">
        <v>2</v>
      </c>
      <c r="E2299" t="s">
        <v>2735</v>
      </c>
      <c r="F2299" t="s">
        <v>17</v>
      </c>
    </row>
    <row r="2300" spans="1:6" x14ac:dyDescent="0.3">
      <c r="A2300" t="s">
        <v>223</v>
      </c>
      <c r="B2300" t="s">
        <v>224</v>
      </c>
      <c r="C2300" t="str">
        <f>HYPERLINK("http://service.sap.com/sap/support/notes/1972805","1972805")</f>
        <v>1972805</v>
      </c>
      <c r="D2300">
        <v>2</v>
      </c>
      <c r="E2300" t="s">
        <v>2736</v>
      </c>
      <c r="F2300" t="s">
        <v>17</v>
      </c>
    </row>
    <row r="2301" spans="1:6" x14ac:dyDescent="0.3">
      <c r="A2301" t="s">
        <v>223</v>
      </c>
      <c r="B2301" t="s">
        <v>224</v>
      </c>
      <c r="C2301" t="str">
        <f>HYPERLINK("http://service.sap.com/sap/support/notes/1974526","1974526")</f>
        <v>1974526</v>
      </c>
      <c r="D2301">
        <v>2</v>
      </c>
      <c r="E2301" t="s">
        <v>2737</v>
      </c>
      <c r="F2301" t="s">
        <v>17</v>
      </c>
    </row>
    <row r="2302" spans="1:6" x14ac:dyDescent="0.3">
      <c r="A2302" t="s">
        <v>223</v>
      </c>
      <c r="B2302" t="s">
        <v>224</v>
      </c>
      <c r="C2302" t="str">
        <f>HYPERLINK("http://service.sap.com/sap/support/notes/1975121","1975121")</f>
        <v>1975121</v>
      </c>
      <c r="D2302">
        <v>1</v>
      </c>
      <c r="E2302" t="s">
        <v>2738</v>
      </c>
      <c r="F2302" t="s">
        <v>17</v>
      </c>
    </row>
    <row r="2303" spans="1:6" x14ac:dyDescent="0.3">
      <c r="A2303" t="s">
        <v>223</v>
      </c>
      <c r="B2303" t="s">
        <v>224</v>
      </c>
      <c r="C2303" t="str">
        <f>HYPERLINK("http://service.sap.com/sap/support/notes/1975414","1975414")</f>
        <v>1975414</v>
      </c>
      <c r="D2303">
        <v>1</v>
      </c>
      <c r="E2303" t="s">
        <v>2739</v>
      </c>
      <c r="F2303" t="s">
        <v>13</v>
      </c>
    </row>
    <row r="2304" spans="1:6" x14ac:dyDescent="0.3">
      <c r="A2304" t="s">
        <v>223</v>
      </c>
      <c r="B2304" t="s">
        <v>224</v>
      </c>
      <c r="C2304" t="str">
        <f>HYPERLINK("http://service.sap.com/sap/support/notes/1976980","1976980")</f>
        <v>1976980</v>
      </c>
      <c r="D2304">
        <v>1</v>
      </c>
      <c r="E2304" t="s">
        <v>2740</v>
      </c>
      <c r="F2304" t="s">
        <v>17</v>
      </c>
    </row>
    <row r="2305" spans="1:6" x14ac:dyDescent="0.3">
      <c r="A2305" t="s">
        <v>223</v>
      </c>
      <c r="B2305" t="s">
        <v>224</v>
      </c>
      <c r="C2305" t="str">
        <f>HYPERLINK("http://service.sap.com/sap/support/notes/1981067","1981067")</f>
        <v>1981067</v>
      </c>
      <c r="D2305">
        <v>1</v>
      </c>
      <c r="E2305" t="s">
        <v>2741</v>
      </c>
      <c r="F2305" t="s">
        <v>17</v>
      </c>
    </row>
    <row r="2306" spans="1:6" x14ac:dyDescent="0.3">
      <c r="A2306" t="s">
        <v>223</v>
      </c>
      <c r="B2306" t="s">
        <v>224</v>
      </c>
      <c r="C2306" t="str">
        <f>HYPERLINK("http://service.sap.com/sap/support/notes/1982398","1982398")</f>
        <v>1982398</v>
      </c>
      <c r="D2306">
        <v>2</v>
      </c>
      <c r="E2306" t="s">
        <v>2742</v>
      </c>
      <c r="F2306" t="s">
        <v>13</v>
      </c>
    </row>
    <row r="2307" spans="1:6" x14ac:dyDescent="0.3">
      <c r="A2307" t="s">
        <v>223</v>
      </c>
      <c r="B2307" t="s">
        <v>224</v>
      </c>
      <c r="C2307" t="str">
        <f>HYPERLINK("http://service.sap.com/sap/support/notes/1989033","1989033")</f>
        <v>1989033</v>
      </c>
      <c r="D2307">
        <v>1</v>
      </c>
      <c r="E2307" t="s">
        <v>2743</v>
      </c>
      <c r="F2307" t="s">
        <v>17</v>
      </c>
    </row>
    <row r="2308" spans="1:6" x14ac:dyDescent="0.3">
      <c r="A2308" t="s">
        <v>235</v>
      </c>
      <c r="B2308" t="s">
        <v>236</v>
      </c>
      <c r="C2308" t="str">
        <f>HYPERLINK("http://service.sap.com/sap/support/notes/1167804","1167804")</f>
        <v>1167804</v>
      </c>
      <c r="D2308">
        <v>10</v>
      </c>
      <c r="E2308" t="s">
        <v>2744</v>
      </c>
      <c r="F2308" t="s">
        <v>13</v>
      </c>
    </row>
    <row r="2309" spans="1:6" x14ac:dyDescent="0.3">
      <c r="A2309" t="s">
        <v>235</v>
      </c>
      <c r="B2309" t="s">
        <v>236</v>
      </c>
      <c r="C2309" t="str">
        <f>HYPERLINK("http://service.sap.com/sap/support/notes/1965542","1965542")</f>
        <v>1965542</v>
      </c>
      <c r="D2309">
        <v>4</v>
      </c>
      <c r="E2309" t="s">
        <v>2745</v>
      </c>
      <c r="F2309" t="s">
        <v>13</v>
      </c>
    </row>
    <row r="2310" spans="1:6" x14ac:dyDescent="0.3">
      <c r="A2310" t="s">
        <v>235</v>
      </c>
      <c r="B2310" t="s">
        <v>236</v>
      </c>
      <c r="C2310" t="str">
        <f>HYPERLINK("http://service.sap.com/sap/support/notes/1972146","1972146")</f>
        <v>1972146</v>
      </c>
      <c r="D2310">
        <v>1</v>
      </c>
      <c r="E2310" t="s">
        <v>2746</v>
      </c>
      <c r="F2310" t="s">
        <v>13</v>
      </c>
    </row>
    <row r="2311" spans="1:6" x14ac:dyDescent="0.3">
      <c r="A2311" t="s">
        <v>242</v>
      </c>
      <c r="B2311" t="s">
        <v>243</v>
      </c>
      <c r="C2311" t="str">
        <f>HYPERLINK("http://service.sap.com/sap/support/notes/1983362","1983362")</f>
        <v>1983362</v>
      </c>
      <c r="D2311">
        <v>1</v>
      </c>
      <c r="E2311" t="s">
        <v>2747</v>
      </c>
      <c r="F2311" t="s">
        <v>13</v>
      </c>
    </row>
    <row r="2312" spans="1:6" x14ac:dyDescent="0.3">
      <c r="A2312" t="s">
        <v>242</v>
      </c>
      <c r="B2312" t="s">
        <v>243</v>
      </c>
      <c r="C2312" t="str">
        <f>HYPERLINK("http://service.sap.com/sap/support/notes/1988934","1988934")</f>
        <v>1988934</v>
      </c>
      <c r="D2312">
        <v>1</v>
      </c>
      <c r="E2312" t="s">
        <v>2748</v>
      </c>
      <c r="F2312" t="s">
        <v>13</v>
      </c>
    </row>
    <row r="2313" spans="1:6" x14ac:dyDescent="0.3">
      <c r="A2313" t="s">
        <v>242</v>
      </c>
      <c r="B2313" t="s">
        <v>243</v>
      </c>
      <c r="C2313" t="str">
        <f>HYPERLINK("http://service.sap.com/sap/support/notes/1990500","1990500")</f>
        <v>1990500</v>
      </c>
      <c r="D2313">
        <v>1</v>
      </c>
      <c r="E2313" t="s">
        <v>2749</v>
      </c>
      <c r="F2313" t="s">
        <v>13</v>
      </c>
    </row>
    <row r="2314" spans="1:6" x14ac:dyDescent="0.3">
      <c r="A2314" t="s">
        <v>249</v>
      </c>
      <c r="B2314" t="s">
        <v>250</v>
      </c>
      <c r="C2314" t="str">
        <f>HYPERLINK("http://service.sap.com/sap/support/notes/1944201","1944201")</f>
        <v>1944201</v>
      </c>
      <c r="D2314">
        <v>2</v>
      </c>
      <c r="E2314" t="s">
        <v>2750</v>
      </c>
      <c r="F2314" t="s">
        <v>17</v>
      </c>
    </row>
    <row r="2315" spans="1:6" x14ac:dyDescent="0.3">
      <c r="A2315" t="s">
        <v>249</v>
      </c>
      <c r="B2315" t="s">
        <v>250</v>
      </c>
      <c r="C2315" t="str">
        <f>HYPERLINK("http://service.sap.com/sap/support/notes/1971593","1971593")</f>
        <v>1971593</v>
      </c>
      <c r="D2315">
        <v>2</v>
      </c>
      <c r="E2315" t="s">
        <v>2751</v>
      </c>
      <c r="F2315" t="s">
        <v>17</v>
      </c>
    </row>
    <row r="2316" spans="1:6" x14ac:dyDescent="0.3">
      <c r="A2316" t="s">
        <v>254</v>
      </c>
      <c r="B2316" t="s">
        <v>255</v>
      </c>
      <c r="C2316" t="str">
        <f>HYPERLINK("http://service.sap.com/sap/support/notes/1634827","1634827")</f>
        <v>1634827</v>
      </c>
      <c r="D2316">
        <v>4</v>
      </c>
      <c r="E2316" t="s">
        <v>2752</v>
      </c>
      <c r="F2316" t="s">
        <v>13</v>
      </c>
    </row>
    <row r="2317" spans="1:6" x14ac:dyDescent="0.3">
      <c r="A2317" t="s">
        <v>254</v>
      </c>
      <c r="B2317" t="s">
        <v>255</v>
      </c>
      <c r="C2317" t="str">
        <f>HYPERLINK("http://service.sap.com/sap/support/notes/1960092","1960092")</f>
        <v>1960092</v>
      </c>
      <c r="D2317">
        <v>1</v>
      </c>
      <c r="E2317" t="s">
        <v>2753</v>
      </c>
      <c r="F2317" t="s">
        <v>17</v>
      </c>
    </row>
    <row r="2318" spans="1:6" x14ac:dyDescent="0.3">
      <c r="A2318" t="s">
        <v>262</v>
      </c>
      <c r="B2318" t="s">
        <v>263</v>
      </c>
    </row>
    <row r="2319" spans="1:6" x14ac:dyDescent="0.3">
      <c r="A2319" t="s">
        <v>264</v>
      </c>
      <c r="B2319" t="s">
        <v>265</v>
      </c>
      <c r="C2319" t="str">
        <f>HYPERLINK("http://service.sap.com/sap/support/notes/1599717","1599717")</f>
        <v>1599717</v>
      </c>
      <c r="D2319">
        <v>9</v>
      </c>
      <c r="E2319" t="s">
        <v>2754</v>
      </c>
      <c r="F2319" t="s">
        <v>17</v>
      </c>
    </row>
    <row r="2320" spans="1:6" x14ac:dyDescent="0.3">
      <c r="A2320" t="s">
        <v>264</v>
      </c>
      <c r="B2320" t="s">
        <v>265</v>
      </c>
      <c r="C2320" t="str">
        <f>HYPERLINK("http://service.sap.com/sap/support/notes/1828861","1828861")</f>
        <v>1828861</v>
      </c>
      <c r="D2320">
        <v>5</v>
      </c>
      <c r="E2320" t="s">
        <v>2755</v>
      </c>
      <c r="F2320" t="s">
        <v>17</v>
      </c>
    </row>
    <row r="2321" spans="1:6" x14ac:dyDescent="0.3">
      <c r="A2321" t="s">
        <v>264</v>
      </c>
      <c r="B2321" t="s">
        <v>265</v>
      </c>
      <c r="C2321" t="str">
        <f>HYPERLINK("http://service.sap.com/sap/support/notes/1846005","1846005")</f>
        <v>1846005</v>
      </c>
      <c r="D2321">
        <v>2</v>
      </c>
      <c r="E2321" t="s">
        <v>2756</v>
      </c>
      <c r="F2321" t="s">
        <v>17</v>
      </c>
    </row>
    <row r="2322" spans="1:6" x14ac:dyDescent="0.3">
      <c r="A2322" t="s">
        <v>264</v>
      </c>
      <c r="B2322" t="s">
        <v>265</v>
      </c>
      <c r="C2322" t="str">
        <f>HYPERLINK("http://service.sap.com/sap/support/notes/1898518","1898518")</f>
        <v>1898518</v>
      </c>
      <c r="D2322">
        <v>3</v>
      </c>
      <c r="E2322" t="s">
        <v>2757</v>
      </c>
      <c r="F2322" t="s">
        <v>17</v>
      </c>
    </row>
    <row r="2323" spans="1:6" x14ac:dyDescent="0.3">
      <c r="A2323" t="s">
        <v>264</v>
      </c>
      <c r="B2323" t="s">
        <v>265</v>
      </c>
      <c r="C2323" t="str">
        <f>HYPERLINK("http://service.sap.com/sap/support/notes/1908511","1908511")</f>
        <v>1908511</v>
      </c>
      <c r="D2323">
        <v>2</v>
      </c>
      <c r="E2323" t="s">
        <v>2758</v>
      </c>
      <c r="F2323" t="s">
        <v>11</v>
      </c>
    </row>
    <row r="2324" spans="1:6" x14ac:dyDescent="0.3">
      <c r="A2324" t="s">
        <v>264</v>
      </c>
      <c r="B2324" t="s">
        <v>265</v>
      </c>
      <c r="C2324" t="str">
        <f>HYPERLINK("http://service.sap.com/sap/support/notes/1920867","1920867")</f>
        <v>1920867</v>
      </c>
      <c r="D2324">
        <v>6</v>
      </c>
      <c r="E2324" t="s">
        <v>1960</v>
      </c>
      <c r="F2324" t="s">
        <v>11</v>
      </c>
    </row>
    <row r="2325" spans="1:6" x14ac:dyDescent="0.3">
      <c r="A2325" t="s">
        <v>264</v>
      </c>
      <c r="B2325" t="s">
        <v>265</v>
      </c>
      <c r="C2325" t="str">
        <f>HYPERLINK("http://service.sap.com/sap/support/notes/1938991","1938991")</f>
        <v>1938991</v>
      </c>
      <c r="D2325">
        <v>3</v>
      </c>
      <c r="E2325" t="s">
        <v>2759</v>
      </c>
      <c r="F2325" t="s">
        <v>17</v>
      </c>
    </row>
    <row r="2326" spans="1:6" x14ac:dyDescent="0.3">
      <c r="A2326" t="s">
        <v>264</v>
      </c>
      <c r="B2326" t="s">
        <v>265</v>
      </c>
      <c r="C2326" t="str">
        <f>HYPERLINK("http://service.sap.com/sap/support/notes/1942856","1942856")</f>
        <v>1942856</v>
      </c>
      <c r="D2326">
        <v>5</v>
      </c>
      <c r="E2326" t="s">
        <v>2760</v>
      </c>
      <c r="F2326" t="s">
        <v>17</v>
      </c>
    </row>
    <row r="2327" spans="1:6" x14ac:dyDescent="0.3">
      <c r="A2327" t="s">
        <v>264</v>
      </c>
      <c r="B2327" t="s">
        <v>265</v>
      </c>
      <c r="C2327" t="str">
        <f>HYPERLINK("http://service.sap.com/sap/support/notes/1943925","1943925")</f>
        <v>1943925</v>
      </c>
      <c r="D2327">
        <v>1</v>
      </c>
      <c r="E2327" t="s">
        <v>2761</v>
      </c>
      <c r="F2327" t="s">
        <v>11</v>
      </c>
    </row>
    <row r="2328" spans="1:6" x14ac:dyDescent="0.3">
      <c r="A2328" t="s">
        <v>264</v>
      </c>
      <c r="B2328" t="s">
        <v>265</v>
      </c>
      <c r="C2328" t="str">
        <f>HYPERLINK("http://service.sap.com/sap/support/notes/1948075","1948075")</f>
        <v>1948075</v>
      </c>
      <c r="D2328">
        <v>4</v>
      </c>
      <c r="E2328" t="s">
        <v>2762</v>
      </c>
      <c r="F2328" t="s">
        <v>11</v>
      </c>
    </row>
    <row r="2329" spans="1:6" x14ac:dyDescent="0.3">
      <c r="A2329" t="s">
        <v>264</v>
      </c>
      <c r="B2329" t="s">
        <v>265</v>
      </c>
      <c r="C2329" t="str">
        <f>HYPERLINK("http://service.sap.com/sap/support/notes/1950694","1950694")</f>
        <v>1950694</v>
      </c>
      <c r="D2329">
        <v>3</v>
      </c>
      <c r="E2329" t="s">
        <v>1968</v>
      </c>
      <c r="F2329" t="s">
        <v>17</v>
      </c>
    </row>
    <row r="2330" spans="1:6" x14ac:dyDescent="0.3">
      <c r="A2330" t="s">
        <v>264</v>
      </c>
      <c r="B2330" t="s">
        <v>265</v>
      </c>
      <c r="C2330" t="str">
        <f>HYPERLINK("http://service.sap.com/sap/support/notes/1953536","1953536")</f>
        <v>1953536</v>
      </c>
      <c r="D2330">
        <v>2</v>
      </c>
      <c r="E2330" t="s">
        <v>2763</v>
      </c>
      <c r="F2330" t="s">
        <v>17</v>
      </c>
    </row>
    <row r="2331" spans="1:6" x14ac:dyDescent="0.3">
      <c r="A2331" t="s">
        <v>264</v>
      </c>
      <c r="B2331" t="s">
        <v>265</v>
      </c>
      <c r="C2331" t="str">
        <f>HYPERLINK("http://service.sap.com/sap/support/notes/1957552","1957552")</f>
        <v>1957552</v>
      </c>
      <c r="D2331">
        <v>2</v>
      </c>
      <c r="E2331" t="s">
        <v>2764</v>
      </c>
      <c r="F2331" t="s">
        <v>17</v>
      </c>
    </row>
    <row r="2332" spans="1:6" x14ac:dyDescent="0.3">
      <c r="A2332" t="s">
        <v>264</v>
      </c>
      <c r="B2332" t="s">
        <v>265</v>
      </c>
      <c r="C2332" t="str">
        <f>HYPERLINK("http://service.sap.com/sap/support/notes/1960509","1960509")</f>
        <v>1960509</v>
      </c>
      <c r="D2332">
        <v>2</v>
      </c>
      <c r="E2332" t="s">
        <v>2765</v>
      </c>
      <c r="F2332" t="s">
        <v>17</v>
      </c>
    </row>
    <row r="2333" spans="1:6" x14ac:dyDescent="0.3">
      <c r="A2333" t="s">
        <v>264</v>
      </c>
      <c r="B2333" t="s">
        <v>265</v>
      </c>
      <c r="C2333" t="str">
        <f>HYPERLINK("http://service.sap.com/sap/support/notes/1964999","1964999")</f>
        <v>1964999</v>
      </c>
      <c r="D2333">
        <v>2</v>
      </c>
      <c r="E2333" t="s">
        <v>2766</v>
      </c>
      <c r="F2333" t="s">
        <v>17</v>
      </c>
    </row>
    <row r="2334" spans="1:6" x14ac:dyDescent="0.3">
      <c r="A2334" t="s">
        <v>264</v>
      </c>
      <c r="B2334" t="s">
        <v>265</v>
      </c>
      <c r="C2334" t="str">
        <f>HYPERLINK("http://service.sap.com/sap/support/notes/1966236","1966236")</f>
        <v>1966236</v>
      </c>
      <c r="D2334">
        <v>3</v>
      </c>
      <c r="E2334" t="s">
        <v>2767</v>
      </c>
      <c r="F2334" t="s">
        <v>17</v>
      </c>
    </row>
    <row r="2335" spans="1:6" x14ac:dyDescent="0.3">
      <c r="A2335" t="s">
        <v>264</v>
      </c>
      <c r="B2335" t="s">
        <v>265</v>
      </c>
      <c r="C2335" t="str">
        <f>HYPERLINK("http://service.sap.com/sap/support/notes/1971608","1971608")</f>
        <v>1971608</v>
      </c>
      <c r="D2335">
        <v>2</v>
      </c>
      <c r="E2335" t="s">
        <v>2768</v>
      </c>
      <c r="F2335" t="s">
        <v>17</v>
      </c>
    </row>
    <row r="2336" spans="1:6" x14ac:dyDescent="0.3">
      <c r="A2336" t="s">
        <v>264</v>
      </c>
      <c r="B2336" t="s">
        <v>265</v>
      </c>
      <c r="C2336" t="str">
        <f>HYPERLINK("http://service.sap.com/sap/support/notes/1974872","1974872")</f>
        <v>1974872</v>
      </c>
      <c r="D2336">
        <v>1</v>
      </c>
      <c r="E2336" t="s">
        <v>2769</v>
      </c>
      <c r="F2336" t="s">
        <v>17</v>
      </c>
    </row>
    <row r="2337" spans="1:6" x14ac:dyDescent="0.3">
      <c r="A2337" t="s">
        <v>264</v>
      </c>
      <c r="B2337" t="s">
        <v>265</v>
      </c>
      <c r="C2337" t="str">
        <f>HYPERLINK("http://service.sap.com/sap/support/notes/1975576","1975576")</f>
        <v>1975576</v>
      </c>
      <c r="D2337">
        <v>3</v>
      </c>
      <c r="E2337" t="s">
        <v>2770</v>
      </c>
      <c r="F2337" t="s">
        <v>17</v>
      </c>
    </row>
    <row r="2338" spans="1:6" x14ac:dyDescent="0.3">
      <c r="A2338" t="s">
        <v>264</v>
      </c>
      <c r="B2338" t="s">
        <v>265</v>
      </c>
      <c r="C2338" t="str">
        <f>HYPERLINK("http://service.sap.com/sap/support/notes/1981822","1981822")</f>
        <v>1981822</v>
      </c>
      <c r="D2338">
        <v>3</v>
      </c>
      <c r="E2338" t="s">
        <v>2771</v>
      </c>
      <c r="F2338" t="s">
        <v>17</v>
      </c>
    </row>
    <row r="2339" spans="1:6" x14ac:dyDescent="0.3">
      <c r="A2339" t="s">
        <v>264</v>
      </c>
      <c r="B2339" t="s">
        <v>265</v>
      </c>
      <c r="C2339" t="str">
        <f>HYPERLINK("http://service.sap.com/sap/support/notes/1991637","1991637")</f>
        <v>1991637</v>
      </c>
      <c r="D2339">
        <v>1</v>
      </c>
      <c r="E2339" t="s">
        <v>2772</v>
      </c>
      <c r="F2339" t="s">
        <v>17</v>
      </c>
    </row>
    <row r="2340" spans="1:6" x14ac:dyDescent="0.3">
      <c r="A2340" t="s">
        <v>264</v>
      </c>
      <c r="B2340" t="s">
        <v>265</v>
      </c>
      <c r="C2340" t="str">
        <f>HYPERLINK("http://service.sap.com/sap/support/notes/1993163","1993163")</f>
        <v>1993163</v>
      </c>
      <c r="D2340">
        <v>2</v>
      </c>
      <c r="E2340" t="s">
        <v>2773</v>
      </c>
      <c r="F2340" t="s">
        <v>17</v>
      </c>
    </row>
    <row r="2341" spans="1:6" x14ac:dyDescent="0.3">
      <c r="A2341" t="s">
        <v>2774</v>
      </c>
      <c r="B2341" t="s">
        <v>2775</v>
      </c>
      <c r="C2341" t="str">
        <f>HYPERLINK("http://service.sap.com/sap/support/notes/1849852","1849852")</f>
        <v>1849852</v>
      </c>
      <c r="D2341">
        <v>8</v>
      </c>
      <c r="E2341" t="s">
        <v>2776</v>
      </c>
      <c r="F2341" t="s">
        <v>17</v>
      </c>
    </row>
    <row r="2342" spans="1:6" x14ac:dyDescent="0.3">
      <c r="A2342" t="s">
        <v>2774</v>
      </c>
      <c r="B2342" t="s">
        <v>2775</v>
      </c>
      <c r="C2342" t="str">
        <f>HYPERLINK("http://service.sap.com/sap/support/notes/1955003","1955003")</f>
        <v>1955003</v>
      </c>
      <c r="D2342">
        <v>4</v>
      </c>
      <c r="E2342" t="s">
        <v>2777</v>
      </c>
      <c r="F2342" t="s">
        <v>17</v>
      </c>
    </row>
    <row r="2343" spans="1:6" x14ac:dyDescent="0.3">
      <c r="A2343" t="s">
        <v>2778</v>
      </c>
      <c r="B2343" t="s">
        <v>2779</v>
      </c>
      <c r="C2343" t="str">
        <f>HYPERLINK("http://service.sap.com/sap/support/notes/1886648","1886648")</f>
        <v>1886648</v>
      </c>
      <c r="D2343">
        <v>6</v>
      </c>
      <c r="E2343" t="s">
        <v>2780</v>
      </c>
      <c r="F2343" t="s">
        <v>17</v>
      </c>
    </row>
    <row r="2344" spans="1:6" x14ac:dyDescent="0.3">
      <c r="A2344" t="s">
        <v>2781</v>
      </c>
      <c r="B2344" t="s">
        <v>2782</v>
      </c>
      <c r="C2344" t="str">
        <f>HYPERLINK("http://service.sap.com/sap/support/notes/1967777","1967777")</f>
        <v>1967777</v>
      </c>
      <c r="D2344">
        <v>2</v>
      </c>
      <c r="E2344" t="s">
        <v>2783</v>
      </c>
      <c r="F2344" t="s">
        <v>17</v>
      </c>
    </row>
    <row r="2345" spans="1:6" x14ac:dyDescent="0.3">
      <c r="A2345" t="s">
        <v>2784</v>
      </c>
      <c r="B2345" t="s">
        <v>2785</v>
      </c>
      <c r="C2345" t="str">
        <f>HYPERLINK("http://service.sap.com/sap/support/notes/1932382","1932382")</f>
        <v>1932382</v>
      </c>
      <c r="D2345">
        <v>3</v>
      </c>
      <c r="E2345" t="s">
        <v>2786</v>
      </c>
      <c r="F2345" t="s">
        <v>13</v>
      </c>
    </row>
    <row r="2346" spans="1:6" x14ac:dyDescent="0.3">
      <c r="A2346" t="s">
        <v>280</v>
      </c>
      <c r="B2346" t="s">
        <v>281</v>
      </c>
      <c r="C2346" t="str">
        <f>HYPERLINK("http://service.sap.com/sap/support/notes/1965030","1965030")</f>
        <v>1965030</v>
      </c>
      <c r="D2346">
        <v>2</v>
      </c>
      <c r="E2346" t="s">
        <v>2787</v>
      </c>
      <c r="F2346" t="s">
        <v>17</v>
      </c>
    </row>
    <row r="2347" spans="1:6" x14ac:dyDescent="0.3">
      <c r="A2347" t="s">
        <v>280</v>
      </c>
      <c r="B2347" t="s">
        <v>281</v>
      </c>
      <c r="C2347" t="str">
        <f>HYPERLINK("http://service.sap.com/sap/support/notes/1978852","1978852")</f>
        <v>1978852</v>
      </c>
      <c r="D2347">
        <v>2</v>
      </c>
      <c r="E2347" t="s">
        <v>2788</v>
      </c>
      <c r="F2347" t="s">
        <v>13</v>
      </c>
    </row>
    <row r="2348" spans="1:6" x14ac:dyDescent="0.3">
      <c r="A2348" t="s">
        <v>288</v>
      </c>
      <c r="B2348" t="s">
        <v>289</v>
      </c>
      <c r="C2348" t="str">
        <f>HYPERLINK("http://service.sap.com/sap/support/notes/1982025","1982025")</f>
        <v>1982025</v>
      </c>
      <c r="D2348">
        <v>2</v>
      </c>
      <c r="E2348" t="s">
        <v>2789</v>
      </c>
      <c r="F2348" t="s">
        <v>13</v>
      </c>
    </row>
    <row r="2349" spans="1:6" x14ac:dyDescent="0.3">
      <c r="A2349" t="s">
        <v>298</v>
      </c>
      <c r="B2349" t="s">
        <v>299</v>
      </c>
      <c r="C2349" t="str">
        <f>HYPERLINK("http://service.sap.com/sap/support/notes/1987969","1987969")</f>
        <v>1987969</v>
      </c>
      <c r="D2349">
        <v>2</v>
      </c>
      <c r="E2349" t="s">
        <v>2790</v>
      </c>
      <c r="F2349" t="s">
        <v>11</v>
      </c>
    </row>
    <row r="2350" spans="1:6" x14ac:dyDescent="0.3">
      <c r="A2350" t="s">
        <v>301</v>
      </c>
      <c r="B2350" t="s">
        <v>302</v>
      </c>
      <c r="C2350" t="str">
        <f>HYPERLINK("http://service.sap.com/sap/support/notes/1941977","1941977")</f>
        <v>1941977</v>
      </c>
      <c r="D2350">
        <v>3</v>
      </c>
      <c r="E2350" t="s">
        <v>2791</v>
      </c>
      <c r="F2350" t="s">
        <v>17</v>
      </c>
    </row>
    <row r="2351" spans="1:6" x14ac:dyDescent="0.3">
      <c r="A2351" t="s">
        <v>301</v>
      </c>
      <c r="B2351" t="s">
        <v>302</v>
      </c>
      <c r="C2351" t="str">
        <f>HYPERLINK("http://service.sap.com/sap/support/notes/1953912","1953912")</f>
        <v>1953912</v>
      </c>
      <c r="D2351">
        <v>3</v>
      </c>
      <c r="E2351" t="s">
        <v>2792</v>
      </c>
      <c r="F2351" t="s">
        <v>17</v>
      </c>
    </row>
    <row r="2352" spans="1:6" x14ac:dyDescent="0.3">
      <c r="A2352" t="s">
        <v>301</v>
      </c>
      <c r="B2352" t="s">
        <v>302</v>
      </c>
      <c r="C2352" t="str">
        <f>HYPERLINK("http://service.sap.com/sap/support/notes/1957397","1957397")</f>
        <v>1957397</v>
      </c>
      <c r="D2352">
        <v>2</v>
      </c>
      <c r="E2352" t="s">
        <v>2793</v>
      </c>
      <c r="F2352" t="s">
        <v>17</v>
      </c>
    </row>
    <row r="2353" spans="1:6" x14ac:dyDescent="0.3">
      <c r="A2353" t="s">
        <v>301</v>
      </c>
      <c r="B2353" t="s">
        <v>302</v>
      </c>
      <c r="C2353" t="str">
        <f>HYPERLINK("http://service.sap.com/sap/support/notes/1963588","1963588")</f>
        <v>1963588</v>
      </c>
      <c r="D2353">
        <v>2</v>
      </c>
      <c r="E2353" t="s">
        <v>2794</v>
      </c>
      <c r="F2353" t="s">
        <v>17</v>
      </c>
    </row>
    <row r="2354" spans="1:6" x14ac:dyDescent="0.3">
      <c r="A2354" t="s">
        <v>301</v>
      </c>
      <c r="B2354" t="s">
        <v>302</v>
      </c>
      <c r="C2354" t="str">
        <f>HYPERLINK("http://service.sap.com/sap/support/notes/1977630","1977630")</f>
        <v>1977630</v>
      </c>
      <c r="D2354">
        <v>2</v>
      </c>
      <c r="E2354" t="s">
        <v>2795</v>
      </c>
      <c r="F2354" t="s">
        <v>17</v>
      </c>
    </row>
    <row r="2355" spans="1:6" x14ac:dyDescent="0.3">
      <c r="A2355" t="s">
        <v>301</v>
      </c>
      <c r="B2355" t="s">
        <v>302</v>
      </c>
      <c r="C2355" t="str">
        <f>HYPERLINK("http://service.sap.com/sap/support/notes/1981093","1981093")</f>
        <v>1981093</v>
      </c>
      <c r="D2355">
        <v>1</v>
      </c>
      <c r="E2355" t="s">
        <v>317</v>
      </c>
      <c r="F2355" t="s">
        <v>17</v>
      </c>
    </row>
    <row r="2356" spans="1:6" x14ac:dyDescent="0.3">
      <c r="A2356" t="s">
        <v>301</v>
      </c>
      <c r="B2356" t="s">
        <v>302</v>
      </c>
      <c r="C2356" t="str">
        <f>HYPERLINK("http://service.sap.com/sap/support/notes/1988486","1988486")</f>
        <v>1988486</v>
      </c>
      <c r="D2356">
        <v>2</v>
      </c>
      <c r="E2356" t="s">
        <v>2796</v>
      </c>
      <c r="F2356" t="s">
        <v>13</v>
      </c>
    </row>
    <row r="2357" spans="1:6" x14ac:dyDescent="0.3">
      <c r="A2357" t="s">
        <v>324</v>
      </c>
      <c r="B2357" t="s">
        <v>325</v>
      </c>
      <c r="C2357" t="str">
        <f>HYPERLINK("http://service.sap.com/sap/support/notes/1970091","1970091")</f>
        <v>1970091</v>
      </c>
      <c r="D2357">
        <v>3</v>
      </c>
      <c r="E2357" t="s">
        <v>2797</v>
      </c>
      <c r="F2357" t="s">
        <v>17</v>
      </c>
    </row>
    <row r="2358" spans="1:6" x14ac:dyDescent="0.3">
      <c r="A2358" t="s">
        <v>324</v>
      </c>
      <c r="B2358" t="s">
        <v>325</v>
      </c>
      <c r="C2358" t="str">
        <f>HYPERLINK("http://service.sap.com/sap/support/notes/1987434","1987434")</f>
        <v>1987434</v>
      </c>
      <c r="D2358">
        <v>1</v>
      </c>
      <c r="E2358" t="s">
        <v>2798</v>
      </c>
      <c r="F2358" t="s">
        <v>17</v>
      </c>
    </row>
    <row r="2359" spans="1:6" x14ac:dyDescent="0.3">
      <c r="A2359" t="s">
        <v>332</v>
      </c>
      <c r="B2359" t="s">
        <v>333</v>
      </c>
      <c r="C2359" t="str">
        <f>HYPERLINK("http://service.sap.com/sap/support/notes/1942799","1942799")</f>
        <v>1942799</v>
      </c>
      <c r="D2359">
        <v>1</v>
      </c>
      <c r="E2359" t="s">
        <v>2799</v>
      </c>
      <c r="F2359" t="s">
        <v>17</v>
      </c>
    </row>
    <row r="2360" spans="1:6" x14ac:dyDescent="0.3">
      <c r="A2360" t="s">
        <v>332</v>
      </c>
      <c r="B2360" t="s">
        <v>333</v>
      </c>
      <c r="C2360" t="str">
        <f>HYPERLINK("http://service.sap.com/sap/support/notes/1958842","1958842")</f>
        <v>1958842</v>
      </c>
      <c r="D2360">
        <v>1</v>
      </c>
      <c r="E2360" t="s">
        <v>2800</v>
      </c>
      <c r="F2360" t="s">
        <v>11</v>
      </c>
    </row>
    <row r="2361" spans="1:6" x14ac:dyDescent="0.3">
      <c r="A2361" t="s">
        <v>332</v>
      </c>
      <c r="B2361" t="s">
        <v>333</v>
      </c>
      <c r="C2361" t="str">
        <f>HYPERLINK("http://service.sap.com/sap/support/notes/1965986","1965986")</f>
        <v>1965986</v>
      </c>
      <c r="D2361">
        <v>3</v>
      </c>
      <c r="E2361" t="s">
        <v>2801</v>
      </c>
      <c r="F2361" t="s">
        <v>17</v>
      </c>
    </row>
    <row r="2362" spans="1:6" x14ac:dyDescent="0.3">
      <c r="A2362" t="s">
        <v>332</v>
      </c>
      <c r="B2362" t="s">
        <v>333</v>
      </c>
      <c r="C2362" t="str">
        <f>HYPERLINK("http://service.sap.com/sap/support/notes/1972308","1972308")</f>
        <v>1972308</v>
      </c>
      <c r="D2362">
        <v>2</v>
      </c>
      <c r="E2362" t="s">
        <v>2802</v>
      </c>
      <c r="F2362" t="s">
        <v>11</v>
      </c>
    </row>
    <row r="2363" spans="1:6" x14ac:dyDescent="0.3">
      <c r="A2363" t="s">
        <v>338</v>
      </c>
      <c r="B2363" t="s">
        <v>339</v>
      </c>
    </row>
    <row r="2364" spans="1:6" x14ac:dyDescent="0.3">
      <c r="A2364" t="s">
        <v>340</v>
      </c>
      <c r="B2364" t="s">
        <v>341</v>
      </c>
    </row>
    <row r="2365" spans="1:6" x14ac:dyDescent="0.3">
      <c r="A2365" t="s">
        <v>342</v>
      </c>
      <c r="B2365" t="s">
        <v>343</v>
      </c>
      <c r="C2365" t="str">
        <f>HYPERLINK("http://service.sap.com/sap/support/notes/1984567","1984567")</f>
        <v>1984567</v>
      </c>
      <c r="D2365">
        <v>1</v>
      </c>
      <c r="E2365" t="s">
        <v>2803</v>
      </c>
      <c r="F2365" t="s">
        <v>17</v>
      </c>
    </row>
    <row r="2366" spans="1:6" x14ac:dyDescent="0.3">
      <c r="A2366" t="s">
        <v>360</v>
      </c>
      <c r="B2366" t="s">
        <v>361</v>
      </c>
    </row>
    <row r="2367" spans="1:6" x14ac:dyDescent="0.3">
      <c r="A2367" t="s">
        <v>362</v>
      </c>
      <c r="B2367" t="s">
        <v>363</v>
      </c>
    </row>
    <row r="2368" spans="1:6" x14ac:dyDescent="0.3">
      <c r="A2368" t="s">
        <v>364</v>
      </c>
      <c r="B2368" t="s">
        <v>365</v>
      </c>
    </row>
    <row r="2369" spans="1:6" x14ac:dyDescent="0.3">
      <c r="A2369" t="s">
        <v>2804</v>
      </c>
      <c r="B2369" t="s">
        <v>2805</v>
      </c>
      <c r="C2369" t="str">
        <f>HYPERLINK("http://service.sap.com/sap/support/notes/1973674","1973674")</f>
        <v>1973674</v>
      </c>
      <c r="D2369">
        <v>2</v>
      </c>
      <c r="E2369" t="s">
        <v>2806</v>
      </c>
      <c r="F2369" t="s">
        <v>13</v>
      </c>
    </row>
    <row r="2370" spans="1:6" x14ac:dyDescent="0.3">
      <c r="A2370" t="s">
        <v>366</v>
      </c>
      <c r="B2370" t="s">
        <v>367</v>
      </c>
      <c r="C2370" t="str">
        <f>HYPERLINK("http://service.sap.com/sap/support/notes/1902594","1902594")</f>
        <v>1902594</v>
      </c>
      <c r="D2370">
        <v>1</v>
      </c>
      <c r="E2370" t="s">
        <v>2807</v>
      </c>
      <c r="F2370" t="s">
        <v>17</v>
      </c>
    </row>
    <row r="2371" spans="1:6" x14ac:dyDescent="0.3">
      <c r="A2371" t="s">
        <v>369</v>
      </c>
      <c r="B2371" t="s">
        <v>370</v>
      </c>
      <c r="C2371" t="str">
        <f>HYPERLINK("http://service.sap.com/sap/support/notes/1929037","1929037")</f>
        <v>1929037</v>
      </c>
      <c r="D2371">
        <v>3</v>
      </c>
      <c r="E2371" t="s">
        <v>2808</v>
      </c>
      <c r="F2371" t="s">
        <v>17</v>
      </c>
    </row>
    <row r="2372" spans="1:6" x14ac:dyDescent="0.3">
      <c r="A2372" t="s">
        <v>373</v>
      </c>
      <c r="B2372" t="s">
        <v>243</v>
      </c>
      <c r="C2372" t="str">
        <f>HYPERLINK("http://service.sap.com/sap/support/notes/1954916","1954916")</f>
        <v>1954916</v>
      </c>
      <c r="D2372">
        <v>3</v>
      </c>
      <c r="E2372" t="s">
        <v>2809</v>
      </c>
      <c r="F2372" t="s">
        <v>13</v>
      </c>
    </row>
    <row r="2373" spans="1:6" x14ac:dyDescent="0.3">
      <c r="A2373" t="s">
        <v>376</v>
      </c>
      <c r="B2373" t="s">
        <v>377</v>
      </c>
    </row>
    <row r="2374" spans="1:6" x14ac:dyDescent="0.3">
      <c r="A2374" t="s">
        <v>386</v>
      </c>
      <c r="B2374" t="s">
        <v>387</v>
      </c>
      <c r="C2374" t="str">
        <f>HYPERLINK("http://service.sap.com/sap/support/notes/1966860","1966860")</f>
        <v>1966860</v>
      </c>
      <c r="D2374">
        <v>2</v>
      </c>
      <c r="E2374" t="s">
        <v>2810</v>
      </c>
      <c r="F2374" t="s">
        <v>13</v>
      </c>
    </row>
    <row r="2375" spans="1:6" x14ac:dyDescent="0.3">
      <c r="A2375" t="s">
        <v>386</v>
      </c>
      <c r="B2375" t="s">
        <v>387</v>
      </c>
      <c r="C2375" t="str">
        <f>HYPERLINK("http://service.sap.com/sap/support/notes/1967314","1967314")</f>
        <v>1967314</v>
      </c>
      <c r="D2375">
        <v>3</v>
      </c>
      <c r="E2375" t="s">
        <v>2811</v>
      </c>
      <c r="F2375" t="s">
        <v>13</v>
      </c>
    </row>
    <row r="2376" spans="1:6" x14ac:dyDescent="0.3">
      <c r="A2376" t="s">
        <v>386</v>
      </c>
      <c r="B2376" t="s">
        <v>387</v>
      </c>
      <c r="C2376" t="str">
        <f>HYPERLINK("http://service.sap.com/sap/support/notes/1978256","1978256")</f>
        <v>1978256</v>
      </c>
      <c r="D2376">
        <v>1</v>
      </c>
      <c r="E2376" t="s">
        <v>2812</v>
      </c>
      <c r="F2376" t="s">
        <v>17</v>
      </c>
    </row>
    <row r="2377" spans="1:6" x14ac:dyDescent="0.3">
      <c r="A2377" t="s">
        <v>394</v>
      </c>
      <c r="B2377" t="s">
        <v>2813</v>
      </c>
      <c r="C2377" t="str">
        <f>HYPERLINK("http://service.sap.com/sap/support/notes/1981057","1981057")</f>
        <v>1981057</v>
      </c>
      <c r="D2377">
        <v>1</v>
      </c>
      <c r="E2377" t="s">
        <v>2814</v>
      </c>
      <c r="F2377" t="s">
        <v>17</v>
      </c>
    </row>
    <row r="2378" spans="1:6" x14ac:dyDescent="0.3">
      <c r="A2378" t="s">
        <v>396</v>
      </c>
      <c r="B2378" t="s">
        <v>397</v>
      </c>
      <c r="C2378" t="str">
        <f>HYPERLINK("http://service.sap.com/sap/support/notes/1955331","1955331")</f>
        <v>1955331</v>
      </c>
      <c r="D2378">
        <v>2</v>
      </c>
      <c r="E2378" t="s">
        <v>2815</v>
      </c>
      <c r="F2378" t="s">
        <v>17</v>
      </c>
    </row>
    <row r="2379" spans="1:6" x14ac:dyDescent="0.3">
      <c r="A2379" t="s">
        <v>396</v>
      </c>
      <c r="B2379" t="s">
        <v>397</v>
      </c>
      <c r="C2379" t="str">
        <f>HYPERLINK("http://service.sap.com/sap/support/notes/1990067","1990067")</f>
        <v>1990067</v>
      </c>
      <c r="D2379">
        <v>1</v>
      </c>
      <c r="E2379" t="s">
        <v>2816</v>
      </c>
      <c r="F2379" t="s">
        <v>13</v>
      </c>
    </row>
    <row r="2380" spans="1:6" x14ac:dyDescent="0.3">
      <c r="A2380" t="s">
        <v>407</v>
      </c>
      <c r="B2380" t="s">
        <v>243</v>
      </c>
      <c r="C2380" t="str">
        <f>HYPERLINK("http://service.sap.com/sap/support/notes/1973812","1973812")</f>
        <v>1973812</v>
      </c>
      <c r="D2380">
        <v>2</v>
      </c>
      <c r="E2380" t="s">
        <v>2817</v>
      </c>
      <c r="F2380" t="s">
        <v>17</v>
      </c>
    </row>
    <row r="2381" spans="1:6" x14ac:dyDescent="0.3">
      <c r="A2381" t="s">
        <v>409</v>
      </c>
      <c r="B2381" t="s">
        <v>138</v>
      </c>
      <c r="C2381" t="str">
        <f>HYPERLINK("http://service.sap.com/sap/support/notes/1959174","1959174")</f>
        <v>1959174</v>
      </c>
      <c r="D2381">
        <v>2</v>
      </c>
      <c r="E2381" t="s">
        <v>2818</v>
      </c>
      <c r="F2381" t="s">
        <v>17</v>
      </c>
    </row>
    <row r="2382" spans="1:6" x14ac:dyDescent="0.3">
      <c r="A2382" t="s">
        <v>409</v>
      </c>
      <c r="B2382" t="s">
        <v>138</v>
      </c>
      <c r="C2382" t="str">
        <f>HYPERLINK("http://service.sap.com/sap/support/notes/1976079","1976079")</f>
        <v>1976079</v>
      </c>
      <c r="D2382">
        <v>3</v>
      </c>
      <c r="E2382" t="s">
        <v>2819</v>
      </c>
      <c r="F2382" t="s">
        <v>17</v>
      </c>
    </row>
    <row r="2383" spans="1:6" x14ac:dyDescent="0.3">
      <c r="A2383" t="s">
        <v>417</v>
      </c>
      <c r="B2383" t="s">
        <v>418</v>
      </c>
    </row>
    <row r="2384" spans="1:6" x14ac:dyDescent="0.3">
      <c r="A2384" t="s">
        <v>419</v>
      </c>
      <c r="B2384" t="s">
        <v>420</v>
      </c>
    </row>
    <row r="2385" spans="1:6" x14ac:dyDescent="0.3">
      <c r="A2385" t="s">
        <v>421</v>
      </c>
      <c r="B2385" t="s">
        <v>422</v>
      </c>
    </row>
    <row r="2386" spans="1:6" x14ac:dyDescent="0.3">
      <c r="A2386" t="s">
        <v>423</v>
      </c>
      <c r="B2386" t="s">
        <v>424</v>
      </c>
      <c r="C2386" t="str">
        <f>HYPERLINK("http://service.sap.com/sap/support/notes/1738310","1738310")</f>
        <v>1738310</v>
      </c>
      <c r="D2386">
        <v>4</v>
      </c>
      <c r="E2386" t="s">
        <v>2820</v>
      </c>
      <c r="F2386" t="s">
        <v>17</v>
      </c>
    </row>
    <row r="2387" spans="1:6" x14ac:dyDescent="0.3">
      <c r="A2387" t="s">
        <v>423</v>
      </c>
      <c r="B2387" t="s">
        <v>424</v>
      </c>
      <c r="C2387" t="str">
        <f>HYPERLINK("http://service.sap.com/sap/support/notes/1803369","1803369")</f>
        <v>1803369</v>
      </c>
      <c r="D2387">
        <v>6</v>
      </c>
      <c r="E2387" t="s">
        <v>2821</v>
      </c>
      <c r="F2387" t="s">
        <v>17</v>
      </c>
    </row>
    <row r="2388" spans="1:6" x14ac:dyDescent="0.3">
      <c r="A2388" t="s">
        <v>423</v>
      </c>
      <c r="B2388" t="s">
        <v>424</v>
      </c>
      <c r="C2388" t="str">
        <f>HYPERLINK("http://service.sap.com/sap/support/notes/1836631","1836631")</f>
        <v>1836631</v>
      </c>
      <c r="D2388">
        <v>2</v>
      </c>
      <c r="E2388" t="s">
        <v>2822</v>
      </c>
      <c r="F2388" t="s">
        <v>17</v>
      </c>
    </row>
    <row r="2389" spans="1:6" x14ac:dyDescent="0.3">
      <c r="A2389" t="s">
        <v>423</v>
      </c>
      <c r="B2389" t="s">
        <v>424</v>
      </c>
      <c r="C2389" t="str">
        <f>HYPERLINK("http://service.sap.com/sap/support/notes/1855579","1855579")</f>
        <v>1855579</v>
      </c>
      <c r="D2389">
        <v>2</v>
      </c>
      <c r="E2389" t="s">
        <v>2823</v>
      </c>
      <c r="F2389" t="s">
        <v>17</v>
      </c>
    </row>
    <row r="2390" spans="1:6" x14ac:dyDescent="0.3">
      <c r="A2390" t="s">
        <v>423</v>
      </c>
      <c r="B2390" t="s">
        <v>424</v>
      </c>
      <c r="C2390" t="str">
        <f>HYPERLINK("http://service.sap.com/sap/support/notes/1870949","1870949")</f>
        <v>1870949</v>
      </c>
      <c r="D2390">
        <v>2</v>
      </c>
      <c r="E2390" t="s">
        <v>2824</v>
      </c>
      <c r="F2390" t="s">
        <v>17</v>
      </c>
    </row>
    <row r="2391" spans="1:6" x14ac:dyDescent="0.3">
      <c r="A2391" t="s">
        <v>423</v>
      </c>
      <c r="B2391" t="s">
        <v>424</v>
      </c>
      <c r="C2391" t="str">
        <f>HYPERLINK("http://service.sap.com/sap/support/notes/1954714","1954714")</f>
        <v>1954714</v>
      </c>
      <c r="D2391">
        <v>3</v>
      </c>
      <c r="E2391" t="s">
        <v>2825</v>
      </c>
      <c r="F2391" t="s">
        <v>17</v>
      </c>
    </row>
    <row r="2392" spans="1:6" x14ac:dyDescent="0.3">
      <c r="A2392" t="s">
        <v>426</v>
      </c>
      <c r="B2392" t="s">
        <v>61</v>
      </c>
    </row>
    <row r="2393" spans="1:6" x14ac:dyDescent="0.3">
      <c r="A2393" t="s">
        <v>427</v>
      </c>
      <c r="B2393" t="s">
        <v>63</v>
      </c>
      <c r="C2393" t="str">
        <f>HYPERLINK("http://service.sap.com/sap/support/notes/1939592","1939592")</f>
        <v>1939592</v>
      </c>
      <c r="D2393">
        <v>15</v>
      </c>
      <c r="E2393" t="s">
        <v>2008</v>
      </c>
      <c r="F2393" t="s">
        <v>94</v>
      </c>
    </row>
    <row r="2394" spans="1:6" x14ac:dyDescent="0.3">
      <c r="A2394" t="s">
        <v>427</v>
      </c>
      <c r="B2394" t="s">
        <v>63</v>
      </c>
      <c r="C2394" t="str">
        <f>HYPERLINK("http://service.sap.com/sap/support/notes/1941364","1941364")</f>
        <v>1941364</v>
      </c>
      <c r="D2394">
        <v>2</v>
      </c>
      <c r="E2394" t="s">
        <v>2826</v>
      </c>
      <c r="F2394" t="s">
        <v>17</v>
      </c>
    </row>
    <row r="2395" spans="1:6" x14ac:dyDescent="0.3">
      <c r="A2395" t="s">
        <v>427</v>
      </c>
      <c r="B2395" t="s">
        <v>63</v>
      </c>
      <c r="C2395" t="str">
        <f>HYPERLINK("http://service.sap.com/sap/support/notes/1953617","1953617")</f>
        <v>1953617</v>
      </c>
      <c r="D2395">
        <v>1</v>
      </c>
      <c r="E2395" t="s">
        <v>2827</v>
      </c>
      <c r="F2395" t="s">
        <v>17</v>
      </c>
    </row>
    <row r="2396" spans="1:6" x14ac:dyDescent="0.3">
      <c r="A2396" t="s">
        <v>427</v>
      </c>
      <c r="B2396" t="s">
        <v>63</v>
      </c>
      <c r="C2396" t="str">
        <f>HYPERLINK("http://service.sap.com/sap/support/notes/1957586","1957586")</f>
        <v>1957586</v>
      </c>
      <c r="D2396">
        <v>1</v>
      </c>
      <c r="E2396" t="s">
        <v>2828</v>
      </c>
      <c r="F2396" t="s">
        <v>17</v>
      </c>
    </row>
    <row r="2397" spans="1:6" x14ac:dyDescent="0.3">
      <c r="A2397" t="s">
        <v>427</v>
      </c>
      <c r="B2397" t="s">
        <v>63</v>
      </c>
      <c r="C2397" t="str">
        <f>HYPERLINK("http://service.sap.com/sap/support/notes/1958020","1958020")</f>
        <v>1958020</v>
      </c>
      <c r="D2397">
        <v>2</v>
      </c>
      <c r="E2397" t="s">
        <v>2829</v>
      </c>
      <c r="F2397" t="s">
        <v>17</v>
      </c>
    </row>
    <row r="2398" spans="1:6" x14ac:dyDescent="0.3">
      <c r="A2398" t="s">
        <v>427</v>
      </c>
      <c r="B2398" t="s">
        <v>63</v>
      </c>
      <c r="C2398" t="str">
        <f>HYPERLINK("http://service.sap.com/sap/support/notes/1963826","1963826")</f>
        <v>1963826</v>
      </c>
      <c r="D2398">
        <v>1</v>
      </c>
      <c r="E2398" t="s">
        <v>2830</v>
      </c>
      <c r="F2398" t="s">
        <v>17</v>
      </c>
    </row>
    <row r="2399" spans="1:6" x14ac:dyDescent="0.3">
      <c r="A2399" t="s">
        <v>427</v>
      </c>
      <c r="B2399" t="s">
        <v>63</v>
      </c>
      <c r="C2399" t="str">
        <f>HYPERLINK("http://service.sap.com/sap/support/notes/1966686","1966686")</f>
        <v>1966686</v>
      </c>
      <c r="D2399">
        <v>1</v>
      </c>
      <c r="E2399" t="s">
        <v>2831</v>
      </c>
      <c r="F2399" t="s">
        <v>17</v>
      </c>
    </row>
    <row r="2400" spans="1:6" x14ac:dyDescent="0.3">
      <c r="A2400" t="s">
        <v>427</v>
      </c>
      <c r="B2400" t="s">
        <v>63</v>
      </c>
      <c r="C2400" t="str">
        <f>HYPERLINK("http://service.sap.com/sap/support/notes/1967789","1967789")</f>
        <v>1967789</v>
      </c>
      <c r="D2400">
        <v>2</v>
      </c>
      <c r="E2400" t="s">
        <v>2832</v>
      </c>
      <c r="F2400" t="s">
        <v>17</v>
      </c>
    </row>
    <row r="2401" spans="1:6" x14ac:dyDescent="0.3">
      <c r="A2401" t="s">
        <v>427</v>
      </c>
      <c r="B2401" t="s">
        <v>63</v>
      </c>
      <c r="C2401" t="str">
        <f>HYPERLINK("http://service.sap.com/sap/support/notes/1968305","1968305")</f>
        <v>1968305</v>
      </c>
      <c r="D2401">
        <v>7</v>
      </c>
      <c r="E2401" t="s">
        <v>2833</v>
      </c>
      <c r="F2401" t="s">
        <v>17</v>
      </c>
    </row>
    <row r="2402" spans="1:6" x14ac:dyDescent="0.3">
      <c r="A2402" t="s">
        <v>427</v>
      </c>
      <c r="B2402" t="s">
        <v>63</v>
      </c>
      <c r="C2402" t="str">
        <f>HYPERLINK("http://service.sap.com/sap/support/notes/1969123","1969123")</f>
        <v>1969123</v>
      </c>
      <c r="D2402">
        <v>2</v>
      </c>
      <c r="E2402" t="s">
        <v>2834</v>
      </c>
      <c r="F2402" t="s">
        <v>17</v>
      </c>
    </row>
    <row r="2403" spans="1:6" x14ac:dyDescent="0.3">
      <c r="A2403" t="s">
        <v>427</v>
      </c>
      <c r="B2403" t="s">
        <v>63</v>
      </c>
      <c r="C2403" t="str">
        <f>HYPERLINK("http://service.sap.com/sap/support/notes/1981102","1981102")</f>
        <v>1981102</v>
      </c>
      <c r="D2403">
        <v>1</v>
      </c>
      <c r="E2403" t="s">
        <v>2835</v>
      </c>
      <c r="F2403" t="s">
        <v>17</v>
      </c>
    </row>
    <row r="2404" spans="1:6" x14ac:dyDescent="0.3">
      <c r="A2404" t="s">
        <v>427</v>
      </c>
      <c r="B2404" t="s">
        <v>63</v>
      </c>
      <c r="C2404" t="str">
        <f>HYPERLINK("http://service.sap.com/sap/support/notes/1981871","1981871")</f>
        <v>1981871</v>
      </c>
      <c r="D2404">
        <v>1</v>
      </c>
      <c r="E2404" t="s">
        <v>2836</v>
      </c>
      <c r="F2404" t="s">
        <v>17</v>
      </c>
    </row>
    <row r="2405" spans="1:6" x14ac:dyDescent="0.3">
      <c r="A2405" t="s">
        <v>427</v>
      </c>
      <c r="B2405" t="s">
        <v>63</v>
      </c>
      <c r="C2405" t="str">
        <f>HYPERLINK("http://service.sap.com/sap/support/notes/1985214","1985214")</f>
        <v>1985214</v>
      </c>
      <c r="D2405">
        <v>1</v>
      </c>
      <c r="E2405" t="s">
        <v>2837</v>
      </c>
      <c r="F2405" t="s">
        <v>17</v>
      </c>
    </row>
    <row r="2406" spans="1:6" x14ac:dyDescent="0.3">
      <c r="A2406" t="s">
        <v>427</v>
      </c>
      <c r="B2406" t="s">
        <v>63</v>
      </c>
      <c r="C2406" t="str">
        <f>HYPERLINK("http://service.sap.com/sap/support/notes/1993187","1993187")</f>
        <v>1993187</v>
      </c>
      <c r="D2406">
        <v>1</v>
      </c>
      <c r="E2406" t="s">
        <v>2838</v>
      </c>
      <c r="F2406" t="s">
        <v>17</v>
      </c>
    </row>
    <row r="2407" spans="1:6" x14ac:dyDescent="0.3">
      <c r="A2407" t="s">
        <v>427</v>
      </c>
      <c r="B2407" t="s">
        <v>63</v>
      </c>
      <c r="C2407" t="str">
        <f>HYPERLINK("http://service.sap.com/sap/support/notes/1993714","1993714")</f>
        <v>1993714</v>
      </c>
      <c r="D2407">
        <v>1</v>
      </c>
      <c r="E2407" t="s">
        <v>2839</v>
      </c>
      <c r="F2407" t="s">
        <v>17</v>
      </c>
    </row>
    <row r="2408" spans="1:6" x14ac:dyDescent="0.3">
      <c r="A2408" t="s">
        <v>441</v>
      </c>
      <c r="B2408" t="s">
        <v>346</v>
      </c>
      <c r="C2408" t="str">
        <f>HYPERLINK("http://service.sap.com/sap/support/notes/1911084","1911084")</f>
        <v>1911084</v>
      </c>
      <c r="D2408">
        <v>1</v>
      </c>
      <c r="E2408" t="s">
        <v>2840</v>
      </c>
      <c r="F2408" t="s">
        <v>13</v>
      </c>
    </row>
    <row r="2409" spans="1:6" x14ac:dyDescent="0.3">
      <c r="A2409" t="s">
        <v>441</v>
      </c>
      <c r="B2409" t="s">
        <v>346</v>
      </c>
      <c r="C2409" t="str">
        <f>HYPERLINK("http://service.sap.com/sap/support/notes/1944949","1944949")</f>
        <v>1944949</v>
      </c>
      <c r="D2409">
        <v>7</v>
      </c>
      <c r="E2409" t="s">
        <v>2841</v>
      </c>
      <c r="F2409" t="s">
        <v>17</v>
      </c>
    </row>
    <row r="2410" spans="1:6" x14ac:dyDescent="0.3">
      <c r="A2410" t="s">
        <v>441</v>
      </c>
      <c r="B2410" t="s">
        <v>346</v>
      </c>
      <c r="C2410" t="str">
        <f>HYPERLINK("http://service.sap.com/sap/support/notes/1958713","1958713")</f>
        <v>1958713</v>
      </c>
      <c r="D2410">
        <v>3</v>
      </c>
      <c r="E2410" t="s">
        <v>2842</v>
      </c>
      <c r="F2410" t="s">
        <v>17</v>
      </c>
    </row>
    <row r="2411" spans="1:6" x14ac:dyDescent="0.3">
      <c r="A2411" t="s">
        <v>441</v>
      </c>
      <c r="B2411" t="s">
        <v>346</v>
      </c>
      <c r="C2411" t="str">
        <f>HYPERLINK("http://service.sap.com/sap/support/notes/1975164","1975164")</f>
        <v>1975164</v>
      </c>
      <c r="D2411">
        <v>1</v>
      </c>
      <c r="E2411" t="s">
        <v>2843</v>
      </c>
      <c r="F2411" t="s">
        <v>11</v>
      </c>
    </row>
    <row r="2412" spans="1:6" x14ac:dyDescent="0.3">
      <c r="A2412" t="s">
        <v>441</v>
      </c>
      <c r="B2412" t="s">
        <v>346</v>
      </c>
      <c r="C2412" t="str">
        <f>HYPERLINK("http://service.sap.com/sap/support/notes/1984209","1984209")</f>
        <v>1984209</v>
      </c>
      <c r="D2412">
        <v>1</v>
      </c>
      <c r="E2412" t="s">
        <v>2844</v>
      </c>
      <c r="F2412" t="s">
        <v>17</v>
      </c>
    </row>
    <row r="2413" spans="1:6" x14ac:dyDescent="0.3">
      <c r="A2413" t="s">
        <v>451</v>
      </c>
      <c r="B2413" t="s">
        <v>138</v>
      </c>
      <c r="C2413" t="str">
        <f>HYPERLINK("http://service.sap.com/sap/support/notes/1971506","1971506")</f>
        <v>1971506</v>
      </c>
      <c r="D2413">
        <v>2</v>
      </c>
      <c r="E2413" t="s">
        <v>2845</v>
      </c>
      <c r="F2413" t="s">
        <v>17</v>
      </c>
    </row>
    <row r="2414" spans="1:6" x14ac:dyDescent="0.3">
      <c r="A2414" t="s">
        <v>451</v>
      </c>
      <c r="B2414" t="s">
        <v>138</v>
      </c>
      <c r="C2414" t="str">
        <f>HYPERLINK("http://service.sap.com/sap/support/notes/1979378","1979378")</f>
        <v>1979378</v>
      </c>
      <c r="D2414">
        <v>1</v>
      </c>
      <c r="E2414" t="s">
        <v>2846</v>
      </c>
      <c r="F2414" t="s">
        <v>13</v>
      </c>
    </row>
    <row r="2415" spans="1:6" x14ac:dyDescent="0.3">
      <c r="A2415" t="s">
        <v>451</v>
      </c>
      <c r="B2415" t="s">
        <v>138</v>
      </c>
      <c r="C2415" t="str">
        <f>HYPERLINK("http://service.sap.com/sap/support/notes/1985530","1985530")</f>
        <v>1985530</v>
      </c>
      <c r="D2415">
        <v>1</v>
      </c>
      <c r="E2415" t="s">
        <v>2847</v>
      </c>
      <c r="F2415" t="s">
        <v>13</v>
      </c>
    </row>
    <row r="2416" spans="1:6" x14ac:dyDescent="0.3">
      <c r="A2416" t="s">
        <v>462</v>
      </c>
      <c r="B2416" t="s">
        <v>463</v>
      </c>
      <c r="C2416" t="str">
        <f>HYPERLINK("http://service.sap.com/sap/support/notes/1917172","1917172")</f>
        <v>1917172</v>
      </c>
      <c r="D2416">
        <v>3</v>
      </c>
      <c r="E2416" t="s">
        <v>2848</v>
      </c>
      <c r="F2416" t="s">
        <v>17</v>
      </c>
    </row>
    <row r="2417" spans="1:6" x14ac:dyDescent="0.3">
      <c r="A2417" t="s">
        <v>462</v>
      </c>
      <c r="B2417" t="s">
        <v>463</v>
      </c>
      <c r="C2417" t="str">
        <f>HYPERLINK("http://service.sap.com/sap/support/notes/1940449","1940449")</f>
        <v>1940449</v>
      </c>
      <c r="D2417">
        <v>3</v>
      </c>
      <c r="E2417" t="s">
        <v>2849</v>
      </c>
      <c r="F2417" t="s">
        <v>17</v>
      </c>
    </row>
    <row r="2418" spans="1:6" x14ac:dyDescent="0.3">
      <c r="A2418" t="s">
        <v>466</v>
      </c>
      <c r="B2418" t="s">
        <v>467</v>
      </c>
      <c r="C2418" t="str">
        <f>HYPERLINK("http://service.sap.com/sap/support/notes/1930766","1930766")</f>
        <v>1930766</v>
      </c>
      <c r="D2418">
        <v>4</v>
      </c>
      <c r="E2418" t="s">
        <v>2850</v>
      </c>
      <c r="F2418" t="s">
        <v>17</v>
      </c>
    </row>
    <row r="2419" spans="1:6" x14ac:dyDescent="0.3">
      <c r="A2419" t="s">
        <v>466</v>
      </c>
      <c r="B2419" t="s">
        <v>467</v>
      </c>
      <c r="C2419" t="str">
        <f>HYPERLINK("http://service.sap.com/sap/support/notes/1968334","1968334")</f>
        <v>1968334</v>
      </c>
      <c r="D2419">
        <v>2</v>
      </c>
      <c r="E2419" t="s">
        <v>2851</v>
      </c>
      <c r="F2419" t="s">
        <v>17</v>
      </c>
    </row>
    <row r="2420" spans="1:6" x14ac:dyDescent="0.3">
      <c r="A2420" t="s">
        <v>466</v>
      </c>
      <c r="B2420" t="s">
        <v>467</v>
      </c>
      <c r="C2420" t="str">
        <f>HYPERLINK("http://service.sap.com/sap/support/notes/1979737","1979737")</f>
        <v>1979737</v>
      </c>
      <c r="D2420">
        <v>3</v>
      </c>
      <c r="E2420" t="s">
        <v>2852</v>
      </c>
      <c r="F2420" t="s">
        <v>17</v>
      </c>
    </row>
    <row r="2421" spans="1:6" x14ac:dyDescent="0.3">
      <c r="A2421" t="s">
        <v>481</v>
      </c>
      <c r="B2421" t="s">
        <v>482</v>
      </c>
      <c r="C2421" t="str">
        <f>HYPERLINK("http://service.sap.com/sap/support/notes/1930839","1930839")</f>
        <v>1930839</v>
      </c>
      <c r="D2421">
        <v>3</v>
      </c>
      <c r="E2421" t="s">
        <v>2853</v>
      </c>
      <c r="F2421" t="s">
        <v>17</v>
      </c>
    </row>
    <row r="2422" spans="1:6" x14ac:dyDescent="0.3">
      <c r="A2422" t="s">
        <v>498</v>
      </c>
      <c r="B2422" t="s">
        <v>243</v>
      </c>
      <c r="C2422" t="str">
        <f>HYPERLINK("http://service.sap.com/sap/support/notes/1931109","1931109")</f>
        <v>1931109</v>
      </c>
      <c r="D2422">
        <v>2</v>
      </c>
      <c r="E2422" t="s">
        <v>2854</v>
      </c>
      <c r="F2422" t="s">
        <v>13</v>
      </c>
    </row>
    <row r="2423" spans="1:6" x14ac:dyDescent="0.3">
      <c r="A2423" t="s">
        <v>498</v>
      </c>
      <c r="B2423" t="s">
        <v>243</v>
      </c>
      <c r="C2423" t="str">
        <f>HYPERLINK("http://service.sap.com/sap/support/notes/1938540","1938540")</f>
        <v>1938540</v>
      </c>
      <c r="D2423">
        <v>2</v>
      </c>
      <c r="E2423" t="s">
        <v>2855</v>
      </c>
      <c r="F2423" t="s">
        <v>17</v>
      </c>
    </row>
    <row r="2424" spans="1:6" x14ac:dyDescent="0.3">
      <c r="A2424" t="s">
        <v>498</v>
      </c>
      <c r="B2424" t="s">
        <v>243</v>
      </c>
      <c r="C2424" t="str">
        <f>HYPERLINK("http://service.sap.com/sap/support/notes/1941423","1941423")</f>
        <v>1941423</v>
      </c>
      <c r="D2424">
        <v>4</v>
      </c>
      <c r="E2424" t="s">
        <v>2856</v>
      </c>
      <c r="F2424" t="s">
        <v>17</v>
      </c>
    </row>
    <row r="2425" spans="1:6" x14ac:dyDescent="0.3">
      <c r="A2425" t="s">
        <v>498</v>
      </c>
      <c r="B2425" t="s">
        <v>243</v>
      </c>
      <c r="C2425" t="str">
        <f>HYPERLINK("http://service.sap.com/sap/support/notes/1946330","1946330")</f>
        <v>1946330</v>
      </c>
      <c r="D2425">
        <v>3</v>
      </c>
      <c r="E2425" t="s">
        <v>2857</v>
      </c>
      <c r="F2425" t="s">
        <v>17</v>
      </c>
    </row>
    <row r="2426" spans="1:6" x14ac:dyDescent="0.3">
      <c r="A2426" t="s">
        <v>498</v>
      </c>
      <c r="B2426" t="s">
        <v>243</v>
      </c>
      <c r="C2426" t="str">
        <f>HYPERLINK("http://service.sap.com/sap/support/notes/1954535","1954535")</f>
        <v>1954535</v>
      </c>
      <c r="D2426">
        <v>2</v>
      </c>
      <c r="E2426" t="s">
        <v>2858</v>
      </c>
      <c r="F2426" t="s">
        <v>17</v>
      </c>
    </row>
    <row r="2427" spans="1:6" x14ac:dyDescent="0.3">
      <c r="A2427" t="s">
        <v>498</v>
      </c>
      <c r="B2427" t="s">
        <v>243</v>
      </c>
      <c r="C2427" t="str">
        <f>HYPERLINK("http://service.sap.com/sap/support/notes/1957326","1957326")</f>
        <v>1957326</v>
      </c>
      <c r="D2427">
        <v>2</v>
      </c>
      <c r="E2427" t="s">
        <v>2859</v>
      </c>
      <c r="F2427" t="s">
        <v>17</v>
      </c>
    </row>
    <row r="2428" spans="1:6" x14ac:dyDescent="0.3">
      <c r="A2428" t="s">
        <v>498</v>
      </c>
      <c r="B2428" t="s">
        <v>243</v>
      </c>
      <c r="C2428" t="str">
        <f>HYPERLINK("http://service.sap.com/sap/support/notes/1958684","1958684")</f>
        <v>1958684</v>
      </c>
      <c r="D2428">
        <v>2</v>
      </c>
      <c r="E2428" t="s">
        <v>2860</v>
      </c>
      <c r="F2428" t="s">
        <v>17</v>
      </c>
    </row>
    <row r="2429" spans="1:6" x14ac:dyDescent="0.3">
      <c r="A2429" t="s">
        <v>498</v>
      </c>
      <c r="B2429" t="s">
        <v>243</v>
      </c>
      <c r="C2429" t="str">
        <f>HYPERLINK("http://service.sap.com/sap/support/notes/1959307","1959307")</f>
        <v>1959307</v>
      </c>
      <c r="D2429">
        <v>2</v>
      </c>
      <c r="E2429" t="s">
        <v>2861</v>
      </c>
      <c r="F2429" t="s">
        <v>17</v>
      </c>
    </row>
    <row r="2430" spans="1:6" x14ac:dyDescent="0.3">
      <c r="A2430" t="s">
        <v>498</v>
      </c>
      <c r="B2430" t="s">
        <v>243</v>
      </c>
      <c r="C2430" t="str">
        <f>HYPERLINK("http://service.sap.com/sap/support/notes/1966370","1966370")</f>
        <v>1966370</v>
      </c>
      <c r="D2430">
        <v>2</v>
      </c>
      <c r="E2430" t="s">
        <v>2862</v>
      </c>
      <c r="F2430" t="s">
        <v>17</v>
      </c>
    </row>
    <row r="2431" spans="1:6" x14ac:dyDescent="0.3">
      <c r="A2431" t="s">
        <v>520</v>
      </c>
      <c r="B2431" t="s">
        <v>521</v>
      </c>
    </row>
    <row r="2432" spans="1:6" x14ac:dyDescent="0.3">
      <c r="A2432" t="s">
        <v>522</v>
      </c>
      <c r="B2432" t="s">
        <v>523</v>
      </c>
      <c r="C2432" t="str">
        <f>HYPERLINK("http://service.sap.com/sap/support/notes/1931811","1931811")</f>
        <v>1931811</v>
      </c>
      <c r="D2432">
        <v>2</v>
      </c>
      <c r="E2432" t="s">
        <v>2863</v>
      </c>
      <c r="F2432" t="s">
        <v>13</v>
      </c>
    </row>
    <row r="2433" spans="1:6" x14ac:dyDescent="0.3">
      <c r="A2433" t="s">
        <v>522</v>
      </c>
      <c r="B2433" t="s">
        <v>523</v>
      </c>
      <c r="C2433" t="str">
        <f>HYPERLINK("http://service.sap.com/sap/support/notes/1952758","1952758")</f>
        <v>1952758</v>
      </c>
      <c r="D2433">
        <v>10</v>
      </c>
      <c r="E2433" t="s">
        <v>2864</v>
      </c>
      <c r="F2433" t="s">
        <v>11</v>
      </c>
    </row>
    <row r="2434" spans="1:6" x14ac:dyDescent="0.3">
      <c r="A2434" t="s">
        <v>522</v>
      </c>
      <c r="B2434" t="s">
        <v>523</v>
      </c>
      <c r="C2434" t="str">
        <f>HYPERLINK("http://service.sap.com/sap/support/notes/1986912","1986912")</f>
        <v>1986912</v>
      </c>
      <c r="D2434">
        <v>2</v>
      </c>
      <c r="E2434" t="s">
        <v>2865</v>
      </c>
      <c r="F2434" t="s">
        <v>17</v>
      </c>
    </row>
    <row r="2435" spans="1:6" x14ac:dyDescent="0.3">
      <c r="A2435" t="s">
        <v>526</v>
      </c>
      <c r="B2435" t="s">
        <v>527</v>
      </c>
    </row>
    <row r="2436" spans="1:6" x14ac:dyDescent="0.3">
      <c r="A2436" t="s">
        <v>529</v>
      </c>
      <c r="B2436" t="s">
        <v>346</v>
      </c>
      <c r="C2436" t="str">
        <f>HYPERLINK("http://service.sap.com/sap/support/notes/1981647","1981647")</f>
        <v>1981647</v>
      </c>
      <c r="D2436">
        <v>1</v>
      </c>
      <c r="E2436" t="s">
        <v>2866</v>
      </c>
      <c r="F2436" t="s">
        <v>17</v>
      </c>
    </row>
    <row r="2437" spans="1:6" x14ac:dyDescent="0.3">
      <c r="A2437" t="s">
        <v>529</v>
      </c>
      <c r="B2437" t="s">
        <v>346</v>
      </c>
      <c r="C2437" t="str">
        <f>HYPERLINK("http://service.sap.com/sap/support/notes/1995110","1995110")</f>
        <v>1995110</v>
      </c>
      <c r="D2437">
        <v>1</v>
      </c>
      <c r="E2437" t="s">
        <v>2867</v>
      </c>
      <c r="F2437" t="s">
        <v>17</v>
      </c>
    </row>
    <row r="2438" spans="1:6" x14ac:dyDescent="0.3">
      <c r="A2438" t="s">
        <v>530</v>
      </c>
      <c r="B2438" t="s">
        <v>531</v>
      </c>
      <c r="C2438" t="str">
        <f>HYPERLINK("http://service.sap.com/sap/support/notes/1918232","1918232")</f>
        <v>1918232</v>
      </c>
      <c r="D2438">
        <v>3</v>
      </c>
      <c r="E2438" t="s">
        <v>2044</v>
      </c>
      <c r="F2438" t="s">
        <v>17</v>
      </c>
    </row>
    <row r="2439" spans="1:6" x14ac:dyDescent="0.3">
      <c r="A2439" t="s">
        <v>530</v>
      </c>
      <c r="B2439" t="s">
        <v>531</v>
      </c>
      <c r="C2439" t="str">
        <f>HYPERLINK("http://service.sap.com/sap/support/notes/1956632","1956632")</f>
        <v>1956632</v>
      </c>
      <c r="D2439">
        <v>2</v>
      </c>
      <c r="E2439" t="s">
        <v>2868</v>
      </c>
      <c r="F2439" t="s">
        <v>17</v>
      </c>
    </row>
    <row r="2440" spans="1:6" x14ac:dyDescent="0.3">
      <c r="A2440" t="s">
        <v>530</v>
      </c>
      <c r="B2440" t="s">
        <v>531</v>
      </c>
      <c r="C2440" t="str">
        <f>HYPERLINK("http://service.sap.com/sap/support/notes/1957386","1957386")</f>
        <v>1957386</v>
      </c>
      <c r="D2440">
        <v>2</v>
      </c>
      <c r="E2440" t="s">
        <v>2869</v>
      </c>
      <c r="F2440" t="s">
        <v>17</v>
      </c>
    </row>
    <row r="2441" spans="1:6" x14ac:dyDescent="0.3">
      <c r="A2441" t="s">
        <v>530</v>
      </c>
      <c r="B2441" t="s">
        <v>531</v>
      </c>
      <c r="C2441" t="str">
        <f>HYPERLINK("http://service.sap.com/sap/support/notes/1962197","1962197")</f>
        <v>1962197</v>
      </c>
      <c r="D2441">
        <v>2</v>
      </c>
      <c r="E2441" t="s">
        <v>2870</v>
      </c>
      <c r="F2441" t="s">
        <v>17</v>
      </c>
    </row>
    <row r="2442" spans="1:6" x14ac:dyDescent="0.3">
      <c r="A2442" t="s">
        <v>530</v>
      </c>
      <c r="B2442" t="s">
        <v>531</v>
      </c>
      <c r="C2442" t="str">
        <f>HYPERLINK("http://service.sap.com/sap/support/notes/1970267","1970267")</f>
        <v>1970267</v>
      </c>
      <c r="D2442">
        <v>4</v>
      </c>
      <c r="E2442" t="s">
        <v>2871</v>
      </c>
      <c r="F2442" t="s">
        <v>17</v>
      </c>
    </row>
    <row r="2443" spans="1:6" x14ac:dyDescent="0.3">
      <c r="A2443" t="s">
        <v>530</v>
      </c>
      <c r="B2443" t="s">
        <v>531</v>
      </c>
      <c r="C2443" t="str">
        <f>HYPERLINK("http://service.sap.com/sap/support/notes/1974013","1974013")</f>
        <v>1974013</v>
      </c>
      <c r="D2443">
        <v>3</v>
      </c>
      <c r="E2443" t="s">
        <v>2872</v>
      </c>
      <c r="F2443" t="s">
        <v>17</v>
      </c>
    </row>
    <row r="2444" spans="1:6" x14ac:dyDescent="0.3">
      <c r="A2444" t="s">
        <v>530</v>
      </c>
      <c r="B2444" t="s">
        <v>531</v>
      </c>
      <c r="C2444" t="str">
        <f>HYPERLINK("http://service.sap.com/sap/support/notes/1975331","1975331")</f>
        <v>1975331</v>
      </c>
      <c r="D2444">
        <v>3</v>
      </c>
      <c r="E2444" t="s">
        <v>2873</v>
      </c>
      <c r="F2444" t="s">
        <v>17</v>
      </c>
    </row>
    <row r="2445" spans="1:6" x14ac:dyDescent="0.3">
      <c r="A2445" t="s">
        <v>530</v>
      </c>
      <c r="B2445" t="s">
        <v>531</v>
      </c>
      <c r="C2445" t="str">
        <f>HYPERLINK("http://service.sap.com/sap/support/notes/1979779","1979779")</f>
        <v>1979779</v>
      </c>
      <c r="D2445">
        <v>1</v>
      </c>
      <c r="E2445" t="s">
        <v>2874</v>
      </c>
      <c r="F2445" t="s">
        <v>13</v>
      </c>
    </row>
    <row r="2446" spans="1:6" x14ac:dyDescent="0.3">
      <c r="A2446" t="s">
        <v>530</v>
      </c>
      <c r="B2446" t="s">
        <v>531</v>
      </c>
      <c r="C2446" t="str">
        <f>HYPERLINK("http://service.sap.com/sap/support/notes/1984710","1984710")</f>
        <v>1984710</v>
      </c>
      <c r="D2446">
        <v>1</v>
      </c>
      <c r="E2446" t="s">
        <v>2875</v>
      </c>
      <c r="F2446" t="s">
        <v>17</v>
      </c>
    </row>
    <row r="2447" spans="1:6" x14ac:dyDescent="0.3">
      <c r="A2447" t="s">
        <v>549</v>
      </c>
      <c r="B2447" t="s">
        <v>550</v>
      </c>
      <c r="C2447" t="str">
        <f>HYPERLINK("http://service.sap.com/sap/support/notes/1916744","1916744")</f>
        <v>1916744</v>
      </c>
      <c r="D2447">
        <v>13</v>
      </c>
      <c r="E2447" t="s">
        <v>2876</v>
      </c>
      <c r="F2447" t="s">
        <v>17</v>
      </c>
    </row>
    <row r="2448" spans="1:6" x14ac:dyDescent="0.3">
      <c r="A2448" t="s">
        <v>549</v>
      </c>
      <c r="B2448" t="s">
        <v>550</v>
      </c>
      <c r="C2448" t="str">
        <f>HYPERLINK("http://service.sap.com/sap/support/notes/1946337","1946337")</f>
        <v>1946337</v>
      </c>
      <c r="D2448">
        <v>18</v>
      </c>
      <c r="E2448" t="s">
        <v>2877</v>
      </c>
      <c r="F2448" t="s">
        <v>17</v>
      </c>
    </row>
    <row r="2449" spans="1:6" x14ac:dyDescent="0.3">
      <c r="A2449" t="s">
        <v>549</v>
      </c>
      <c r="B2449" t="s">
        <v>550</v>
      </c>
      <c r="C2449" t="str">
        <f>HYPERLINK("http://service.sap.com/sap/support/notes/1946607","1946607")</f>
        <v>1946607</v>
      </c>
      <c r="D2449">
        <v>2</v>
      </c>
      <c r="E2449" t="s">
        <v>2878</v>
      </c>
      <c r="F2449" t="s">
        <v>17</v>
      </c>
    </row>
    <row r="2450" spans="1:6" x14ac:dyDescent="0.3">
      <c r="A2450" t="s">
        <v>549</v>
      </c>
      <c r="B2450" t="s">
        <v>550</v>
      </c>
      <c r="C2450" t="str">
        <f>HYPERLINK("http://service.sap.com/sap/support/notes/1952315","1952315")</f>
        <v>1952315</v>
      </c>
      <c r="D2450">
        <v>3</v>
      </c>
      <c r="E2450" t="s">
        <v>2879</v>
      </c>
      <c r="F2450" t="s">
        <v>17</v>
      </c>
    </row>
    <row r="2451" spans="1:6" x14ac:dyDescent="0.3">
      <c r="A2451" t="s">
        <v>549</v>
      </c>
      <c r="B2451" t="s">
        <v>550</v>
      </c>
      <c r="C2451" t="str">
        <f>HYPERLINK("http://service.sap.com/sap/support/notes/1953177","1953177")</f>
        <v>1953177</v>
      </c>
      <c r="D2451">
        <v>2</v>
      </c>
      <c r="E2451" t="s">
        <v>2880</v>
      </c>
      <c r="F2451" t="s">
        <v>17</v>
      </c>
    </row>
    <row r="2452" spans="1:6" x14ac:dyDescent="0.3">
      <c r="A2452" t="s">
        <v>549</v>
      </c>
      <c r="B2452" t="s">
        <v>550</v>
      </c>
      <c r="C2452" t="str">
        <f>HYPERLINK("http://service.sap.com/sap/support/notes/1953407","1953407")</f>
        <v>1953407</v>
      </c>
      <c r="D2452">
        <v>2</v>
      </c>
      <c r="E2452" t="s">
        <v>2881</v>
      </c>
      <c r="F2452" t="s">
        <v>17</v>
      </c>
    </row>
    <row r="2453" spans="1:6" x14ac:dyDescent="0.3">
      <c r="A2453" t="s">
        <v>549</v>
      </c>
      <c r="B2453" t="s">
        <v>550</v>
      </c>
      <c r="C2453" t="str">
        <f>HYPERLINK("http://service.sap.com/sap/support/notes/1955820","1955820")</f>
        <v>1955820</v>
      </c>
      <c r="D2453">
        <v>2</v>
      </c>
      <c r="E2453" t="s">
        <v>2882</v>
      </c>
      <c r="F2453" t="s">
        <v>11</v>
      </c>
    </row>
    <row r="2454" spans="1:6" x14ac:dyDescent="0.3">
      <c r="A2454" t="s">
        <v>549</v>
      </c>
      <c r="B2454" t="s">
        <v>550</v>
      </c>
      <c r="C2454" t="str">
        <f>HYPERLINK("http://service.sap.com/sap/support/notes/1956223","1956223")</f>
        <v>1956223</v>
      </c>
      <c r="D2454">
        <v>3</v>
      </c>
      <c r="E2454" t="s">
        <v>2883</v>
      </c>
      <c r="F2454" t="s">
        <v>11</v>
      </c>
    </row>
    <row r="2455" spans="1:6" x14ac:dyDescent="0.3">
      <c r="A2455" t="s">
        <v>549</v>
      </c>
      <c r="B2455" t="s">
        <v>550</v>
      </c>
      <c r="C2455" t="str">
        <f>HYPERLINK("http://service.sap.com/sap/support/notes/1956619","1956619")</f>
        <v>1956619</v>
      </c>
      <c r="D2455">
        <v>3</v>
      </c>
      <c r="E2455" t="s">
        <v>2884</v>
      </c>
      <c r="F2455" t="s">
        <v>17</v>
      </c>
    </row>
    <row r="2456" spans="1:6" x14ac:dyDescent="0.3">
      <c r="A2456" t="s">
        <v>549</v>
      </c>
      <c r="B2456" t="s">
        <v>550</v>
      </c>
      <c r="C2456" t="str">
        <f>HYPERLINK("http://service.sap.com/sap/support/notes/1956800","1956800")</f>
        <v>1956800</v>
      </c>
      <c r="D2456">
        <v>4</v>
      </c>
      <c r="E2456" t="s">
        <v>2885</v>
      </c>
      <c r="F2456" t="s">
        <v>17</v>
      </c>
    </row>
    <row r="2457" spans="1:6" x14ac:dyDescent="0.3">
      <c r="A2457" t="s">
        <v>549</v>
      </c>
      <c r="B2457" t="s">
        <v>550</v>
      </c>
      <c r="C2457" t="str">
        <f>HYPERLINK("http://service.sap.com/sap/support/notes/1957165","1957165")</f>
        <v>1957165</v>
      </c>
      <c r="D2457">
        <v>2</v>
      </c>
      <c r="E2457" t="s">
        <v>2886</v>
      </c>
      <c r="F2457" t="s">
        <v>17</v>
      </c>
    </row>
    <row r="2458" spans="1:6" x14ac:dyDescent="0.3">
      <c r="A2458" t="s">
        <v>549</v>
      </c>
      <c r="B2458" t="s">
        <v>550</v>
      </c>
      <c r="C2458" t="str">
        <f>HYPERLINK("http://service.sap.com/sap/support/notes/1957242","1957242")</f>
        <v>1957242</v>
      </c>
      <c r="D2458">
        <v>3</v>
      </c>
      <c r="E2458" t="s">
        <v>2887</v>
      </c>
      <c r="F2458" t="s">
        <v>17</v>
      </c>
    </row>
    <row r="2459" spans="1:6" x14ac:dyDescent="0.3">
      <c r="A2459" t="s">
        <v>549</v>
      </c>
      <c r="B2459" t="s">
        <v>550</v>
      </c>
      <c r="C2459" t="str">
        <f>HYPERLINK("http://service.sap.com/sap/support/notes/1958768","1958768")</f>
        <v>1958768</v>
      </c>
      <c r="D2459">
        <v>2</v>
      </c>
      <c r="E2459" t="s">
        <v>2888</v>
      </c>
      <c r="F2459" t="s">
        <v>17</v>
      </c>
    </row>
    <row r="2460" spans="1:6" x14ac:dyDescent="0.3">
      <c r="A2460" t="s">
        <v>549</v>
      </c>
      <c r="B2460" t="s">
        <v>550</v>
      </c>
      <c r="C2460" t="str">
        <f>HYPERLINK("http://service.sap.com/sap/support/notes/1961005","1961005")</f>
        <v>1961005</v>
      </c>
      <c r="D2460">
        <v>2</v>
      </c>
      <c r="E2460" t="s">
        <v>2889</v>
      </c>
      <c r="F2460" t="s">
        <v>17</v>
      </c>
    </row>
    <row r="2461" spans="1:6" x14ac:dyDescent="0.3">
      <c r="A2461" t="s">
        <v>549</v>
      </c>
      <c r="B2461" t="s">
        <v>550</v>
      </c>
      <c r="C2461" t="str">
        <f>HYPERLINK("http://service.sap.com/sap/support/notes/1962009","1962009")</f>
        <v>1962009</v>
      </c>
      <c r="D2461">
        <v>2</v>
      </c>
      <c r="E2461" t="s">
        <v>2890</v>
      </c>
      <c r="F2461" t="s">
        <v>17</v>
      </c>
    </row>
    <row r="2462" spans="1:6" x14ac:dyDescent="0.3">
      <c r="A2462" t="s">
        <v>549</v>
      </c>
      <c r="B2462" t="s">
        <v>550</v>
      </c>
      <c r="C2462" t="str">
        <f>HYPERLINK("http://service.sap.com/sap/support/notes/1963929","1963929")</f>
        <v>1963929</v>
      </c>
      <c r="D2462">
        <v>3</v>
      </c>
      <c r="E2462" t="s">
        <v>2891</v>
      </c>
      <c r="F2462" t="s">
        <v>11</v>
      </c>
    </row>
    <row r="2463" spans="1:6" x14ac:dyDescent="0.3">
      <c r="A2463" t="s">
        <v>549</v>
      </c>
      <c r="B2463" t="s">
        <v>550</v>
      </c>
      <c r="C2463" t="str">
        <f>HYPERLINK("http://service.sap.com/sap/support/notes/1965254","1965254")</f>
        <v>1965254</v>
      </c>
      <c r="D2463">
        <v>7</v>
      </c>
      <c r="E2463" t="s">
        <v>2892</v>
      </c>
      <c r="F2463" t="s">
        <v>17</v>
      </c>
    </row>
    <row r="2464" spans="1:6" x14ac:dyDescent="0.3">
      <c r="A2464" t="s">
        <v>549</v>
      </c>
      <c r="B2464" t="s">
        <v>550</v>
      </c>
      <c r="C2464" t="str">
        <f>HYPERLINK("http://service.sap.com/sap/support/notes/1967995","1967995")</f>
        <v>1967995</v>
      </c>
      <c r="D2464">
        <v>5</v>
      </c>
      <c r="E2464" t="s">
        <v>2893</v>
      </c>
      <c r="F2464" t="s">
        <v>17</v>
      </c>
    </row>
    <row r="2465" spans="1:6" x14ac:dyDescent="0.3">
      <c r="A2465" t="s">
        <v>549</v>
      </c>
      <c r="B2465" t="s">
        <v>550</v>
      </c>
      <c r="C2465" t="str">
        <f>HYPERLINK("http://service.sap.com/sap/support/notes/1968423","1968423")</f>
        <v>1968423</v>
      </c>
      <c r="D2465">
        <v>3</v>
      </c>
      <c r="E2465" t="s">
        <v>2894</v>
      </c>
      <c r="F2465" t="s">
        <v>17</v>
      </c>
    </row>
    <row r="2466" spans="1:6" x14ac:dyDescent="0.3">
      <c r="A2466" t="s">
        <v>549</v>
      </c>
      <c r="B2466" t="s">
        <v>550</v>
      </c>
      <c r="C2466" t="str">
        <f>HYPERLINK("http://service.sap.com/sap/support/notes/1970161","1970161")</f>
        <v>1970161</v>
      </c>
      <c r="D2466">
        <v>2</v>
      </c>
      <c r="E2466" t="s">
        <v>2895</v>
      </c>
      <c r="F2466" t="s">
        <v>17</v>
      </c>
    </row>
    <row r="2467" spans="1:6" x14ac:dyDescent="0.3">
      <c r="A2467" t="s">
        <v>549</v>
      </c>
      <c r="B2467" t="s">
        <v>550</v>
      </c>
      <c r="C2467" t="str">
        <f>HYPERLINK("http://service.sap.com/sap/support/notes/1970836","1970836")</f>
        <v>1970836</v>
      </c>
      <c r="D2467">
        <v>2</v>
      </c>
      <c r="E2467" t="s">
        <v>2896</v>
      </c>
      <c r="F2467" t="s">
        <v>17</v>
      </c>
    </row>
    <row r="2468" spans="1:6" x14ac:dyDescent="0.3">
      <c r="A2468" t="s">
        <v>549</v>
      </c>
      <c r="B2468" t="s">
        <v>550</v>
      </c>
      <c r="C2468" t="str">
        <f>HYPERLINK("http://service.sap.com/sap/support/notes/1970883","1970883")</f>
        <v>1970883</v>
      </c>
      <c r="D2468">
        <v>3</v>
      </c>
      <c r="E2468" t="s">
        <v>2897</v>
      </c>
      <c r="F2468" t="s">
        <v>17</v>
      </c>
    </row>
    <row r="2469" spans="1:6" x14ac:dyDescent="0.3">
      <c r="A2469" t="s">
        <v>549</v>
      </c>
      <c r="B2469" t="s">
        <v>550</v>
      </c>
      <c r="C2469" t="str">
        <f>HYPERLINK("http://service.sap.com/sap/support/notes/1973967","1973967")</f>
        <v>1973967</v>
      </c>
      <c r="D2469">
        <v>3</v>
      </c>
      <c r="E2469" t="s">
        <v>2898</v>
      </c>
      <c r="F2469" t="s">
        <v>17</v>
      </c>
    </row>
    <row r="2470" spans="1:6" x14ac:dyDescent="0.3">
      <c r="A2470" t="s">
        <v>549</v>
      </c>
      <c r="B2470" t="s">
        <v>550</v>
      </c>
      <c r="C2470" t="str">
        <f>HYPERLINK("http://service.sap.com/sap/support/notes/1975533","1975533")</f>
        <v>1975533</v>
      </c>
      <c r="D2470">
        <v>1</v>
      </c>
      <c r="E2470" t="s">
        <v>2899</v>
      </c>
      <c r="F2470" t="s">
        <v>17</v>
      </c>
    </row>
    <row r="2471" spans="1:6" x14ac:dyDescent="0.3">
      <c r="A2471" t="s">
        <v>549</v>
      </c>
      <c r="B2471" t="s">
        <v>550</v>
      </c>
      <c r="C2471" t="str">
        <f>HYPERLINK("http://service.sap.com/sap/support/notes/1975694","1975694")</f>
        <v>1975694</v>
      </c>
      <c r="D2471">
        <v>1</v>
      </c>
      <c r="E2471" t="s">
        <v>2900</v>
      </c>
      <c r="F2471" t="s">
        <v>17</v>
      </c>
    </row>
    <row r="2472" spans="1:6" x14ac:dyDescent="0.3">
      <c r="A2472" t="s">
        <v>549</v>
      </c>
      <c r="B2472" t="s">
        <v>550</v>
      </c>
      <c r="C2472" t="str">
        <f>HYPERLINK("http://service.sap.com/sap/support/notes/1976093","1976093")</f>
        <v>1976093</v>
      </c>
      <c r="D2472">
        <v>2</v>
      </c>
      <c r="E2472" t="s">
        <v>2901</v>
      </c>
      <c r="F2472" t="s">
        <v>17</v>
      </c>
    </row>
    <row r="2473" spans="1:6" x14ac:dyDescent="0.3">
      <c r="A2473" t="s">
        <v>549</v>
      </c>
      <c r="B2473" t="s">
        <v>550</v>
      </c>
      <c r="C2473" t="str">
        <f>HYPERLINK("http://service.sap.com/sap/support/notes/1979427","1979427")</f>
        <v>1979427</v>
      </c>
      <c r="D2473">
        <v>1</v>
      </c>
      <c r="E2473" t="s">
        <v>2902</v>
      </c>
      <c r="F2473" t="s">
        <v>17</v>
      </c>
    </row>
    <row r="2474" spans="1:6" x14ac:dyDescent="0.3">
      <c r="A2474" t="s">
        <v>549</v>
      </c>
      <c r="B2474" t="s">
        <v>550</v>
      </c>
      <c r="C2474" t="str">
        <f>HYPERLINK("http://service.sap.com/sap/support/notes/1979428","1979428")</f>
        <v>1979428</v>
      </c>
      <c r="D2474">
        <v>1</v>
      </c>
      <c r="E2474" t="s">
        <v>2903</v>
      </c>
      <c r="F2474" t="s">
        <v>17</v>
      </c>
    </row>
    <row r="2475" spans="1:6" x14ac:dyDescent="0.3">
      <c r="A2475" t="s">
        <v>549</v>
      </c>
      <c r="B2475" t="s">
        <v>550</v>
      </c>
      <c r="C2475" t="str">
        <f>HYPERLINK("http://service.sap.com/sap/support/notes/1980115","1980115")</f>
        <v>1980115</v>
      </c>
      <c r="D2475">
        <v>4</v>
      </c>
      <c r="E2475" t="s">
        <v>2904</v>
      </c>
      <c r="F2475" t="s">
        <v>17</v>
      </c>
    </row>
    <row r="2476" spans="1:6" x14ac:dyDescent="0.3">
      <c r="A2476" t="s">
        <v>549</v>
      </c>
      <c r="B2476" t="s">
        <v>550</v>
      </c>
      <c r="C2476" t="str">
        <f>HYPERLINK("http://service.sap.com/sap/support/notes/1980430","1980430")</f>
        <v>1980430</v>
      </c>
      <c r="D2476">
        <v>1</v>
      </c>
      <c r="E2476" t="s">
        <v>2905</v>
      </c>
      <c r="F2476" t="s">
        <v>17</v>
      </c>
    </row>
    <row r="2477" spans="1:6" x14ac:dyDescent="0.3">
      <c r="A2477" t="s">
        <v>549</v>
      </c>
      <c r="B2477" t="s">
        <v>550</v>
      </c>
      <c r="C2477" t="str">
        <f>HYPERLINK("http://service.sap.com/sap/support/notes/1980705","1980705")</f>
        <v>1980705</v>
      </c>
      <c r="D2477">
        <v>1</v>
      </c>
      <c r="E2477" t="s">
        <v>2906</v>
      </c>
      <c r="F2477" t="s">
        <v>17</v>
      </c>
    </row>
    <row r="2478" spans="1:6" x14ac:dyDescent="0.3">
      <c r="A2478" t="s">
        <v>549</v>
      </c>
      <c r="B2478" t="s">
        <v>550</v>
      </c>
      <c r="C2478" t="str">
        <f>HYPERLINK("http://service.sap.com/sap/support/notes/1984600","1984600")</f>
        <v>1984600</v>
      </c>
      <c r="D2478">
        <v>6</v>
      </c>
      <c r="E2478" t="s">
        <v>2907</v>
      </c>
      <c r="F2478" t="s">
        <v>17</v>
      </c>
    </row>
    <row r="2479" spans="1:6" x14ac:dyDescent="0.3">
      <c r="A2479" t="s">
        <v>549</v>
      </c>
      <c r="B2479" t="s">
        <v>550</v>
      </c>
      <c r="C2479" t="str">
        <f>HYPERLINK("http://service.sap.com/sap/support/notes/1989734","1989734")</f>
        <v>1989734</v>
      </c>
      <c r="D2479">
        <v>1</v>
      </c>
      <c r="E2479" t="s">
        <v>2908</v>
      </c>
      <c r="F2479" t="s">
        <v>13</v>
      </c>
    </row>
    <row r="2480" spans="1:6" x14ac:dyDescent="0.3">
      <c r="A2480" t="s">
        <v>549</v>
      </c>
      <c r="B2480" t="s">
        <v>550</v>
      </c>
      <c r="C2480" t="str">
        <f>HYPERLINK("http://service.sap.com/sap/support/notes/1991180","1991180")</f>
        <v>1991180</v>
      </c>
      <c r="D2480">
        <v>1</v>
      </c>
      <c r="E2480" t="s">
        <v>2909</v>
      </c>
      <c r="F2480" t="s">
        <v>13</v>
      </c>
    </row>
    <row r="2481" spans="1:6" x14ac:dyDescent="0.3">
      <c r="A2481" t="s">
        <v>549</v>
      </c>
      <c r="B2481" t="s">
        <v>550</v>
      </c>
      <c r="C2481" t="str">
        <f>HYPERLINK("http://service.sap.com/sap/support/notes/1991553","1991553")</f>
        <v>1991553</v>
      </c>
      <c r="D2481">
        <v>1</v>
      </c>
      <c r="E2481" t="s">
        <v>2910</v>
      </c>
      <c r="F2481" t="s">
        <v>17</v>
      </c>
    </row>
    <row r="2482" spans="1:6" x14ac:dyDescent="0.3">
      <c r="A2482" t="s">
        <v>599</v>
      </c>
      <c r="B2482" t="s">
        <v>600</v>
      </c>
      <c r="C2482" t="str">
        <f>HYPERLINK("http://service.sap.com/sap/support/notes/1737313","1737313")</f>
        <v>1737313</v>
      </c>
      <c r="D2482">
        <v>9</v>
      </c>
      <c r="E2482" t="s">
        <v>2911</v>
      </c>
      <c r="F2482" t="s">
        <v>17</v>
      </c>
    </row>
    <row r="2483" spans="1:6" x14ac:dyDescent="0.3">
      <c r="A2483" t="s">
        <v>599</v>
      </c>
      <c r="B2483" t="s">
        <v>600</v>
      </c>
      <c r="C2483" t="str">
        <f>HYPERLINK("http://service.sap.com/sap/support/notes/1903867","1903867")</f>
        <v>1903867</v>
      </c>
      <c r="D2483">
        <v>4</v>
      </c>
      <c r="E2483" t="s">
        <v>2912</v>
      </c>
      <c r="F2483" t="s">
        <v>17</v>
      </c>
    </row>
    <row r="2484" spans="1:6" x14ac:dyDescent="0.3">
      <c r="A2484" t="s">
        <v>599</v>
      </c>
      <c r="B2484" t="s">
        <v>600</v>
      </c>
      <c r="C2484" t="str">
        <f>HYPERLINK("http://service.sap.com/sap/support/notes/1918368","1918368")</f>
        <v>1918368</v>
      </c>
      <c r="D2484">
        <v>1</v>
      </c>
      <c r="E2484" t="s">
        <v>2913</v>
      </c>
      <c r="F2484" t="s">
        <v>11</v>
      </c>
    </row>
    <row r="2485" spans="1:6" x14ac:dyDescent="0.3">
      <c r="A2485" t="s">
        <v>599</v>
      </c>
      <c r="B2485" t="s">
        <v>600</v>
      </c>
      <c r="C2485" t="str">
        <f>HYPERLINK("http://service.sap.com/sap/support/notes/1939568","1939568")</f>
        <v>1939568</v>
      </c>
      <c r="D2485">
        <v>4</v>
      </c>
      <c r="E2485" t="s">
        <v>2914</v>
      </c>
      <c r="F2485" t="s">
        <v>17</v>
      </c>
    </row>
    <row r="2486" spans="1:6" x14ac:dyDescent="0.3">
      <c r="A2486" t="s">
        <v>599</v>
      </c>
      <c r="B2486" t="s">
        <v>600</v>
      </c>
      <c r="C2486" t="str">
        <f>HYPERLINK("http://service.sap.com/sap/support/notes/1940225","1940225")</f>
        <v>1940225</v>
      </c>
      <c r="D2486">
        <v>5</v>
      </c>
      <c r="E2486" t="s">
        <v>2915</v>
      </c>
      <c r="F2486" t="s">
        <v>17</v>
      </c>
    </row>
    <row r="2487" spans="1:6" x14ac:dyDescent="0.3">
      <c r="A2487" t="s">
        <v>599</v>
      </c>
      <c r="B2487" t="s">
        <v>600</v>
      </c>
      <c r="C2487" t="str">
        <f>HYPERLINK("http://service.sap.com/sap/support/notes/1943252","1943252")</f>
        <v>1943252</v>
      </c>
      <c r="D2487">
        <v>3</v>
      </c>
      <c r="E2487" t="s">
        <v>2916</v>
      </c>
      <c r="F2487" t="s">
        <v>17</v>
      </c>
    </row>
    <row r="2488" spans="1:6" x14ac:dyDescent="0.3">
      <c r="A2488" t="s">
        <v>599</v>
      </c>
      <c r="B2488" t="s">
        <v>600</v>
      </c>
      <c r="C2488" t="str">
        <f>HYPERLINK("http://service.sap.com/sap/support/notes/1950300","1950300")</f>
        <v>1950300</v>
      </c>
      <c r="D2488">
        <v>4</v>
      </c>
      <c r="E2488" t="s">
        <v>2917</v>
      </c>
      <c r="F2488" t="s">
        <v>17</v>
      </c>
    </row>
    <row r="2489" spans="1:6" x14ac:dyDescent="0.3">
      <c r="A2489" t="s">
        <v>599</v>
      </c>
      <c r="B2489" t="s">
        <v>600</v>
      </c>
      <c r="C2489" t="str">
        <f>HYPERLINK("http://service.sap.com/sap/support/notes/1950653","1950653")</f>
        <v>1950653</v>
      </c>
      <c r="D2489">
        <v>2</v>
      </c>
      <c r="E2489" t="s">
        <v>2918</v>
      </c>
      <c r="F2489" t="s">
        <v>17</v>
      </c>
    </row>
    <row r="2490" spans="1:6" x14ac:dyDescent="0.3">
      <c r="A2490" t="s">
        <v>599</v>
      </c>
      <c r="B2490" t="s">
        <v>600</v>
      </c>
      <c r="C2490" t="str">
        <f>HYPERLINK("http://service.sap.com/sap/support/notes/1951217","1951217")</f>
        <v>1951217</v>
      </c>
      <c r="D2490">
        <v>5</v>
      </c>
      <c r="E2490" t="s">
        <v>2919</v>
      </c>
      <c r="F2490" t="s">
        <v>17</v>
      </c>
    </row>
    <row r="2491" spans="1:6" x14ac:dyDescent="0.3">
      <c r="A2491" t="s">
        <v>599</v>
      </c>
      <c r="B2491" t="s">
        <v>600</v>
      </c>
      <c r="C2491" t="str">
        <f>HYPERLINK("http://service.sap.com/sap/support/notes/1951662","1951662")</f>
        <v>1951662</v>
      </c>
      <c r="D2491">
        <v>4</v>
      </c>
      <c r="E2491" t="s">
        <v>2920</v>
      </c>
      <c r="F2491" t="s">
        <v>17</v>
      </c>
    </row>
    <row r="2492" spans="1:6" x14ac:dyDescent="0.3">
      <c r="A2492" t="s">
        <v>599</v>
      </c>
      <c r="B2492" t="s">
        <v>600</v>
      </c>
      <c r="C2492" t="str">
        <f>HYPERLINK("http://service.sap.com/sap/support/notes/1957980","1957980")</f>
        <v>1957980</v>
      </c>
      <c r="D2492">
        <v>11</v>
      </c>
      <c r="E2492" t="s">
        <v>2921</v>
      </c>
      <c r="F2492" t="s">
        <v>17</v>
      </c>
    </row>
    <row r="2493" spans="1:6" x14ac:dyDescent="0.3">
      <c r="A2493" t="s">
        <v>599</v>
      </c>
      <c r="B2493" t="s">
        <v>600</v>
      </c>
      <c r="C2493" t="str">
        <f>HYPERLINK("http://service.sap.com/sap/support/notes/1958567","1958567")</f>
        <v>1958567</v>
      </c>
      <c r="D2493">
        <v>10</v>
      </c>
      <c r="E2493" t="s">
        <v>2922</v>
      </c>
      <c r="F2493" t="s">
        <v>11</v>
      </c>
    </row>
    <row r="2494" spans="1:6" x14ac:dyDescent="0.3">
      <c r="A2494" t="s">
        <v>599</v>
      </c>
      <c r="B2494" t="s">
        <v>600</v>
      </c>
      <c r="C2494" t="str">
        <f>HYPERLINK("http://service.sap.com/sap/support/notes/1961687","1961687")</f>
        <v>1961687</v>
      </c>
      <c r="D2494">
        <v>5</v>
      </c>
      <c r="E2494" t="s">
        <v>2923</v>
      </c>
      <c r="F2494" t="s">
        <v>17</v>
      </c>
    </row>
    <row r="2495" spans="1:6" x14ac:dyDescent="0.3">
      <c r="A2495" t="s">
        <v>599</v>
      </c>
      <c r="B2495" t="s">
        <v>600</v>
      </c>
      <c r="C2495" t="str">
        <f>HYPERLINK("http://service.sap.com/sap/support/notes/1964891","1964891")</f>
        <v>1964891</v>
      </c>
      <c r="D2495">
        <v>2</v>
      </c>
      <c r="E2495" t="s">
        <v>2924</v>
      </c>
      <c r="F2495" t="s">
        <v>17</v>
      </c>
    </row>
    <row r="2496" spans="1:6" x14ac:dyDescent="0.3">
      <c r="A2496" t="s">
        <v>599</v>
      </c>
      <c r="B2496" t="s">
        <v>600</v>
      </c>
      <c r="C2496" t="str">
        <f>HYPERLINK("http://service.sap.com/sap/support/notes/1965466","1965466")</f>
        <v>1965466</v>
      </c>
      <c r="D2496">
        <v>3</v>
      </c>
      <c r="E2496" t="s">
        <v>2925</v>
      </c>
      <c r="F2496" t="s">
        <v>17</v>
      </c>
    </row>
    <row r="2497" spans="1:6" x14ac:dyDescent="0.3">
      <c r="A2497" t="s">
        <v>599</v>
      </c>
      <c r="B2497" t="s">
        <v>600</v>
      </c>
      <c r="C2497" t="str">
        <f>HYPERLINK("http://service.sap.com/sap/support/notes/1968327","1968327")</f>
        <v>1968327</v>
      </c>
      <c r="D2497">
        <v>2</v>
      </c>
      <c r="E2497" t="s">
        <v>2926</v>
      </c>
      <c r="F2497" t="s">
        <v>17</v>
      </c>
    </row>
    <row r="2498" spans="1:6" x14ac:dyDescent="0.3">
      <c r="A2498" t="s">
        <v>599</v>
      </c>
      <c r="B2498" t="s">
        <v>600</v>
      </c>
      <c r="C2498" t="str">
        <f>HYPERLINK("http://service.sap.com/sap/support/notes/1970003","1970003")</f>
        <v>1970003</v>
      </c>
      <c r="D2498">
        <v>2</v>
      </c>
      <c r="E2498" t="s">
        <v>2927</v>
      </c>
      <c r="F2498" t="s">
        <v>17</v>
      </c>
    </row>
    <row r="2499" spans="1:6" x14ac:dyDescent="0.3">
      <c r="A2499" t="s">
        <v>599</v>
      </c>
      <c r="B2499" t="s">
        <v>600</v>
      </c>
      <c r="C2499" t="str">
        <f>HYPERLINK("http://service.sap.com/sap/support/notes/1972493","1972493")</f>
        <v>1972493</v>
      </c>
      <c r="D2499">
        <v>2</v>
      </c>
      <c r="E2499" t="s">
        <v>2928</v>
      </c>
      <c r="F2499" t="s">
        <v>17</v>
      </c>
    </row>
    <row r="2500" spans="1:6" x14ac:dyDescent="0.3">
      <c r="A2500" t="s">
        <v>599</v>
      </c>
      <c r="B2500" t="s">
        <v>600</v>
      </c>
      <c r="C2500" t="str">
        <f>HYPERLINK("http://service.sap.com/sap/support/notes/1973225","1973225")</f>
        <v>1973225</v>
      </c>
      <c r="D2500">
        <v>3</v>
      </c>
      <c r="E2500" t="s">
        <v>2929</v>
      </c>
      <c r="F2500" t="s">
        <v>17</v>
      </c>
    </row>
    <row r="2501" spans="1:6" x14ac:dyDescent="0.3">
      <c r="A2501" t="s">
        <v>599</v>
      </c>
      <c r="B2501" t="s">
        <v>600</v>
      </c>
      <c r="C2501" t="str">
        <f>HYPERLINK("http://service.sap.com/sap/support/notes/1974709","1974709")</f>
        <v>1974709</v>
      </c>
      <c r="D2501">
        <v>1</v>
      </c>
      <c r="E2501" t="s">
        <v>2930</v>
      </c>
      <c r="F2501" t="s">
        <v>17</v>
      </c>
    </row>
    <row r="2502" spans="1:6" x14ac:dyDescent="0.3">
      <c r="A2502" t="s">
        <v>599</v>
      </c>
      <c r="B2502" t="s">
        <v>600</v>
      </c>
      <c r="C2502" t="str">
        <f>HYPERLINK("http://service.sap.com/sap/support/notes/1975999","1975999")</f>
        <v>1975999</v>
      </c>
      <c r="D2502">
        <v>2</v>
      </c>
      <c r="E2502" t="s">
        <v>2931</v>
      </c>
      <c r="F2502" t="s">
        <v>17</v>
      </c>
    </row>
    <row r="2503" spans="1:6" x14ac:dyDescent="0.3">
      <c r="A2503" t="s">
        <v>599</v>
      </c>
      <c r="B2503" t="s">
        <v>600</v>
      </c>
      <c r="C2503" t="str">
        <f>HYPERLINK("http://service.sap.com/sap/support/notes/1983250","1983250")</f>
        <v>1983250</v>
      </c>
      <c r="D2503">
        <v>1</v>
      </c>
      <c r="E2503" t="s">
        <v>2930</v>
      </c>
      <c r="F2503" t="s">
        <v>17</v>
      </c>
    </row>
    <row r="2504" spans="1:6" x14ac:dyDescent="0.3">
      <c r="A2504" t="s">
        <v>599</v>
      </c>
      <c r="B2504" t="s">
        <v>600</v>
      </c>
      <c r="C2504" t="str">
        <f>HYPERLINK("http://service.sap.com/sap/support/notes/1983252","1983252")</f>
        <v>1983252</v>
      </c>
      <c r="D2504">
        <v>1</v>
      </c>
      <c r="E2504" t="s">
        <v>2930</v>
      </c>
      <c r="F2504" t="s">
        <v>17</v>
      </c>
    </row>
    <row r="2505" spans="1:6" x14ac:dyDescent="0.3">
      <c r="A2505" t="s">
        <v>599</v>
      </c>
      <c r="B2505" t="s">
        <v>600</v>
      </c>
      <c r="C2505" t="str">
        <f>HYPERLINK("http://service.sap.com/sap/support/notes/1983443","1983443")</f>
        <v>1983443</v>
      </c>
      <c r="D2505">
        <v>1</v>
      </c>
      <c r="E2505" t="s">
        <v>2930</v>
      </c>
      <c r="F2505" t="s">
        <v>17</v>
      </c>
    </row>
    <row r="2506" spans="1:6" x14ac:dyDescent="0.3">
      <c r="A2506" t="s">
        <v>599</v>
      </c>
      <c r="B2506" t="s">
        <v>600</v>
      </c>
      <c r="C2506" t="str">
        <f>HYPERLINK("http://service.sap.com/sap/support/notes/1983444","1983444")</f>
        <v>1983444</v>
      </c>
      <c r="D2506">
        <v>1</v>
      </c>
      <c r="E2506" t="s">
        <v>2930</v>
      </c>
      <c r="F2506" t="s">
        <v>17</v>
      </c>
    </row>
    <row r="2507" spans="1:6" x14ac:dyDescent="0.3">
      <c r="A2507" t="s">
        <v>599</v>
      </c>
      <c r="B2507" t="s">
        <v>600</v>
      </c>
      <c r="C2507" t="str">
        <f>HYPERLINK("http://service.sap.com/sap/support/notes/1983445","1983445")</f>
        <v>1983445</v>
      </c>
      <c r="D2507">
        <v>1</v>
      </c>
      <c r="E2507" t="s">
        <v>2930</v>
      </c>
      <c r="F2507" t="s">
        <v>17</v>
      </c>
    </row>
    <row r="2508" spans="1:6" x14ac:dyDescent="0.3">
      <c r="A2508" t="s">
        <v>599</v>
      </c>
      <c r="B2508" t="s">
        <v>600</v>
      </c>
      <c r="C2508" t="str">
        <f>HYPERLINK("http://service.sap.com/sap/support/notes/1983446","1983446")</f>
        <v>1983446</v>
      </c>
      <c r="D2508">
        <v>1</v>
      </c>
      <c r="E2508" t="s">
        <v>2930</v>
      </c>
      <c r="F2508" t="s">
        <v>17</v>
      </c>
    </row>
    <row r="2509" spans="1:6" x14ac:dyDescent="0.3">
      <c r="A2509" t="s">
        <v>599</v>
      </c>
      <c r="B2509" t="s">
        <v>600</v>
      </c>
      <c r="C2509" t="str">
        <f>HYPERLINK("http://service.sap.com/sap/support/notes/1983447","1983447")</f>
        <v>1983447</v>
      </c>
      <c r="D2509">
        <v>1</v>
      </c>
      <c r="E2509" t="s">
        <v>2930</v>
      </c>
      <c r="F2509" t="s">
        <v>17</v>
      </c>
    </row>
    <row r="2510" spans="1:6" x14ac:dyDescent="0.3">
      <c r="A2510" t="s">
        <v>599</v>
      </c>
      <c r="B2510" t="s">
        <v>600</v>
      </c>
      <c r="C2510" t="str">
        <f>HYPERLINK("http://service.sap.com/sap/support/notes/1986327","1986327")</f>
        <v>1986327</v>
      </c>
      <c r="D2510">
        <v>2</v>
      </c>
      <c r="E2510" t="s">
        <v>2932</v>
      </c>
      <c r="F2510" t="s">
        <v>11</v>
      </c>
    </row>
    <row r="2511" spans="1:6" x14ac:dyDescent="0.3">
      <c r="A2511" t="s">
        <v>2933</v>
      </c>
      <c r="B2511" t="s">
        <v>2224</v>
      </c>
      <c r="C2511" t="str">
        <f>HYPERLINK("http://service.sap.com/sap/support/notes/1973958","1973958")</f>
        <v>1973958</v>
      </c>
      <c r="D2511">
        <v>2</v>
      </c>
      <c r="E2511" t="s">
        <v>2934</v>
      </c>
      <c r="F2511" t="s">
        <v>17</v>
      </c>
    </row>
    <row r="2512" spans="1:6" x14ac:dyDescent="0.3">
      <c r="A2512" t="s">
        <v>2935</v>
      </c>
      <c r="B2512" t="s">
        <v>733</v>
      </c>
      <c r="C2512" t="str">
        <f>HYPERLINK("http://service.sap.com/sap/support/notes/1974492","1974492")</f>
        <v>1974492</v>
      </c>
      <c r="D2512">
        <v>1</v>
      </c>
      <c r="E2512" t="s">
        <v>2936</v>
      </c>
      <c r="F2512" t="s">
        <v>17</v>
      </c>
    </row>
    <row r="2513" spans="1:6" x14ac:dyDescent="0.3">
      <c r="A2513" t="s">
        <v>630</v>
      </c>
      <c r="B2513" t="s">
        <v>631</v>
      </c>
      <c r="C2513" t="str">
        <f>HYPERLINK("http://service.sap.com/sap/support/notes/1945988","1945988")</f>
        <v>1945988</v>
      </c>
      <c r="D2513">
        <v>1</v>
      </c>
      <c r="E2513" t="s">
        <v>2937</v>
      </c>
      <c r="F2513" t="s">
        <v>13</v>
      </c>
    </row>
    <row r="2514" spans="1:6" x14ac:dyDescent="0.3">
      <c r="A2514" t="s">
        <v>634</v>
      </c>
      <c r="B2514" t="s">
        <v>635</v>
      </c>
      <c r="C2514" t="str">
        <f>HYPERLINK("http://service.sap.com/sap/support/notes/1934483","1934483")</f>
        <v>1934483</v>
      </c>
      <c r="D2514">
        <v>3</v>
      </c>
      <c r="E2514" t="s">
        <v>2096</v>
      </c>
      <c r="F2514" t="s">
        <v>17</v>
      </c>
    </row>
    <row r="2515" spans="1:6" x14ac:dyDescent="0.3">
      <c r="A2515" t="s">
        <v>634</v>
      </c>
      <c r="B2515" t="s">
        <v>635</v>
      </c>
      <c r="C2515" t="str">
        <f>HYPERLINK("http://service.sap.com/sap/support/notes/1954584","1954584")</f>
        <v>1954584</v>
      </c>
      <c r="D2515">
        <v>2</v>
      </c>
      <c r="E2515" t="s">
        <v>2938</v>
      </c>
      <c r="F2515" t="s">
        <v>17</v>
      </c>
    </row>
    <row r="2516" spans="1:6" x14ac:dyDescent="0.3">
      <c r="A2516" t="s">
        <v>634</v>
      </c>
      <c r="B2516" t="s">
        <v>635</v>
      </c>
      <c r="C2516" t="str">
        <f>HYPERLINK("http://service.sap.com/sap/support/notes/1966035","1966035")</f>
        <v>1966035</v>
      </c>
      <c r="D2516">
        <v>3</v>
      </c>
      <c r="E2516" t="s">
        <v>2939</v>
      </c>
      <c r="F2516" t="s">
        <v>17</v>
      </c>
    </row>
    <row r="2517" spans="1:6" x14ac:dyDescent="0.3">
      <c r="A2517" t="s">
        <v>634</v>
      </c>
      <c r="B2517" t="s">
        <v>635</v>
      </c>
      <c r="C2517" t="str">
        <f>HYPERLINK("http://service.sap.com/sap/support/notes/1966037","1966037")</f>
        <v>1966037</v>
      </c>
      <c r="D2517">
        <v>3</v>
      </c>
      <c r="E2517" t="s">
        <v>2940</v>
      </c>
      <c r="F2517" t="s">
        <v>17</v>
      </c>
    </row>
    <row r="2518" spans="1:6" x14ac:dyDescent="0.3">
      <c r="A2518" t="s">
        <v>634</v>
      </c>
      <c r="B2518" t="s">
        <v>635</v>
      </c>
      <c r="C2518" t="str">
        <f>HYPERLINK("http://service.sap.com/sap/support/notes/1974014","1974014")</f>
        <v>1974014</v>
      </c>
      <c r="D2518">
        <v>2</v>
      </c>
      <c r="E2518" t="s">
        <v>2941</v>
      </c>
      <c r="F2518" t="s">
        <v>17</v>
      </c>
    </row>
    <row r="2519" spans="1:6" x14ac:dyDescent="0.3">
      <c r="A2519" t="s">
        <v>645</v>
      </c>
      <c r="B2519" t="s">
        <v>646</v>
      </c>
      <c r="C2519" t="str">
        <f>HYPERLINK("http://service.sap.com/sap/support/notes/1942457","1942457")</f>
        <v>1942457</v>
      </c>
      <c r="D2519">
        <v>2</v>
      </c>
      <c r="E2519" t="s">
        <v>2942</v>
      </c>
      <c r="F2519" t="s">
        <v>17</v>
      </c>
    </row>
    <row r="2520" spans="1:6" x14ac:dyDescent="0.3">
      <c r="A2520" t="s">
        <v>648</v>
      </c>
      <c r="B2520" t="s">
        <v>138</v>
      </c>
      <c r="C2520" t="str">
        <f>HYPERLINK("http://service.sap.com/sap/support/notes/1973032","1973032")</f>
        <v>1973032</v>
      </c>
      <c r="D2520">
        <v>2</v>
      </c>
      <c r="E2520" t="s">
        <v>2943</v>
      </c>
      <c r="F2520" t="s">
        <v>17</v>
      </c>
    </row>
    <row r="2521" spans="1:6" x14ac:dyDescent="0.3">
      <c r="A2521" t="s">
        <v>648</v>
      </c>
      <c r="B2521" t="s">
        <v>138</v>
      </c>
      <c r="C2521" t="str">
        <f>HYPERLINK("http://service.sap.com/sap/support/notes/1974891","1974891")</f>
        <v>1974891</v>
      </c>
      <c r="D2521">
        <v>2</v>
      </c>
      <c r="E2521" t="s">
        <v>2944</v>
      </c>
      <c r="F2521" t="s">
        <v>17</v>
      </c>
    </row>
    <row r="2522" spans="1:6" x14ac:dyDescent="0.3">
      <c r="A2522" t="s">
        <v>648</v>
      </c>
      <c r="B2522" t="s">
        <v>138</v>
      </c>
      <c r="C2522" t="str">
        <f>HYPERLINK("http://service.sap.com/sap/support/notes/1983420","1983420")</f>
        <v>1983420</v>
      </c>
      <c r="D2522">
        <v>1</v>
      </c>
      <c r="E2522" t="s">
        <v>2945</v>
      </c>
      <c r="F2522" t="s">
        <v>13</v>
      </c>
    </row>
    <row r="2523" spans="1:6" x14ac:dyDescent="0.3">
      <c r="A2523" t="s">
        <v>655</v>
      </c>
      <c r="B2523" t="s">
        <v>656</v>
      </c>
      <c r="C2523" t="str">
        <f>HYPERLINK("http://service.sap.com/sap/support/notes/1155973","1155973")</f>
        <v>1155973</v>
      </c>
      <c r="D2523">
        <v>5</v>
      </c>
      <c r="E2523" t="s">
        <v>2946</v>
      </c>
      <c r="F2523" t="s">
        <v>13</v>
      </c>
    </row>
    <row r="2524" spans="1:6" x14ac:dyDescent="0.3">
      <c r="A2524" t="s">
        <v>660</v>
      </c>
      <c r="B2524" t="s">
        <v>661</v>
      </c>
      <c r="C2524" t="str">
        <f>HYPERLINK("http://service.sap.com/sap/support/notes/1830247","1830247")</f>
        <v>1830247</v>
      </c>
      <c r="D2524">
        <v>4</v>
      </c>
      <c r="E2524" t="s">
        <v>2947</v>
      </c>
      <c r="F2524" t="s">
        <v>11</v>
      </c>
    </row>
    <row r="2525" spans="1:6" x14ac:dyDescent="0.3">
      <c r="A2525" t="s">
        <v>660</v>
      </c>
      <c r="B2525" t="s">
        <v>661</v>
      </c>
      <c r="C2525" t="str">
        <f>HYPERLINK("http://service.sap.com/sap/support/notes/1897238","1897238")</f>
        <v>1897238</v>
      </c>
      <c r="D2525">
        <v>3</v>
      </c>
      <c r="E2525" t="s">
        <v>2948</v>
      </c>
      <c r="F2525" t="s">
        <v>11</v>
      </c>
    </row>
    <row r="2526" spans="1:6" x14ac:dyDescent="0.3">
      <c r="A2526" t="s">
        <v>660</v>
      </c>
      <c r="B2526" t="s">
        <v>661</v>
      </c>
      <c r="C2526" t="str">
        <f>HYPERLINK("http://service.sap.com/sap/support/notes/1912055","1912055")</f>
        <v>1912055</v>
      </c>
      <c r="D2526">
        <v>3</v>
      </c>
      <c r="E2526" t="s">
        <v>2949</v>
      </c>
      <c r="F2526" t="s">
        <v>17</v>
      </c>
    </row>
    <row r="2527" spans="1:6" x14ac:dyDescent="0.3">
      <c r="A2527" t="s">
        <v>660</v>
      </c>
      <c r="B2527" t="s">
        <v>661</v>
      </c>
      <c r="C2527" t="str">
        <f>HYPERLINK("http://service.sap.com/sap/support/notes/1940519","1940519")</f>
        <v>1940519</v>
      </c>
      <c r="D2527">
        <v>2</v>
      </c>
      <c r="E2527" t="s">
        <v>2950</v>
      </c>
      <c r="F2527" t="s">
        <v>17</v>
      </c>
    </row>
    <row r="2528" spans="1:6" x14ac:dyDescent="0.3">
      <c r="A2528" t="s">
        <v>660</v>
      </c>
      <c r="B2528" t="s">
        <v>661</v>
      </c>
      <c r="C2528" t="str">
        <f>HYPERLINK("http://service.sap.com/sap/support/notes/1949022","1949022")</f>
        <v>1949022</v>
      </c>
      <c r="D2528">
        <v>2</v>
      </c>
      <c r="E2528" t="s">
        <v>2951</v>
      </c>
      <c r="F2528" t="s">
        <v>17</v>
      </c>
    </row>
    <row r="2529" spans="1:6" x14ac:dyDescent="0.3">
      <c r="A2529" t="s">
        <v>660</v>
      </c>
      <c r="B2529" t="s">
        <v>661</v>
      </c>
      <c r="C2529" t="str">
        <f>HYPERLINK("http://service.sap.com/sap/support/notes/1956292","1956292")</f>
        <v>1956292</v>
      </c>
      <c r="D2529">
        <v>2</v>
      </c>
      <c r="E2529" t="s">
        <v>2952</v>
      </c>
      <c r="F2529" t="s">
        <v>17</v>
      </c>
    </row>
    <row r="2530" spans="1:6" x14ac:dyDescent="0.3">
      <c r="A2530" t="s">
        <v>660</v>
      </c>
      <c r="B2530" t="s">
        <v>661</v>
      </c>
      <c r="C2530" t="str">
        <f>HYPERLINK("http://service.sap.com/sap/support/notes/1959537","1959537")</f>
        <v>1959537</v>
      </c>
      <c r="D2530">
        <v>1</v>
      </c>
      <c r="E2530" t="s">
        <v>2953</v>
      </c>
      <c r="F2530" t="s">
        <v>17</v>
      </c>
    </row>
    <row r="2531" spans="1:6" x14ac:dyDescent="0.3">
      <c r="A2531" t="s">
        <v>660</v>
      </c>
      <c r="B2531" t="s">
        <v>661</v>
      </c>
      <c r="C2531" t="str">
        <f>HYPERLINK("http://service.sap.com/sap/support/notes/1960785","1960785")</f>
        <v>1960785</v>
      </c>
      <c r="D2531">
        <v>2</v>
      </c>
      <c r="E2531" t="s">
        <v>2954</v>
      </c>
      <c r="F2531" t="s">
        <v>17</v>
      </c>
    </row>
    <row r="2532" spans="1:6" x14ac:dyDescent="0.3">
      <c r="A2532" t="s">
        <v>660</v>
      </c>
      <c r="B2532" t="s">
        <v>661</v>
      </c>
      <c r="C2532" t="str">
        <f>HYPERLINK("http://service.sap.com/sap/support/notes/1961903","1961903")</f>
        <v>1961903</v>
      </c>
      <c r="D2532">
        <v>3</v>
      </c>
      <c r="E2532" t="s">
        <v>2955</v>
      </c>
      <c r="F2532" t="s">
        <v>17</v>
      </c>
    </row>
    <row r="2533" spans="1:6" x14ac:dyDescent="0.3">
      <c r="A2533" t="s">
        <v>660</v>
      </c>
      <c r="B2533" t="s">
        <v>661</v>
      </c>
      <c r="C2533" t="str">
        <f>HYPERLINK("http://service.sap.com/sap/support/notes/1970864","1970864")</f>
        <v>1970864</v>
      </c>
      <c r="D2533">
        <v>2</v>
      </c>
      <c r="E2533" t="s">
        <v>2956</v>
      </c>
      <c r="F2533" t="s">
        <v>17</v>
      </c>
    </row>
    <row r="2534" spans="1:6" x14ac:dyDescent="0.3">
      <c r="A2534" t="s">
        <v>660</v>
      </c>
      <c r="B2534" t="s">
        <v>661</v>
      </c>
      <c r="C2534" t="str">
        <f>HYPERLINK("http://service.sap.com/sap/support/notes/1972036","1972036")</f>
        <v>1972036</v>
      </c>
      <c r="D2534">
        <v>2</v>
      </c>
      <c r="E2534" t="s">
        <v>2109</v>
      </c>
      <c r="F2534" t="s">
        <v>17</v>
      </c>
    </row>
    <row r="2535" spans="1:6" x14ac:dyDescent="0.3">
      <c r="A2535" t="s">
        <v>660</v>
      </c>
      <c r="B2535" t="s">
        <v>661</v>
      </c>
      <c r="C2535" t="str">
        <f>HYPERLINK("http://service.sap.com/sap/support/notes/1987636","1987636")</f>
        <v>1987636</v>
      </c>
      <c r="D2535">
        <v>1</v>
      </c>
      <c r="E2535" t="s">
        <v>2957</v>
      </c>
      <c r="F2535" t="s">
        <v>17</v>
      </c>
    </row>
    <row r="2536" spans="1:6" x14ac:dyDescent="0.3">
      <c r="A2536" t="s">
        <v>683</v>
      </c>
      <c r="B2536" t="s">
        <v>684</v>
      </c>
      <c r="C2536" t="str">
        <f>HYPERLINK("http://service.sap.com/sap/support/notes/1957873","1957873")</f>
        <v>1957873</v>
      </c>
      <c r="D2536">
        <v>3</v>
      </c>
      <c r="E2536" t="s">
        <v>2958</v>
      </c>
      <c r="F2536" t="s">
        <v>17</v>
      </c>
    </row>
    <row r="2537" spans="1:6" x14ac:dyDescent="0.3">
      <c r="A2537" t="s">
        <v>683</v>
      </c>
      <c r="B2537" t="s">
        <v>684</v>
      </c>
      <c r="C2537" t="str">
        <f>HYPERLINK("http://service.sap.com/sap/support/notes/1964543","1964543")</f>
        <v>1964543</v>
      </c>
      <c r="D2537">
        <v>2</v>
      </c>
      <c r="E2537" t="s">
        <v>2959</v>
      </c>
      <c r="F2537" t="s">
        <v>17</v>
      </c>
    </row>
    <row r="2538" spans="1:6" x14ac:dyDescent="0.3">
      <c r="A2538" t="s">
        <v>683</v>
      </c>
      <c r="B2538" t="s">
        <v>684</v>
      </c>
      <c r="C2538" t="str">
        <f>HYPERLINK("http://service.sap.com/sap/support/notes/1970263","1970263")</f>
        <v>1970263</v>
      </c>
      <c r="D2538">
        <v>2</v>
      </c>
      <c r="E2538" t="s">
        <v>2960</v>
      </c>
      <c r="F2538" t="s">
        <v>17</v>
      </c>
    </row>
    <row r="2539" spans="1:6" x14ac:dyDescent="0.3">
      <c r="A2539" t="s">
        <v>688</v>
      </c>
      <c r="B2539" t="s">
        <v>689</v>
      </c>
    </row>
    <row r="2540" spans="1:6" x14ac:dyDescent="0.3">
      <c r="A2540" t="s">
        <v>696</v>
      </c>
      <c r="B2540" t="s">
        <v>346</v>
      </c>
      <c r="C2540" t="str">
        <f>HYPERLINK("http://service.sap.com/sap/support/notes/1990196","1990196")</f>
        <v>1990196</v>
      </c>
      <c r="D2540">
        <v>1</v>
      </c>
      <c r="E2540" t="s">
        <v>2961</v>
      </c>
      <c r="F2540" t="s">
        <v>13</v>
      </c>
    </row>
    <row r="2541" spans="1:6" x14ac:dyDescent="0.3">
      <c r="A2541" t="s">
        <v>700</v>
      </c>
      <c r="B2541" t="s">
        <v>531</v>
      </c>
      <c r="C2541" t="str">
        <f>HYPERLINK("http://service.sap.com/sap/support/notes/1933602","1933602")</f>
        <v>1933602</v>
      </c>
      <c r="D2541">
        <v>2</v>
      </c>
      <c r="E2541" t="s">
        <v>2962</v>
      </c>
      <c r="F2541" t="s">
        <v>17</v>
      </c>
    </row>
    <row r="2542" spans="1:6" x14ac:dyDescent="0.3">
      <c r="A2542" t="s">
        <v>700</v>
      </c>
      <c r="B2542" t="s">
        <v>531</v>
      </c>
      <c r="C2542" t="str">
        <f>HYPERLINK("http://service.sap.com/sap/support/notes/1954956","1954956")</f>
        <v>1954956</v>
      </c>
      <c r="D2542">
        <v>2</v>
      </c>
      <c r="E2542" t="s">
        <v>2963</v>
      </c>
      <c r="F2542" t="s">
        <v>17</v>
      </c>
    </row>
    <row r="2543" spans="1:6" x14ac:dyDescent="0.3">
      <c r="A2543" t="s">
        <v>700</v>
      </c>
      <c r="B2543" t="s">
        <v>531</v>
      </c>
      <c r="C2543" t="str">
        <f>HYPERLINK("http://service.sap.com/sap/support/notes/1970773","1970773")</f>
        <v>1970773</v>
      </c>
      <c r="D2543">
        <v>2</v>
      </c>
      <c r="E2543" t="s">
        <v>2964</v>
      </c>
      <c r="F2543" t="s">
        <v>17</v>
      </c>
    </row>
    <row r="2544" spans="1:6" x14ac:dyDescent="0.3">
      <c r="A2544" t="s">
        <v>700</v>
      </c>
      <c r="B2544" t="s">
        <v>531</v>
      </c>
      <c r="C2544" t="str">
        <f>HYPERLINK("http://service.sap.com/sap/support/notes/1976246","1976246")</f>
        <v>1976246</v>
      </c>
      <c r="D2544">
        <v>1</v>
      </c>
      <c r="E2544" t="s">
        <v>2965</v>
      </c>
      <c r="F2544" t="s">
        <v>17</v>
      </c>
    </row>
    <row r="2545" spans="1:6" x14ac:dyDescent="0.3">
      <c r="A2545" t="s">
        <v>700</v>
      </c>
      <c r="B2545" t="s">
        <v>531</v>
      </c>
      <c r="C2545" t="str">
        <f>HYPERLINK("http://service.sap.com/sap/support/notes/1988009","1988009")</f>
        <v>1988009</v>
      </c>
      <c r="D2545">
        <v>1</v>
      </c>
      <c r="E2545" t="s">
        <v>2966</v>
      </c>
      <c r="F2545" t="s">
        <v>17</v>
      </c>
    </row>
    <row r="2546" spans="1:6" x14ac:dyDescent="0.3">
      <c r="A2546" t="s">
        <v>709</v>
      </c>
      <c r="B2546" t="s">
        <v>710</v>
      </c>
      <c r="C2546" t="str">
        <f>HYPERLINK("http://service.sap.com/sap/support/notes/1932584","1932584")</f>
        <v>1932584</v>
      </c>
      <c r="D2546">
        <v>3</v>
      </c>
      <c r="E2546" t="s">
        <v>2967</v>
      </c>
      <c r="F2546" t="s">
        <v>17</v>
      </c>
    </row>
    <row r="2547" spans="1:6" x14ac:dyDescent="0.3">
      <c r="A2547" t="s">
        <v>709</v>
      </c>
      <c r="B2547" t="s">
        <v>710</v>
      </c>
      <c r="C2547" t="str">
        <f>HYPERLINK("http://service.sap.com/sap/support/notes/1950039","1950039")</f>
        <v>1950039</v>
      </c>
      <c r="D2547">
        <v>3</v>
      </c>
      <c r="E2547" t="s">
        <v>2968</v>
      </c>
      <c r="F2547" t="s">
        <v>17</v>
      </c>
    </row>
    <row r="2548" spans="1:6" x14ac:dyDescent="0.3">
      <c r="A2548" t="s">
        <v>709</v>
      </c>
      <c r="B2548" t="s">
        <v>710</v>
      </c>
      <c r="C2548" t="str">
        <f>HYPERLINK("http://service.sap.com/sap/support/notes/1954039","1954039")</f>
        <v>1954039</v>
      </c>
      <c r="D2548">
        <v>3</v>
      </c>
      <c r="E2548" t="s">
        <v>2969</v>
      </c>
      <c r="F2548" t="s">
        <v>17</v>
      </c>
    </row>
    <row r="2549" spans="1:6" x14ac:dyDescent="0.3">
      <c r="A2549" t="s">
        <v>709</v>
      </c>
      <c r="B2549" t="s">
        <v>710</v>
      </c>
      <c r="C2549" t="str">
        <f>HYPERLINK("http://service.sap.com/sap/support/notes/1955358","1955358")</f>
        <v>1955358</v>
      </c>
      <c r="D2549">
        <v>2</v>
      </c>
      <c r="E2549" t="s">
        <v>2970</v>
      </c>
      <c r="F2549" t="s">
        <v>17</v>
      </c>
    </row>
    <row r="2550" spans="1:6" x14ac:dyDescent="0.3">
      <c r="A2550" t="s">
        <v>709</v>
      </c>
      <c r="B2550" t="s">
        <v>710</v>
      </c>
      <c r="C2550" t="str">
        <f>HYPERLINK("http://service.sap.com/sap/support/notes/1956603","1956603")</f>
        <v>1956603</v>
      </c>
      <c r="D2550">
        <v>1</v>
      </c>
      <c r="E2550" t="s">
        <v>2971</v>
      </c>
      <c r="F2550" t="s">
        <v>17</v>
      </c>
    </row>
    <row r="2551" spans="1:6" x14ac:dyDescent="0.3">
      <c r="A2551" t="s">
        <v>709</v>
      </c>
      <c r="B2551" t="s">
        <v>710</v>
      </c>
      <c r="C2551" t="str">
        <f>HYPERLINK("http://service.sap.com/sap/support/notes/1957589","1957589")</f>
        <v>1957589</v>
      </c>
      <c r="D2551">
        <v>2</v>
      </c>
      <c r="E2551" t="s">
        <v>2972</v>
      </c>
      <c r="F2551" t="s">
        <v>17</v>
      </c>
    </row>
    <row r="2552" spans="1:6" x14ac:dyDescent="0.3">
      <c r="A2552" t="s">
        <v>709</v>
      </c>
      <c r="B2552" t="s">
        <v>710</v>
      </c>
      <c r="C2552" t="str">
        <f>HYPERLINK("http://service.sap.com/sap/support/notes/1969056","1969056")</f>
        <v>1969056</v>
      </c>
      <c r="D2552">
        <v>2</v>
      </c>
      <c r="E2552" t="s">
        <v>2973</v>
      </c>
      <c r="F2552" t="s">
        <v>17</v>
      </c>
    </row>
    <row r="2553" spans="1:6" x14ac:dyDescent="0.3">
      <c r="A2553" t="s">
        <v>709</v>
      </c>
      <c r="B2553" t="s">
        <v>710</v>
      </c>
      <c r="C2553" t="str">
        <f>HYPERLINK("http://service.sap.com/sap/support/notes/1973749","1973749")</f>
        <v>1973749</v>
      </c>
      <c r="D2553">
        <v>3</v>
      </c>
      <c r="E2553" t="s">
        <v>2974</v>
      </c>
      <c r="F2553" t="s">
        <v>13</v>
      </c>
    </row>
    <row r="2554" spans="1:6" x14ac:dyDescent="0.3">
      <c r="A2554" t="s">
        <v>709</v>
      </c>
      <c r="B2554" t="s">
        <v>710</v>
      </c>
      <c r="C2554" t="str">
        <f>HYPERLINK("http://service.sap.com/sap/support/notes/1984212","1984212")</f>
        <v>1984212</v>
      </c>
      <c r="D2554">
        <v>2</v>
      </c>
      <c r="E2554" t="s">
        <v>2975</v>
      </c>
      <c r="F2554" t="s">
        <v>17</v>
      </c>
    </row>
    <row r="2555" spans="1:6" x14ac:dyDescent="0.3">
      <c r="A2555" t="s">
        <v>709</v>
      </c>
      <c r="B2555" t="s">
        <v>710</v>
      </c>
      <c r="C2555" t="str">
        <f>HYPERLINK("http://service.sap.com/sap/support/notes/1989742","1989742")</f>
        <v>1989742</v>
      </c>
      <c r="D2555">
        <v>1</v>
      </c>
      <c r="E2555" t="s">
        <v>2976</v>
      </c>
      <c r="F2555" t="s">
        <v>11</v>
      </c>
    </row>
    <row r="2556" spans="1:6" x14ac:dyDescent="0.3">
      <c r="A2556" t="s">
        <v>2138</v>
      </c>
      <c r="B2556" t="s">
        <v>631</v>
      </c>
      <c r="C2556" t="str">
        <f>HYPERLINK("http://service.sap.com/sap/support/notes/1974958","1974958")</f>
        <v>1974958</v>
      </c>
      <c r="D2556">
        <v>1</v>
      </c>
      <c r="E2556" t="s">
        <v>2977</v>
      </c>
      <c r="F2556" t="s">
        <v>17</v>
      </c>
    </row>
    <row r="2557" spans="1:6" x14ac:dyDescent="0.3">
      <c r="A2557" t="s">
        <v>2138</v>
      </c>
      <c r="B2557" t="s">
        <v>631</v>
      </c>
      <c r="C2557" t="str">
        <f>HYPERLINK("http://service.sap.com/sap/support/notes/1984066","1984066")</f>
        <v>1984066</v>
      </c>
      <c r="D2557">
        <v>1</v>
      </c>
      <c r="E2557" t="s">
        <v>2978</v>
      </c>
      <c r="F2557" t="s">
        <v>13</v>
      </c>
    </row>
    <row r="2558" spans="1:6" x14ac:dyDescent="0.3">
      <c r="A2558" t="s">
        <v>2138</v>
      </c>
      <c r="B2558" t="s">
        <v>631</v>
      </c>
      <c r="C2558" t="str">
        <f>HYPERLINK("http://service.sap.com/sap/support/notes/1986640","1986640")</f>
        <v>1986640</v>
      </c>
      <c r="D2558">
        <v>1</v>
      </c>
      <c r="E2558" t="s">
        <v>2979</v>
      </c>
      <c r="F2558" t="s">
        <v>17</v>
      </c>
    </row>
    <row r="2559" spans="1:6" x14ac:dyDescent="0.3">
      <c r="A2559" t="s">
        <v>737</v>
      </c>
      <c r="B2559" t="s">
        <v>738</v>
      </c>
      <c r="C2559" t="str">
        <f>HYPERLINK("http://service.sap.com/sap/support/notes/1960506","1960506")</f>
        <v>1960506</v>
      </c>
      <c r="D2559">
        <v>3</v>
      </c>
      <c r="E2559" t="s">
        <v>2980</v>
      </c>
      <c r="F2559" t="s">
        <v>17</v>
      </c>
    </row>
    <row r="2560" spans="1:6" x14ac:dyDescent="0.3">
      <c r="A2560" t="s">
        <v>737</v>
      </c>
      <c r="B2560" t="s">
        <v>738</v>
      </c>
      <c r="C2560" t="str">
        <f>HYPERLINK("http://service.sap.com/sap/support/notes/1962887","1962887")</f>
        <v>1962887</v>
      </c>
      <c r="D2560">
        <v>2</v>
      </c>
      <c r="E2560" t="s">
        <v>2981</v>
      </c>
      <c r="F2560" t="s">
        <v>17</v>
      </c>
    </row>
    <row r="2561" spans="1:6" x14ac:dyDescent="0.3">
      <c r="A2561" t="s">
        <v>740</v>
      </c>
      <c r="B2561" t="s">
        <v>635</v>
      </c>
      <c r="C2561" t="str">
        <f>HYPERLINK("http://service.sap.com/sap/support/notes/1953092","1953092")</f>
        <v>1953092</v>
      </c>
      <c r="D2561">
        <v>1</v>
      </c>
      <c r="E2561" t="s">
        <v>2982</v>
      </c>
      <c r="F2561" t="s">
        <v>11</v>
      </c>
    </row>
    <row r="2562" spans="1:6" x14ac:dyDescent="0.3">
      <c r="A2562" t="s">
        <v>740</v>
      </c>
      <c r="B2562" t="s">
        <v>635</v>
      </c>
      <c r="C2562" t="str">
        <f>HYPERLINK("http://service.sap.com/sap/support/notes/1962713","1962713")</f>
        <v>1962713</v>
      </c>
      <c r="D2562">
        <v>2</v>
      </c>
      <c r="E2562" t="s">
        <v>2983</v>
      </c>
      <c r="F2562" t="s">
        <v>17</v>
      </c>
    </row>
    <row r="2563" spans="1:6" x14ac:dyDescent="0.3">
      <c r="A2563" t="s">
        <v>740</v>
      </c>
      <c r="B2563" t="s">
        <v>635</v>
      </c>
      <c r="C2563" t="str">
        <f>HYPERLINK("http://service.sap.com/sap/support/notes/1964683","1964683")</f>
        <v>1964683</v>
      </c>
      <c r="D2563">
        <v>3</v>
      </c>
      <c r="E2563" t="s">
        <v>2984</v>
      </c>
      <c r="F2563" t="s">
        <v>17</v>
      </c>
    </row>
    <row r="2564" spans="1:6" x14ac:dyDescent="0.3">
      <c r="A2564" t="s">
        <v>740</v>
      </c>
      <c r="B2564" t="s">
        <v>635</v>
      </c>
      <c r="C2564" t="str">
        <f>HYPERLINK("http://service.sap.com/sap/support/notes/1967800","1967800")</f>
        <v>1967800</v>
      </c>
      <c r="D2564">
        <v>1</v>
      </c>
      <c r="E2564" t="s">
        <v>2985</v>
      </c>
      <c r="F2564" t="s">
        <v>17</v>
      </c>
    </row>
    <row r="2565" spans="1:6" x14ac:dyDescent="0.3">
      <c r="A2565" t="s">
        <v>740</v>
      </c>
      <c r="B2565" t="s">
        <v>635</v>
      </c>
      <c r="C2565" t="str">
        <f>HYPERLINK("http://service.sap.com/sap/support/notes/1988463","1988463")</f>
        <v>1988463</v>
      </c>
      <c r="D2565">
        <v>1</v>
      </c>
      <c r="E2565" t="s">
        <v>2986</v>
      </c>
      <c r="F2565" t="s">
        <v>17</v>
      </c>
    </row>
    <row r="2566" spans="1:6" x14ac:dyDescent="0.3">
      <c r="A2566" t="s">
        <v>743</v>
      </c>
      <c r="B2566" t="s">
        <v>138</v>
      </c>
      <c r="C2566" t="str">
        <f>HYPERLINK("http://service.sap.com/sap/support/notes/1935185","1935185")</f>
        <v>1935185</v>
      </c>
      <c r="D2566">
        <v>5</v>
      </c>
      <c r="E2566" t="s">
        <v>2987</v>
      </c>
      <c r="F2566" t="s">
        <v>17</v>
      </c>
    </row>
    <row r="2567" spans="1:6" x14ac:dyDescent="0.3">
      <c r="A2567" t="s">
        <v>743</v>
      </c>
      <c r="B2567" t="s">
        <v>138</v>
      </c>
      <c r="C2567" t="str">
        <f>HYPERLINK("http://service.sap.com/sap/support/notes/1955706","1955706")</f>
        <v>1955706</v>
      </c>
      <c r="D2567">
        <v>2</v>
      </c>
      <c r="E2567" t="s">
        <v>2988</v>
      </c>
      <c r="F2567" t="s">
        <v>17</v>
      </c>
    </row>
    <row r="2568" spans="1:6" x14ac:dyDescent="0.3">
      <c r="A2568" t="s">
        <v>743</v>
      </c>
      <c r="B2568" t="s">
        <v>138</v>
      </c>
      <c r="C2568" t="str">
        <f>HYPERLINK("http://service.sap.com/sap/support/notes/1962442","1962442")</f>
        <v>1962442</v>
      </c>
      <c r="D2568">
        <v>2</v>
      </c>
      <c r="E2568" t="s">
        <v>2989</v>
      </c>
      <c r="F2568" t="s">
        <v>17</v>
      </c>
    </row>
    <row r="2569" spans="1:6" x14ac:dyDescent="0.3">
      <c r="A2569" t="s">
        <v>743</v>
      </c>
      <c r="B2569" t="s">
        <v>138</v>
      </c>
      <c r="C2569" t="str">
        <f>HYPERLINK("http://service.sap.com/sap/support/notes/1965127","1965127")</f>
        <v>1965127</v>
      </c>
      <c r="D2569">
        <v>2</v>
      </c>
      <c r="E2569" t="s">
        <v>2990</v>
      </c>
      <c r="F2569" t="s">
        <v>17</v>
      </c>
    </row>
    <row r="2570" spans="1:6" x14ac:dyDescent="0.3">
      <c r="A2570" t="s">
        <v>743</v>
      </c>
      <c r="B2570" t="s">
        <v>138</v>
      </c>
      <c r="C2570" t="str">
        <f>HYPERLINK("http://service.sap.com/sap/support/notes/1965246","1965246")</f>
        <v>1965246</v>
      </c>
      <c r="D2570">
        <v>2</v>
      </c>
      <c r="E2570" t="s">
        <v>2991</v>
      </c>
      <c r="F2570" t="s">
        <v>17</v>
      </c>
    </row>
    <row r="2571" spans="1:6" x14ac:dyDescent="0.3">
      <c r="A2571" t="s">
        <v>743</v>
      </c>
      <c r="B2571" t="s">
        <v>138</v>
      </c>
      <c r="C2571" t="str">
        <f>HYPERLINK("http://service.sap.com/sap/support/notes/1966331","1966331")</f>
        <v>1966331</v>
      </c>
      <c r="D2571">
        <v>1</v>
      </c>
      <c r="E2571" t="s">
        <v>2992</v>
      </c>
      <c r="F2571" t="s">
        <v>17</v>
      </c>
    </row>
    <row r="2572" spans="1:6" x14ac:dyDescent="0.3">
      <c r="A2572" t="s">
        <v>743</v>
      </c>
      <c r="B2572" t="s">
        <v>138</v>
      </c>
      <c r="C2572" t="str">
        <f>HYPERLINK("http://service.sap.com/sap/support/notes/1968597","1968597")</f>
        <v>1968597</v>
      </c>
      <c r="D2572">
        <v>2</v>
      </c>
      <c r="E2572" t="s">
        <v>2993</v>
      </c>
      <c r="F2572" t="s">
        <v>17</v>
      </c>
    </row>
    <row r="2573" spans="1:6" x14ac:dyDescent="0.3">
      <c r="A2573" t="s">
        <v>743</v>
      </c>
      <c r="B2573" t="s">
        <v>138</v>
      </c>
      <c r="C2573" t="str">
        <f>HYPERLINK("http://service.sap.com/sap/support/notes/1969797","1969797")</f>
        <v>1969797</v>
      </c>
      <c r="D2573">
        <v>3</v>
      </c>
      <c r="E2573" t="s">
        <v>2994</v>
      </c>
      <c r="F2573" t="s">
        <v>17</v>
      </c>
    </row>
    <row r="2574" spans="1:6" x14ac:dyDescent="0.3">
      <c r="A2574" t="s">
        <v>743</v>
      </c>
      <c r="B2574" t="s">
        <v>138</v>
      </c>
      <c r="C2574" t="str">
        <f>HYPERLINK("http://service.sap.com/sap/support/notes/1986609","1986609")</f>
        <v>1986609</v>
      </c>
      <c r="D2574">
        <v>1</v>
      </c>
      <c r="E2574" t="s">
        <v>2995</v>
      </c>
      <c r="F2574" t="s">
        <v>17</v>
      </c>
    </row>
    <row r="2575" spans="1:6" x14ac:dyDescent="0.3">
      <c r="A2575" t="s">
        <v>743</v>
      </c>
      <c r="B2575" t="s">
        <v>138</v>
      </c>
      <c r="C2575" t="str">
        <f>HYPERLINK("http://service.sap.com/sap/support/notes/1988150","1988150")</f>
        <v>1988150</v>
      </c>
      <c r="D2575">
        <v>1</v>
      </c>
      <c r="E2575" t="s">
        <v>2996</v>
      </c>
      <c r="F2575" t="s">
        <v>17</v>
      </c>
    </row>
    <row r="2576" spans="1:6" x14ac:dyDescent="0.3">
      <c r="A2576" t="s">
        <v>2997</v>
      </c>
      <c r="B2576" t="s">
        <v>656</v>
      </c>
      <c r="C2576" t="str">
        <f>HYPERLINK("http://service.sap.com/sap/support/notes/1422023","1422023")</f>
        <v>1422023</v>
      </c>
      <c r="D2576">
        <v>7</v>
      </c>
      <c r="E2576" t="s">
        <v>2998</v>
      </c>
      <c r="F2576" t="s">
        <v>13</v>
      </c>
    </row>
    <row r="2577" spans="1:6" x14ac:dyDescent="0.3">
      <c r="A2577" t="s">
        <v>760</v>
      </c>
      <c r="B2577" t="s">
        <v>761</v>
      </c>
      <c r="C2577" t="str">
        <f>HYPERLINK("http://service.sap.com/sap/support/notes/1933809","1933809")</f>
        <v>1933809</v>
      </c>
      <c r="D2577">
        <v>3</v>
      </c>
      <c r="E2577" t="s">
        <v>2999</v>
      </c>
      <c r="F2577" t="s">
        <v>17</v>
      </c>
    </row>
    <row r="2578" spans="1:6" x14ac:dyDescent="0.3">
      <c r="A2578" t="s">
        <v>760</v>
      </c>
      <c r="B2578" t="s">
        <v>761</v>
      </c>
      <c r="C2578" t="str">
        <f>HYPERLINK("http://service.sap.com/sap/support/notes/1958095","1958095")</f>
        <v>1958095</v>
      </c>
      <c r="D2578">
        <v>2</v>
      </c>
      <c r="E2578" t="s">
        <v>3000</v>
      </c>
      <c r="F2578" t="s">
        <v>17</v>
      </c>
    </row>
    <row r="2579" spans="1:6" x14ac:dyDescent="0.3">
      <c r="A2579" t="s">
        <v>760</v>
      </c>
      <c r="B2579" t="s">
        <v>761</v>
      </c>
      <c r="C2579" t="str">
        <f>HYPERLINK("http://service.sap.com/sap/support/notes/1975405","1975405")</f>
        <v>1975405</v>
      </c>
      <c r="D2579">
        <v>2</v>
      </c>
      <c r="E2579" t="s">
        <v>3001</v>
      </c>
      <c r="F2579" t="s">
        <v>17</v>
      </c>
    </row>
    <row r="2580" spans="1:6" x14ac:dyDescent="0.3">
      <c r="A2580" t="s">
        <v>760</v>
      </c>
      <c r="B2580" t="s">
        <v>761</v>
      </c>
      <c r="C2580" t="str">
        <f>HYPERLINK("http://service.sap.com/sap/support/notes/1980185","1980185")</f>
        <v>1980185</v>
      </c>
      <c r="D2580">
        <v>2</v>
      </c>
      <c r="E2580" t="s">
        <v>3002</v>
      </c>
      <c r="F2580" t="s">
        <v>17</v>
      </c>
    </row>
    <row r="2581" spans="1:6" x14ac:dyDescent="0.3">
      <c r="A2581" t="s">
        <v>760</v>
      </c>
      <c r="B2581" t="s">
        <v>761</v>
      </c>
      <c r="C2581" t="str">
        <f>HYPERLINK("http://service.sap.com/sap/support/notes/1981785","1981785")</f>
        <v>1981785</v>
      </c>
      <c r="D2581">
        <v>1</v>
      </c>
      <c r="E2581" t="s">
        <v>3003</v>
      </c>
      <c r="F2581" t="s">
        <v>17</v>
      </c>
    </row>
    <row r="2582" spans="1:6" x14ac:dyDescent="0.3">
      <c r="A2582" t="s">
        <v>768</v>
      </c>
      <c r="B2582" t="s">
        <v>769</v>
      </c>
    </row>
    <row r="2583" spans="1:6" x14ac:dyDescent="0.3">
      <c r="A2583" t="s">
        <v>770</v>
      </c>
      <c r="B2583" t="s">
        <v>138</v>
      </c>
      <c r="C2583" t="str">
        <f>HYPERLINK("http://service.sap.com/sap/support/notes/1968349","1968349")</f>
        <v>1968349</v>
      </c>
      <c r="D2583">
        <v>1</v>
      </c>
      <c r="E2583" t="s">
        <v>3004</v>
      </c>
      <c r="F2583" t="s">
        <v>17</v>
      </c>
    </row>
    <row r="2584" spans="1:6" x14ac:dyDescent="0.3">
      <c r="A2584" t="s">
        <v>770</v>
      </c>
      <c r="B2584" t="s">
        <v>138</v>
      </c>
      <c r="C2584" t="str">
        <f>HYPERLINK("http://service.sap.com/sap/support/notes/1969506","1969506")</f>
        <v>1969506</v>
      </c>
      <c r="D2584">
        <v>1</v>
      </c>
      <c r="E2584" t="s">
        <v>3005</v>
      </c>
      <c r="F2584" t="s">
        <v>17</v>
      </c>
    </row>
    <row r="2585" spans="1:6" x14ac:dyDescent="0.3">
      <c r="A2585" t="s">
        <v>770</v>
      </c>
      <c r="B2585" t="s">
        <v>138</v>
      </c>
      <c r="C2585" t="str">
        <f>HYPERLINK("http://service.sap.com/sap/support/notes/1970215","1970215")</f>
        <v>1970215</v>
      </c>
      <c r="D2585">
        <v>1</v>
      </c>
      <c r="E2585" t="s">
        <v>3006</v>
      </c>
      <c r="F2585" t="s">
        <v>17</v>
      </c>
    </row>
    <row r="2586" spans="1:6" x14ac:dyDescent="0.3">
      <c r="A2586" t="s">
        <v>770</v>
      </c>
      <c r="B2586" t="s">
        <v>138</v>
      </c>
      <c r="C2586" t="str">
        <f>HYPERLINK("http://service.sap.com/sap/support/notes/1980403","1980403")</f>
        <v>1980403</v>
      </c>
      <c r="D2586">
        <v>1</v>
      </c>
      <c r="E2586" t="s">
        <v>3007</v>
      </c>
      <c r="F2586" t="s">
        <v>17</v>
      </c>
    </row>
    <row r="2587" spans="1:6" x14ac:dyDescent="0.3">
      <c r="A2587" t="s">
        <v>770</v>
      </c>
      <c r="B2587" t="s">
        <v>138</v>
      </c>
      <c r="C2587" t="str">
        <f>HYPERLINK("http://service.sap.com/sap/support/notes/1983561","1983561")</f>
        <v>1983561</v>
      </c>
      <c r="D2587">
        <v>1</v>
      </c>
      <c r="E2587" t="s">
        <v>3008</v>
      </c>
      <c r="F2587" t="s">
        <v>17</v>
      </c>
    </row>
    <row r="2588" spans="1:6" x14ac:dyDescent="0.3">
      <c r="A2588" t="s">
        <v>775</v>
      </c>
      <c r="B2588" t="s">
        <v>776</v>
      </c>
    </row>
    <row r="2589" spans="1:6" x14ac:dyDescent="0.3">
      <c r="A2589" t="s">
        <v>777</v>
      </c>
      <c r="B2589" t="s">
        <v>778</v>
      </c>
      <c r="C2589" t="str">
        <f>HYPERLINK("http://service.sap.com/sap/support/notes/1893116","1893116")</f>
        <v>1893116</v>
      </c>
      <c r="D2589">
        <v>1</v>
      </c>
      <c r="E2589" t="s">
        <v>3009</v>
      </c>
      <c r="F2589" t="s">
        <v>17</v>
      </c>
    </row>
    <row r="2590" spans="1:6" x14ac:dyDescent="0.3">
      <c r="A2590" t="s">
        <v>777</v>
      </c>
      <c r="B2590" t="s">
        <v>778</v>
      </c>
      <c r="C2590" t="str">
        <f>HYPERLINK("http://service.sap.com/sap/support/notes/1895166","1895166")</f>
        <v>1895166</v>
      </c>
      <c r="D2590">
        <v>2</v>
      </c>
      <c r="E2590" t="s">
        <v>3010</v>
      </c>
      <c r="F2590" t="s">
        <v>13</v>
      </c>
    </row>
    <row r="2591" spans="1:6" x14ac:dyDescent="0.3">
      <c r="A2591" t="s">
        <v>777</v>
      </c>
      <c r="B2591" t="s">
        <v>778</v>
      </c>
      <c r="C2591" t="str">
        <f>HYPERLINK("http://service.sap.com/sap/support/notes/1903513","1903513")</f>
        <v>1903513</v>
      </c>
      <c r="D2591">
        <v>2</v>
      </c>
      <c r="E2591" t="s">
        <v>3011</v>
      </c>
      <c r="F2591" t="s">
        <v>13</v>
      </c>
    </row>
    <row r="2592" spans="1:6" x14ac:dyDescent="0.3">
      <c r="A2592" t="s">
        <v>777</v>
      </c>
      <c r="B2592" t="s">
        <v>778</v>
      </c>
      <c r="C2592" t="str">
        <f>HYPERLINK("http://service.sap.com/sap/support/notes/1913327","1913327")</f>
        <v>1913327</v>
      </c>
      <c r="D2592">
        <v>2</v>
      </c>
      <c r="E2592" t="s">
        <v>3012</v>
      </c>
      <c r="F2592" t="s">
        <v>17</v>
      </c>
    </row>
    <row r="2593" spans="1:6" x14ac:dyDescent="0.3">
      <c r="A2593" t="s">
        <v>777</v>
      </c>
      <c r="B2593" t="s">
        <v>778</v>
      </c>
      <c r="C2593" t="str">
        <f>HYPERLINK("http://service.sap.com/sap/support/notes/1926256","1926256")</f>
        <v>1926256</v>
      </c>
      <c r="D2593">
        <v>1</v>
      </c>
      <c r="E2593" t="s">
        <v>3013</v>
      </c>
      <c r="F2593" t="s">
        <v>17</v>
      </c>
    </row>
    <row r="2594" spans="1:6" x14ac:dyDescent="0.3">
      <c r="A2594" t="s">
        <v>777</v>
      </c>
      <c r="B2594" t="s">
        <v>778</v>
      </c>
      <c r="C2594" t="str">
        <f>HYPERLINK("http://service.sap.com/sap/support/notes/1933704","1933704")</f>
        <v>1933704</v>
      </c>
      <c r="D2594">
        <v>3</v>
      </c>
      <c r="E2594" t="s">
        <v>3014</v>
      </c>
      <c r="F2594" t="s">
        <v>11</v>
      </c>
    </row>
    <row r="2595" spans="1:6" x14ac:dyDescent="0.3">
      <c r="A2595" t="s">
        <v>777</v>
      </c>
      <c r="B2595" t="s">
        <v>778</v>
      </c>
      <c r="C2595" t="str">
        <f>HYPERLINK("http://service.sap.com/sap/support/notes/1950441","1950441")</f>
        <v>1950441</v>
      </c>
      <c r="D2595">
        <v>3</v>
      </c>
      <c r="E2595" t="s">
        <v>3015</v>
      </c>
      <c r="F2595" t="s">
        <v>17</v>
      </c>
    </row>
    <row r="2596" spans="1:6" x14ac:dyDescent="0.3">
      <c r="A2596" t="s">
        <v>777</v>
      </c>
      <c r="B2596" t="s">
        <v>778</v>
      </c>
      <c r="C2596" t="str">
        <f>HYPERLINK("http://service.sap.com/sap/support/notes/1953446","1953446")</f>
        <v>1953446</v>
      </c>
      <c r="D2596">
        <v>2</v>
      </c>
      <c r="E2596" t="s">
        <v>3016</v>
      </c>
      <c r="F2596" t="s">
        <v>17</v>
      </c>
    </row>
    <row r="2597" spans="1:6" x14ac:dyDescent="0.3">
      <c r="A2597" t="s">
        <v>777</v>
      </c>
      <c r="B2597" t="s">
        <v>778</v>
      </c>
      <c r="C2597" t="str">
        <f>HYPERLINK("http://service.sap.com/sap/support/notes/1957263","1957263")</f>
        <v>1957263</v>
      </c>
      <c r="D2597">
        <v>5</v>
      </c>
      <c r="E2597" t="s">
        <v>3017</v>
      </c>
      <c r="F2597" t="s">
        <v>17</v>
      </c>
    </row>
    <row r="2598" spans="1:6" x14ac:dyDescent="0.3">
      <c r="A2598" t="s">
        <v>777</v>
      </c>
      <c r="B2598" t="s">
        <v>778</v>
      </c>
      <c r="C2598" t="str">
        <f>HYPERLINK("http://service.sap.com/sap/support/notes/1958984","1958984")</f>
        <v>1958984</v>
      </c>
      <c r="D2598">
        <v>3</v>
      </c>
      <c r="E2598" t="s">
        <v>3018</v>
      </c>
      <c r="F2598" t="s">
        <v>11</v>
      </c>
    </row>
    <row r="2599" spans="1:6" x14ac:dyDescent="0.3">
      <c r="A2599" t="s">
        <v>777</v>
      </c>
      <c r="B2599" t="s">
        <v>778</v>
      </c>
      <c r="C2599" t="str">
        <f>HYPERLINK("http://service.sap.com/sap/support/notes/1960236","1960236")</f>
        <v>1960236</v>
      </c>
      <c r="D2599">
        <v>4</v>
      </c>
      <c r="E2599" t="s">
        <v>3019</v>
      </c>
      <c r="F2599" t="s">
        <v>17</v>
      </c>
    </row>
    <row r="2600" spans="1:6" x14ac:dyDescent="0.3">
      <c r="A2600" t="s">
        <v>777</v>
      </c>
      <c r="B2600" t="s">
        <v>778</v>
      </c>
      <c r="C2600" t="str">
        <f>HYPERLINK("http://service.sap.com/sap/support/notes/1962230","1962230")</f>
        <v>1962230</v>
      </c>
      <c r="D2600">
        <v>4</v>
      </c>
      <c r="E2600" t="s">
        <v>3020</v>
      </c>
      <c r="F2600" t="s">
        <v>17</v>
      </c>
    </row>
    <row r="2601" spans="1:6" x14ac:dyDescent="0.3">
      <c r="A2601" t="s">
        <v>777</v>
      </c>
      <c r="B2601" t="s">
        <v>778</v>
      </c>
      <c r="C2601" t="str">
        <f>HYPERLINK("http://service.sap.com/sap/support/notes/1964094","1964094")</f>
        <v>1964094</v>
      </c>
      <c r="D2601">
        <v>6</v>
      </c>
      <c r="E2601" t="s">
        <v>3021</v>
      </c>
      <c r="F2601" t="s">
        <v>17</v>
      </c>
    </row>
    <row r="2602" spans="1:6" x14ac:dyDescent="0.3">
      <c r="A2602" t="s">
        <v>777</v>
      </c>
      <c r="B2602" t="s">
        <v>778</v>
      </c>
      <c r="C2602" t="str">
        <f>HYPERLINK("http://service.sap.com/sap/support/notes/1964331","1964331")</f>
        <v>1964331</v>
      </c>
      <c r="D2602">
        <v>2</v>
      </c>
      <c r="E2602" t="s">
        <v>3022</v>
      </c>
      <c r="F2602" t="s">
        <v>17</v>
      </c>
    </row>
    <row r="2603" spans="1:6" x14ac:dyDescent="0.3">
      <c r="A2603" t="s">
        <v>777</v>
      </c>
      <c r="B2603" t="s">
        <v>778</v>
      </c>
      <c r="C2603" t="str">
        <f>HYPERLINK("http://service.sap.com/sap/support/notes/1971586","1971586")</f>
        <v>1971586</v>
      </c>
      <c r="D2603">
        <v>3</v>
      </c>
      <c r="E2603" t="s">
        <v>3023</v>
      </c>
      <c r="F2603" t="s">
        <v>17</v>
      </c>
    </row>
    <row r="2604" spans="1:6" x14ac:dyDescent="0.3">
      <c r="A2604" t="s">
        <v>777</v>
      </c>
      <c r="B2604" t="s">
        <v>778</v>
      </c>
      <c r="C2604" t="str">
        <f>HYPERLINK("http://service.sap.com/sap/support/notes/1971966","1971966")</f>
        <v>1971966</v>
      </c>
      <c r="D2604">
        <v>2</v>
      </c>
      <c r="E2604" t="s">
        <v>3024</v>
      </c>
      <c r="F2604" t="s">
        <v>17</v>
      </c>
    </row>
    <row r="2605" spans="1:6" x14ac:dyDescent="0.3">
      <c r="A2605" t="s">
        <v>777</v>
      </c>
      <c r="B2605" t="s">
        <v>778</v>
      </c>
      <c r="C2605" t="str">
        <f>HYPERLINK("http://service.sap.com/sap/support/notes/1981812","1981812")</f>
        <v>1981812</v>
      </c>
      <c r="D2605">
        <v>2</v>
      </c>
      <c r="E2605" t="s">
        <v>3025</v>
      </c>
      <c r="F2605" t="s">
        <v>11</v>
      </c>
    </row>
    <row r="2606" spans="1:6" x14ac:dyDescent="0.3">
      <c r="A2606" t="s">
        <v>796</v>
      </c>
      <c r="B2606" t="s">
        <v>797</v>
      </c>
      <c r="C2606" t="str">
        <f>HYPERLINK("http://service.sap.com/sap/support/notes/1935612","1935612")</f>
        <v>1935612</v>
      </c>
      <c r="D2606">
        <v>1</v>
      </c>
      <c r="E2606" t="s">
        <v>3026</v>
      </c>
      <c r="F2606" t="s">
        <v>17</v>
      </c>
    </row>
    <row r="2607" spans="1:6" x14ac:dyDescent="0.3">
      <c r="A2607" t="s">
        <v>796</v>
      </c>
      <c r="B2607" t="s">
        <v>797</v>
      </c>
      <c r="C2607" t="str">
        <f>HYPERLINK("http://service.sap.com/sap/support/notes/1948190","1948190")</f>
        <v>1948190</v>
      </c>
      <c r="D2607">
        <v>3</v>
      </c>
      <c r="E2607" t="s">
        <v>3027</v>
      </c>
      <c r="F2607" t="s">
        <v>11</v>
      </c>
    </row>
    <row r="2608" spans="1:6" x14ac:dyDescent="0.3">
      <c r="A2608" t="s">
        <v>796</v>
      </c>
      <c r="B2608" t="s">
        <v>797</v>
      </c>
      <c r="C2608" t="str">
        <f>HYPERLINK("http://service.sap.com/sap/support/notes/1950481","1950481")</f>
        <v>1950481</v>
      </c>
      <c r="D2608">
        <v>3</v>
      </c>
      <c r="E2608" t="s">
        <v>3028</v>
      </c>
      <c r="F2608" t="s">
        <v>17</v>
      </c>
    </row>
    <row r="2609" spans="1:6" x14ac:dyDescent="0.3">
      <c r="A2609" t="s">
        <v>796</v>
      </c>
      <c r="B2609" t="s">
        <v>797</v>
      </c>
      <c r="C2609" t="str">
        <f>HYPERLINK("http://service.sap.com/sap/support/notes/1950538","1950538")</f>
        <v>1950538</v>
      </c>
      <c r="D2609">
        <v>3</v>
      </c>
      <c r="E2609" t="s">
        <v>3029</v>
      </c>
      <c r="F2609" t="s">
        <v>17</v>
      </c>
    </row>
    <row r="2610" spans="1:6" x14ac:dyDescent="0.3">
      <c r="A2610" t="s">
        <v>796</v>
      </c>
      <c r="B2610" t="s">
        <v>797</v>
      </c>
      <c r="C2610" t="str">
        <f>HYPERLINK("http://service.sap.com/sap/support/notes/1950709","1950709")</f>
        <v>1950709</v>
      </c>
      <c r="D2610">
        <v>2</v>
      </c>
      <c r="E2610" t="s">
        <v>3030</v>
      </c>
      <c r="F2610" t="s">
        <v>17</v>
      </c>
    </row>
    <row r="2611" spans="1:6" x14ac:dyDescent="0.3">
      <c r="A2611" t="s">
        <v>796</v>
      </c>
      <c r="B2611" t="s">
        <v>797</v>
      </c>
      <c r="C2611" t="str">
        <f>HYPERLINK("http://service.sap.com/sap/support/notes/1955846","1955846")</f>
        <v>1955846</v>
      </c>
      <c r="D2611">
        <v>3</v>
      </c>
      <c r="E2611" t="s">
        <v>3031</v>
      </c>
      <c r="F2611" t="s">
        <v>13</v>
      </c>
    </row>
    <row r="2612" spans="1:6" x14ac:dyDescent="0.3">
      <c r="A2612" t="s">
        <v>796</v>
      </c>
      <c r="B2612" t="s">
        <v>797</v>
      </c>
      <c r="C2612" t="str">
        <f>HYPERLINK("http://service.sap.com/sap/support/notes/1976636","1976636")</f>
        <v>1976636</v>
      </c>
      <c r="D2612">
        <v>3</v>
      </c>
      <c r="E2612" t="s">
        <v>3032</v>
      </c>
      <c r="F2612" t="s">
        <v>17</v>
      </c>
    </row>
    <row r="2613" spans="1:6" x14ac:dyDescent="0.3">
      <c r="A2613" t="s">
        <v>796</v>
      </c>
      <c r="B2613" t="s">
        <v>797</v>
      </c>
      <c r="C2613" t="str">
        <f>HYPERLINK("http://service.sap.com/sap/support/notes/1982294","1982294")</f>
        <v>1982294</v>
      </c>
      <c r="D2613">
        <v>1</v>
      </c>
      <c r="E2613" t="s">
        <v>3033</v>
      </c>
      <c r="F2613" t="s">
        <v>17</v>
      </c>
    </row>
    <row r="2614" spans="1:6" x14ac:dyDescent="0.3">
      <c r="A2614" t="s">
        <v>796</v>
      </c>
      <c r="B2614" t="s">
        <v>797</v>
      </c>
      <c r="C2614" t="str">
        <f>HYPERLINK("http://service.sap.com/sap/support/notes/1987493","1987493")</f>
        <v>1987493</v>
      </c>
      <c r="D2614">
        <v>1</v>
      </c>
      <c r="E2614" t="s">
        <v>3034</v>
      </c>
      <c r="F2614" t="s">
        <v>17</v>
      </c>
    </row>
    <row r="2615" spans="1:6" x14ac:dyDescent="0.3">
      <c r="A2615" t="s">
        <v>812</v>
      </c>
      <c r="B2615" t="s">
        <v>813</v>
      </c>
      <c r="C2615" t="str">
        <f>HYPERLINK("http://service.sap.com/sap/support/notes/1841190","1841190")</f>
        <v>1841190</v>
      </c>
      <c r="D2615">
        <v>11</v>
      </c>
      <c r="E2615" t="s">
        <v>3035</v>
      </c>
      <c r="F2615" t="s">
        <v>11</v>
      </c>
    </row>
    <row r="2616" spans="1:6" x14ac:dyDescent="0.3">
      <c r="A2616" t="s">
        <v>812</v>
      </c>
      <c r="B2616" t="s">
        <v>813</v>
      </c>
      <c r="C2616" t="str">
        <f>HYPERLINK("http://service.sap.com/sap/support/notes/1846046","1846046")</f>
        <v>1846046</v>
      </c>
      <c r="D2616">
        <v>5</v>
      </c>
      <c r="E2616" t="s">
        <v>3036</v>
      </c>
      <c r="F2616" t="s">
        <v>17</v>
      </c>
    </row>
    <row r="2617" spans="1:6" x14ac:dyDescent="0.3">
      <c r="A2617" t="s">
        <v>812</v>
      </c>
      <c r="B2617" t="s">
        <v>813</v>
      </c>
      <c r="C2617" t="str">
        <f>HYPERLINK("http://service.sap.com/sap/support/notes/1863822","1863822")</f>
        <v>1863822</v>
      </c>
      <c r="D2617">
        <v>3</v>
      </c>
      <c r="E2617" t="s">
        <v>3037</v>
      </c>
      <c r="F2617" t="s">
        <v>17</v>
      </c>
    </row>
    <row r="2618" spans="1:6" x14ac:dyDescent="0.3">
      <c r="A2618" t="s">
        <v>812</v>
      </c>
      <c r="B2618" t="s">
        <v>813</v>
      </c>
      <c r="C2618" t="str">
        <f>HYPERLINK("http://service.sap.com/sap/support/notes/1879119","1879119")</f>
        <v>1879119</v>
      </c>
      <c r="D2618">
        <v>23</v>
      </c>
      <c r="E2618" t="s">
        <v>3038</v>
      </c>
      <c r="F2618" t="s">
        <v>17</v>
      </c>
    </row>
    <row r="2619" spans="1:6" x14ac:dyDescent="0.3">
      <c r="A2619" t="s">
        <v>812</v>
      </c>
      <c r="B2619" t="s">
        <v>813</v>
      </c>
      <c r="C2619" t="str">
        <f>HYPERLINK("http://service.sap.com/sap/support/notes/1895171","1895171")</f>
        <v>1895171</v>
      </c>
      <c r="D2619">
        <v>3</v>
      </c>
      <c r="E2619" t="s">
        <v>3039</v>
      </c>
      <c r="F2619" t="s">
        <v>17</v>
      </c>
    </row>
    <row r="2620" spans="1:6" x14ac:dyDescent="0.3">
      <c r="A2620" t="s">
        <v>812</v>
      </c>
      <c r="B2620" t="s">
        <v>813</v>
      </c>
      <c r="C2620" t="str">
        <f>HYPERLINK("http://service.sap.com/sap/support/notes/1908858","1908858")</f>
        <v>1908858</v>
      </c>
      <c r="D2620">
        <v>7</v>
      </c>
      <c r="E2620" t="s">
        <v>3040</v>
      </c>
      <c r="F2620" t="s">
        <v>17</v>
      </c>
    </row>
    <row r="2621" spans="1:6" x14ac:dyDescent="0.3">
      <c r="A2621" t="s">
        <v>812</v>
      </c>
      <c r="B2621" t="s">
        <v>813</v>
      </c>
      <c r="C2621" t="str">
        <f>HYPERLINK("http://service.sap.com/sap/support/notes/1939284","1939284")</f>
        <v>1939284</v>
      </c>
      <c r="D2621">
        <v>16</v>
      </c>
      <c r="E2621" t="s">
        <v>3041</v>
      </c>
      <c r="F2621" t="s">
        <v>17</v>
      </c>
    </row>
    <row r="2622" spans="1:6" x14ac:dyDescent="0.3">
      <c r="A2622" t="s">
        <v>812</v>
      </c>
      <c r="B2622" t="s">
        <v>813</v>
      </c>
      <c r="C2622" t="str">
        <f>HYPERLINK("http://service.sap.com/sap/support/notes/1940605","1940605")</f>
        <v>1940605</v>
      </c>
      <c r="D2622">
        <v>4</v>
      </c>
      <c r="E2622" t="s">
        <v>3042</v>
      </c>
      <c r="F2622" t="s">
        <v>17</v>
      </c>
    </row>
    <row r="2623" spans="1:6" x14ac:dyDescent="0.3">
      <c r="A2623" t="s">
        <v>812</v>
      </c>
      <c r="B2623" t="s">
        <v>813</v>
      </c>
      <c r="C2623" t="str">
        <f>HYPERLINK("http://service.sap.com/sap/support/notes/1944161","1944161")</f>
        <v>1944161</v>
      </c>
      <c r="D2623">
        <v>13</v>
      </c>
      <c r="E2623" t="s">
        <v>3043</v>
      </c>
      <c r="F2623" t="s">
        <v>17</v>
      </c>
    </row>
    <row r="2624" spans="1:6" x14ac:dyDescent="0.3">
      <c r="A2624" t="s">
        <v>812</v>
      </c>
      <c r="B2624" t="s">
        <v>813</v>
      </c>
      <c r="C2624" t="str">
        <f>HYPERLINK("http://service.sap.com/sap/support/notes/1948973","1948973")</f>
        <v>1948973</v>
      </c>
      <c r="D2624">
        <v>7</v>
      </c>
      <c r="E2624" t="s">
        <v>3044</v>
      </c>
      <c r="F2624" t="s">
        <v>17</v>
      </c>
    </row>
    <row r="2625" spans="1:6" x14ac:dyDescent="0.3">
      <c r="A2625" t="s">
        <v>812</v>
      </c>
      <c r="B2625" t="s">
        <v>813</v>
      </c>
      <c r="C2625" t="str">
        <f>HYPERLINK("http://service.sap.com/sap/support/notes/1952896","1952896")</f>
        <v>1952896</v>
      </c>
      <c r="D2625">
        <v>2</v>
      </c>
      <c r="E2625" t="s">
        <v>3045</v>
      </c>
      <c r="F2625" t="s">
        <v>17</v>
      </c>
    </row>
    <row r="2626" spans="1:6" x14ac:dyDescent="0.3">
      <c r="A2626" t="s">
        <v>812</v>
      </c>
      <c r="B2626" t="s">
        <v>813</v>
      </c>
      <c r="C2626" t="str">
        <f>HYPERLINK("http://service.sap.com/sap/support/notes/1954679","1954679")</f>
        <v>1954679</v>
      </c>
      <c r="D2626">
        <v>11</v>
      </c>
      <c r="E2626" t="s">
        <v>3046</v>
      </c>
      <c r="F2626" t="s">
        <v>17</v>
      </c>
    </row>
    <row r="2627" spans="1:6" x14ac:dyDescent="0.3">
      <c r="A2627" t="s">
        <v>812</v>
      </c>
      <c r="B2627" t="s">
        <v>813</v>
      </c>
      <c r="C2627" t="str">
        <f>HYPERLINK("http://service.sap.com/sap/support/notes/1962040","1962040")</f>
        <v>1962040</v>
      </c>
      <c r="D2627">
        <v>2</v>
      </c>
      <c r="E2627" t="s">
        <v>3047</v>
      </c>
      <c r="F2627" t="s">
        <v>17</v>
      </c>
    </row>
    <row r="2628" spans="1:6" x14ac:dyDescent="0.3">
      <c r="A2628" t="s">
        <v>812</v>
      </c>
      <c r="B2628" t="s">
        <v>813</v>
      </c>
      <c r="C2628" t="str">
        <f>HYPERLINK("http://service.sap.com/sap/support/notes/1964766","1964766")</f>
        <v>1964766</v>
      </c>
      <c r="D2628">
        <v>2</v>
      </c>
      <c r="E2628" t="s">
        <v>3048</v>
      </c>
      <c r="F2628" t="s">
        <v>13</v>
      </c>
    </row>
    <row r="2629" spans="1:6" x14ac:dyDescent="0.3">
      <c r="A2629" t="s">
        <v>812</v>
      </c>
      <c r="B2629" t="s">
        <v>813</v>
      </c>
      <c r="C2629" t="str">
        <f>HYPERLINK("http://service.sap.com/sap/support/notes/1967254","1967254")</f>
        <v>1967254</v>
      </c>
      <c r="D2629">
        <v>2</v>
      </c>
      <c r="E2629" t="s">
        <v>3049</v>
      </c>
      <c r="F2629" t="s">
        <v>13</v>
      </c>
    </row>
    <row r="2630" spans="1:6" x14ac:dyDescent="0.3">
      <c r="A2630" t="s">
        <v>812</v>
      </c>
      <c r="B2630" t="s">
        <v>813</v>
      </c>
      <c r="C2630" t="str">
        <f>HYPERLINK("http://service.sap.com/sap/support/notes/1969686","1969686")</f>
        <v>1969686</v>
      </c>
      <c r="D2630">
        <v>4</v>
      </c>
      <c r="E2630" t="s">
        <v>3050</v>
      </c>
      <c r="F2630" t="s">
        <v>17</v>
      </c>
    </row>
    <row r="2631" spans="1:6" x14ac:dyDescent="0.3">
      <c r="A2631" t="s">
        <v>812</v>
      </c>
      <c r="B2631" t="s">
        <v>813</v>
      </c>
      <c r="C2631" t="str">
        <f>HYPERLINK("http://service.sap.com/sap/support/notes/1976662","1976662")</f>
        <v>1976662</v>
      </c>
      <c r="D2631">
        <v>9</v>
      </c>
      <c r="E2631" t="s">
        <v>3051</v>
      </c>
      <c r="F2631" t="s">
        <v>17</v>
      </c>
    </row>
    <row r="2632" spans="1:6" x14ac:dyDescent="0.3">
      <c r="A2632" t="s">
        <v>812</v>
      </c>
      <c r="B2632" t="s">
        <v>813</v>
      </c>
      <c r="C2632" t="str">
        <f>HYPERLINK("http://service.sap.com/sap/support/notes/1984267","1984267")</f>
        <v>1984267</v>
      </c>
      <c r="D2632">
        <v>1</v>
      </c>
      <c r="E2632" t="s">
        <v>3052</v>
      </c>
      <c r="F2632" t="s">
        <v>17</v>
      </c>
    </row>
    <row r="2633" spans="1:6" x14ac:dyDescent="0.3">
      <c r="A2633" t="s">
        <v>825</v>
      </c>
      <c r="B2633" t="s">
        <v>826</v>
      </c>
      <c r="C2633" t="str">
        <f>HYPERLINK("http://service.sap.com/sap/support/notes/1954779","1954779")</f>
        <v>1954779</v>
      </c>
      <c r="D2633">
        <v>3</v>
      </c>
      <c r="E2633" t="s">
        <v>3053</v>
      </c>
      <c r="F2633" t="s">
        <v>17</v>
      </c>
    </row>
    <row r="2634" spans="1:6" x14ac:dyDescent="0.3">
      <c r="A2634" t="s">
        <v>825</v>
      </c>
      <c r="B2634" t="s">
        <v>826</v>
      </c>
      <c r="C2634" t="str">
        <f>HYPERLINK("http://service.sap.com/sap/support/notes/1966442","1966442")</f>
        <v>1966442</v>
      </c>
      <c r="D2634">
        <v>2</v>
      </c>
      <c r="E2634" t="s">
        <v>3054</v>
      </c>
      <c r="F2634" t="s">
        <v>17</v>
      </c>
    </row>
    <row r="2635" spans="1:6" x14ac:dyDescent="0.3">
      <c r="A2635" t="s">
        <v>825</v>
      </c>
      <c r="B2635" t="s">
        <v>826</v>
      </c>
      <c r="C2635" t="str">
        <f>HYPERLINK("http://service.sap.com/sap/support/notes/1974566","1974566")</f>
        <v>1974566</v>
      </c>
      <c r="D2635">
        <v>2</v>
      </c>
      <c r="E2635" t="s">
        <v>3055</v>
      </c>
      <c r="F2635" t="s">
        <v>17</v>
      </c>
    </row>
    <row r="2636" spans="1:6" x14ac:dyDescent="0.3">
      <c r="A2636" t="s">
        <v>825</v>
      </c>
      <c r="B2636" t="s">
        <v>826</v>
      </c>
      <c r="C2636" t="str">
        <f>HYPERLINK("http://service.sap.com/sap/support/notes/1981918","1981918")</f>
        <v>1981918</v>
      </c>
      <c r="D2636">
        <v>2</v>
      </c>
      <c r="E2636" t="s">
        <v>3056</v>
      </c>
      <c r="F2636" t="s">
        <v>17</v>
      </c>
    </row>
    <row r="2637" spans="1:6" x14ac:dyDescent="0.3">
      <c r="A2637" t="s">
        <v>825</v>
      </c>
      <c r="B2637" t="s">
        <v>826</v>
      </c>
      <c r="C2637" t="str">
        <f>HYPERLINK("http://service.sap.com/sap/support/notes/1983597","1983597")</f>
        <v>1983597</v>
      </c>
      <c r="D2637">
        <v>2</v>
      </c>
      <c r="E2637" t="s">
        <v>3057</v>
      </c>
      <c r="F2637" t="s">
        <v>17</v>
      </c>
    </row>
    <row r="2638" spans="1:6" x14ac:dyDescent="0.3">
      <c r="A2638" t="s">
        <v>825</v>
      </c>
      <c r="B2638" t="s">
        <v>826</v>
      </c>
      <c r="C2638" t="str">
        <f>HYPERLINK("http://service.sap.com/sap/support/notes/1990844","1990844")</f>
        <v>1990844</v>
      </c>
      <c r="D2638">
        <v>3</v>
      </c>
      <c r="E2638" t="s">
        <v>3058</v>
      </c>
      <c r="F2638" t="s">
        <v>17</v>
      </c>
    </row>
    <row r="2639" spans="1:6" x14ac:dyDescent="0.3">
      <c r="A2639" t="s">
        <v>844</v>
      </c>
      <c r="B2639" t="s">
        <v>845</v>
      </c>
      <c r="C2639" t="str">
        <f>HYPERLINK("http://service.sap.com/sap/support/notes/1901807","1901807")</f>
        <v>1901807</v>
      </c>
      <c r="D2639">
        <v>5</v>
      </c>
      <c r="E2639" t="s">
        <v>847</v>
      </c>
      <c r="F2639" t="s">
        <v>17</v>
      </c>
    </row>
    <row r="2640" spans="1:6" x14ac:dyDescent="0.3">
      <c r="A2640" t="s">
        <v>844</v>
      </c>
      <c r="B2640" t="s">
        <v>845</v>
      </c>
      <c r="C2640" t="str">
        <f>HYPERLINK("http://service.sap.com/sap/support/notes/1982986","1982986")</f>
        <v>1982986</v>
      </c>
      <c r="D2640">
        <v>1</v>
      </c>
      <c r="E2640" t="s">
        <v>3059</v>
      </c>
      <c r="F2640" t="s">
        <v>17</v>
      </c>
    </row>
    <row r="2641" spans="1:6" x14ac:dyDescent="0.3">
      <c r="A2641" t="s">
        <v>844</v>
      </c>
      <c r="B2641" t="s">
        <v>845</v>
      </c>
      <c r="C2641" t="str">
        <f>HYPERLINK("http://service.sap.com/sap/support/notes/1988641","1988641")</f>
        <v>1988641</v>
      </c>
      <c r="D2641">
        <v>4</v>
      </c>
      <c r="E2641" t="s">
        <v>3060</v>
      </c>
      <c r="F2641" t="s">
        <v>17</v>
      </c>
    </row>
    <row r="2642" spans="1:6" x14ac:dyDescent="0.3">
      <c r="A2642" t="s">
        <v>848</v>
      </c>
      <c r="B2642" t="s">
        <v>849</v>
      </c>
      <c r="C2642" t="str">
        <f>HYPERLINK("http://service.sap.com/sap/support/notes/1042941","1042941")</f>
        <v>1042941</v>
      </c>
      <c r="D2642">
        <v>1</v>
      </c>
      <c r="E2642" t="s">
        <v>850</v>
      </c>
      <c r="F2642" t="s">
        <v>17</v>
      </c>
    </row>
    <row r="2643" spans="1:6" x14ac:dyDescent="0.3">
      <c r="A2643" t="s">
        <v>848</v>
      </c>
      <c r="B2643" t="s">
        <v>849</v>
      </c>
      <c r="C2643" t="str">
        <f>HYPERLINK("http://service.sap.com/sap/support/notes/1949738","1949738")</f>
        <v>1949738</v>
      </c>
      <c r="D2643">
        <v>5</v>
      </c>
      <c r="E2643" t="s">
        <v>2193</v>
      </c>
      <c r="F2643" t="s">
        <v>17</v>
      </c>
    </row>
    <row r="2644" spans="1:6" x14ac:dyDescent="0.3">
      <c r="A2644" t="s">
        <v>848</v>
      </c>
      <c r="B2644" t="s">
        <v>849</v>
      </c>
      <c r="C2644" t="str">
        <f>HYPERLINK("http://service.sap.com/sap/support/notes/1959275","1959275")</f>
        <v>1959275</v>
      </c>
      <c r="D2644">
        <v>4</v>
      </c>
      <c r="E2644" t="s">
        <v>3061</v>
      </c>
      <c r="F2644" t="s">
        <v>11</v>
      </c>
    </row>
    <row r="2645" spans="1:6" x14ac:dyDescent="0.3">
      <c r="A2645" t="s">
        <v>848</v>
      </c>
      <c r="B2645" t="s">
        <v>849</v>
      </c>
      <c r="C2645" t="str">
        <f>HYPERLINK("http://service.sap.com/sap/support/notes/1959319","1959319")</f>
        <v>1959319</v>
      </c>
      <c r="D2645">
        <v>3</v>
      </c>
      <c r="E2645" t="s">
        <v>3062</v>
      </c>
      <c r="F2645" t="s">
        <v>17</v>
      </c>
    </row>
    <row r="2646" spans="1:6" x14ac:dyDescent="0.3">
      <c r="A2646" t="s">
        <v>848</v>
      </c>
      <c r="B2646" t="s">
        <v>849</v>
      </c>
      <c r="C2646" t="str">
        <f>HYPERLINK("http://service.sap.com/sap/support/notes/1973309","1973309")</f>
        <v>1973309</v>
      </c>
      <c r="D2646">
        <v>4</v>
      </c>
      <c r="E2646" t="s">
        <v>3063</v>
      </c>
      <c r="F2646" t="s">
        <v>17</v>
      </c>
    </row>
    <row r="2647" spans="1:6" x14ac:dyDescent="0.3">
      <c r="A2647" t="s">
        <v>848</v>
      </c>
      <c r="B2647" t="s">
        <v>849</v>
      </c>
      <c r="C2647" t="str">
        <f>HYPERLINK("http://service.sap.com/sap/support/notes/1975681","1975681")</f>
        <v>1975681</v>
      </c>
      <c r="D2647">
        <v>2</v>
      </c>
      <c r="E2647" t="s">
        <v>3064</v>
      </c>
      <c r="F2647" t="s">
        <v>17</v>
      </c>
    </row>
    <row r="2648" spans="1:6" x14ac:dyDescent="0.3">
      <c r="A2648" t="s">
        <v>848</v>
      </c>
      <c r="B2648" t="s">
        <v>849</v>
      </c>
      <c r="C2648" t="str">
        <f>HYPERLINK("http://service.sap.com/sap/support/notes/1976122","1976122")</f>
        <v>1976122</v>
      </c>
      <c r="D2648">
        <v>1</v>
      </c>
      <c r="E2648" t="s">
        <v>3065</v>
      </c>
      <c r="F2648" t="s">
        <v>17</v>
      </c>
    </row>
    <row r="2649" spans="1:6" x14ac:dyDescent="0.3">
      <c r="A2649" t="s">
        <v>848</v>
      </c>
      <c r="B2649" t="s">
        <v>849</v>
      </c>
      <c r="C2649" t="str">
        <f>HYPERLINK("http://service.sap.com/sap/support/notes/1976323","1976323")</f>
        <v>1976323</v>
      </c>
      <c r="D2649">
        <v>1</v>
      </c>
      <c r="E2649" t="s">
        <v>3066</v>
      </c>
      <c r="F2649" t="s">
        <v>17</v>
      </c>
    </row>
    <row r="2650" spans="1:6" x14ac:dyDescent="0.3">
      <c r="A2650" t="s">
        <v>848</v>
      </c>
      <c r="B2650" t="s">
        <v>849</v>
      </c>
      <c r="C2650" t="str">
        <f>HYPERLINK("http://service.sap.com/sap/support/notes/1978741","1978741")</f>
        <v>1978741</v>
      </c>
      <c r="D2650">
        <v>2</v>
      </c>
      <c r="E2650" t="s">
        <v>3067</v>
      </c>
      <c r="F2650" t="s">
        <v>17</v>
      </c>
    </row>
    <row r="2651" spans="1:6" x14ac:dyDescent="0.3">
      <c r="A2651" t="s">
        <v>848</v>
      </c>
      <c r="B2651" t="s">
        <v>849</v>
      </c>
      <c r="C2651" t="str">
        <f>HYPERLINK("http://service.sap.com/sap/support/notes/1980423","1980423")</f>
        <v>1980423</v>
      </c>
      <c r="D2651">
        <v>6</v>
      </c>
      <c r="E2651" t="s">
        <v>3068</v>
      </c>
      <c r="F2651" t="s">
        <v>17</v>
      </c>
    </row>
    <row r="2652" spans="1:6" x14ac:dyDescent="0.3">
      <c r="A2652" t="s">
        <v>848</v>
      </c>
      <c r="B2652" t="s">
        <v>849</v>
      </c>
      <c r="C2652" t="str">
        <f>HYPERLINK("http://service.sap.com/sap/support/notes/1981630","1981630")</f>
        <v>1981630</v>
      </c>
      <c r="D2652">
        <v>2</v>
      </c>
      <c r="E2652" t="s">
        <v>3069</v>
      </c>
      <c r="F2652" t="s">
        <v>17</v>
      </c>
    </row>
    <row r="2653" spans="1:6" x14ac:dyDescent="0.3">
      <c r="A2653" t="s">
        <v>848</v>
      </c>
      <c r="B2653" t="s">
        <v>849</v>
      </c>
      <c r="C2653" t="str">
        <f>HYPERLINK("http://service.sap.com/sap/support/notes/1982672","1982672")</f>
        <v>1982672</v>
      </c>
      <c r="D2653">
        <v>2</v>
      </c>
      <c r="E2653" t="s">
        <v>3070</v>
      </c>
      <c r="F2653" t="s">
        <v>17</v>
      </c>
    </row>
    <row r="2654" spans="1:6" x14ac:dyDescent="0.3">
      <c r="A2654" t="s">
        <v>848</v>
      </c>
      <c r="B2654" t="s">
        <v>849</v>
      </c>
      <c r="C2654" t="str">
        <f>HYPERLINK("http://service.sap.com/sap/support/notes/1982692","1982692")</f>
        <v>1982692</v>
      </c>
      <c r="D2654">
        <v>1</v>
      </c>
      <c r="E2654" t="s">
        <v>3071</v>
      </c>
      <c r="F2654" t="s">
        <v>17</v>
      </c>
    </row>
    <row r="2655" spans="1:6" x14ac:dyDescent="0.3">
      <c r="A2655" t="s">
        <v>848</v>
      </c>
      <c r="B2655" t="s">
        <v>849</v>
      </c>
      <c r="C2655" t="str">
        <f>HYPERLINK("http://service.sap.com/sap/support/notes/1983202","1983202")</f>
        <v>1983202</v>
      </c>
      <c r="D2655">
        <v>1</v>
      </c>
      <c r="E2655" t="s">
        <v>3072</v>
      </c>
      <c r="F2655" t="s">
        <v>17</v>
      </c>
    </row>
    <row r="2656" spans="1:6" x14ac:dyDescent="0.3">
      <c r="A2656" t="s">
        <v>848</v>
      </c>
      <c r="B2656" t="s">
        <v>849</v>
      </c>
      <c r="C2656" t="str">
        <f>HYPERLINK("http://service.sap.com/sap/support/notes/1987056","1987056")</f>
        <v>1987056</v>
      </c>
      <c r="D2656">
        <v>1</v>
      </c>
      <c r="E2656" t="s">
        <v>3073</v>
      </c>
      <c r="F2656" t="s">
        <v>17</v>
      </c>
    </row>
    <row r="2657" spans="1:6" x14ac:dyDescent="0.3">
      <c r="A2657" t="s">
        <v>848</v>
      </c>
      <c r="B2657" t="s">
        <v>849</v>
      </c>
      <c r="C2657" t="str">
        <f>HYPERLINK("http://service.sap.com/sap/support/notes/1992413","1992413")</f>
        <v>1992413</v>
      </c>
      <c r="D2657">
        <v>1</v>
      </c>
      <c r="E2657" t="s">
        <v>3074</v>
      </c>
      <c r="F2657" t="s">
        <v>17</v>
      </c>
    </row>
    <row r="2658" spans="1:6" x14ac:dyDescent="0.3">
      <c r="A2658" t="s">
        <v>861</v>
      </c>
      <c r="B2658" t="s">
        <v>862</v>
      </c>
      <c r="C2658" t="str">
        <f>HYPERLINK("http://service.sap.com/sap/support/notes/1940367","1940367")</f>
        <v>1940367</v>
      </c>
      <c r="D2658">
        <v>9</v>
      </c>
      <c r="E2658" t="s">
        <v>2197</v>
      </c>
      <c r="F2658" t="s">
        <v>17</v>
      </c>
    </row>
    <row r="2659" spans="1:6" x14ac:dyDescent="0.3">
      <c r="A2659" t="s">
        <v>861</v>
      </c>
      <c r="B2659" t="s">
        <v>862</v>
      </c>
      <c r="C2659" t="str">
        <f>HYPERLINK("http://service.sap.com/sap/support/notes/1947074","1947074")</f>
        <v>1947074</v>
      </c>
      <c r="D2659">
        <v>2</v>
      </c>
      <c r="E2659" t="s">
        <v>3075</v>
      </c>
      <c r="F2659" t="s">
        <v>11</v>
      </c>
    </row>
    <row r="2660" spans="1:6" x14ac:dyDescent="0.3">
      <c r="A2660" t="s">
        <v>867</v>
      </c>
      <c r="B2660" t="s">
        <v>868</v>
      </c>
      <c r="C2660" t="str">
        <f>HYPERLINK("http://service.sap.com/sap/support/notes/1970698","1970698")</f>
        <v>1970698</v>
      </c>
      <c r="D2660">
        <v>2</v>
      </c>
      <c r="E2660" t="s">
        <v>3076</v>
      </c>
      <c r="F2660" t="s">
        <v>17</v>
      </c>
    </row>
    <row r="2661" spans="1:6" x14ac:dyDescent="0.3">
      <c r="A2661" t="s">
        <v>871</v>
      </c>
      <c r="B2661" t="s">
        <v>872</v>
      </c>
    </row>
    <row r="2662" spans="1:6" x14ac:dyDescent="0.3">
      <c r="A2662" t="s">
        <v>873</v>
      </c>
      <c r="B2662" t="s">
        <v>874</v>
      </c>
      <c r="C2662" t="str">
        <f>HYPERLINK("http://service.sap.com/sap/support/notes/1893742","1893742")</f>
        <v>1893742</v>
      </c>
      <c r="D2662">
        <v>2</v>
      </c>
      <c r="E2662" t="s">
        <v>3077</v>
      </c>
      <c r="F2662" t="s">
        <v>11</v>
      </c>
    </row>
    <row r="2663" spans="1:6" x14ac:dyDescent="0.3">
      <c r="A2663" t="s">
        <v>873</v>
      </c>
      <c r="B2663" t="s">
        <v>874</v>
      </c>
      <c r="C2663" t="str">
        <f>HYPERLINK("http://service.sap.com/sap/support/notes/1911496","1911496")</f>
        <v>1911496</v>
      </c>
      <c r="D2663">
        <v>2</v>
      </c>
      <c r="E2663" t="s">
        <v>3078</v>
      </c>
      <c r="F2663" t="s">
        <v>13</v>
      </c>
    </row>
    <row r="2664" spans="1:6" x14ac:dyDescent="0.3">
      <c r="A2664" t="s">
        <v>873</v>
      </c>
      <c r="B2664" t="s">
        <v>874</v>
      </c>
      <c r="C2664" t="str">
        <f>HYPERLINK("http://service.sap.com/sap/support/notes/1939838","1939838")</f>
        <v>1939838</v>
      </c>
      <c r="D2664">
        <v>2</v>
      </c>
      <c r="E2664" t="s">
        <v>3079</v>
      </c>
      <c r="F2664" t="s">
        <v>13</v>
      </c>
    </row>
    <row r="2665" spans="1:6" x14ac:dyDescent="0.3">
      <c r="A2665" t="s">
        <v>873</v>
      </c>
      <c r="B2665" t="s">
        <v>874</v>
      </c>
      <c r="C2665" t="str">
        <f>HYPERLINK("http://service.sap.com/sap/support/notes/1939983","1939983")</f>
        <v>1939983</v>
      </c>
      <c r="D2665">
        <v>2</v>
      </c>
      <c r="E2665" t="s">
        <v>3080</v>
      </c>
      <c r="F2665" t="s">
        <v>17</v>
      </c>
    </row>
    <row r="2666" spans="1:6" x14ac:dyDescent="0.3">
      <c r="A2666" t="s">
        <v>873</v>
      </c>
      <c r="B2666" t="s">
        <v>874</v>
      </c>
      <c r="C2666" t="str">
        <f>HYPERLINK("http://service.sap.com/sap/support/notes/1945444","1945444")</f>
        <v>1945444</v>
      </c>
      <c r="D2666">
        <v>2</v>
      </c>
      <c r="E2666" t="s">
        <v>3081</v>
      </c>
      <c r="F2666" t="s">
        <v>17</v>
      </c>
    </row>
    <row r="2667" spans="1:6" x14ac:dyDescent="0.3">
      <c r="A2667" t="s">
        <v>873</v>
      </c>
      <c r="B2667" t="s">
        <v>874</v>
      </c>
      <c r="C2667" t="str">
        <f>HYPERLINK("http://service.sap.com/sap/support/notes/1945509","1945509")</f>
        <v>1945509</v>
      </c>
      <c r="D2667">
        <v>1</v>
      </c>
      <c r="E2667" t="s">
        <v>3082</v>
      </c>
      <c r="F2667" t="s">
        <v>17</v>
      </c>
    </row>
    <row r="2668" spans="1:6" x14ac:dyDescent="0.3">
      <c r="A2668" t="s">
        <v>873</v>
      </c>
      <c r="B2668" t="s">
        <v>874</v>
      </c>
      <c r="C2668" t="str">
        <f>HYPERLINK("http://service.sap.com/sap/support/notes/1948136","1948136")</f>
        <v>1948136</v>
      </c>
      <c r="D2668">
        <v>5</v>
      </c>
      <c r="E2668" t="s">
        <v>3083</v>
      </c>
      <c r="F2668" t="s">
        <v>17</v>
      </c>
    </row>
    <row r="2669" spans="1:6" x14ac:dyDescent="0.3">
      <c r="A2669" t="s">
        <v>873</v>
      </c>
      <c r="B2669" t="s">
        <v>874</v>
      </c>
      <c r="C2669" t="str">
        <f>HYPERLINK("http://service.sap.com/sap/support/notes/1955833","1955833")</f>
        <v>1955833</v>
      </c>
      <c r="D2669">
        <v>1</v>
      </c>
      <c r="E2669" t="s">
        <v>3084</v>
      </c>
      <c r="F2669" t="s">
        <v>17</v>
      </c>
    </row>
    <row r="2670" spans="1:6" x14ac:dyDescent="0.3">
      <c r="A2670" t="s">
        <v>873</v>
      </c>
      <c r="B2670" t="s">
        <v>874</v>
      </c>
      <c r="C2670" t="str">
        <f>HYPERLINK("http://service.sap.com/sap/support/notes/1957314","1957314")</f>
        <v>1957314</v>
      </c>
      <c r="D2670">
        <v>3</v>
      </c>
      <c r="E2670" t="s">
        <v>3085</v>
      </c>
      <c r="F2670" t="s">
        <v>17</v>
      </c>
    </row>
    <row r="2671" spans="1:6" x14ac:dyDescent="0.3">
      <c r="A2671" t="s">
        <v>873</v>
      </c>
      <c r="B2671" t="s">
        <v>874</v>
      </c>
      <c r="C2671" t="str">
        <f>HYPERLINK("http://service.sap.com/sap/support/notes/1965834","1965834")</f>
        <v>1965834</v>
      </c>
      <c r="D2671">
        <v>2</v>
      </c>
      <c r="E2671" t="s">
        <v>3086</v>
      </c>
      <c r="F2671" t="s">
        <v>17</v>
      </c>
    </row>
    <row r="2672" spans="1:6" x14ac:dyDescent="0.3">
      <c r="A2672" t="s">
        <v>873</v>
      </c>
      <c r="B2672" t="s">
        <v>874</v>
      </c>
      <c r="C2672" t="str">
        <f>HYPERLINK("http://service.sap.com/sap/support/notes/1970409","1970409")</f>
        <v>1970409</v>
      </c>
      <c r="D2672">
        <v>3</v>
      </c>
      <c r="E2672" t="s">
        <v>3087</v>
      </c>
      <c r="F2672" t="s">
        <v>17</v>
      </c>
    </row>
    <row r="2673" spans="1:6" x14ac:dyDescent="0.3">
      <c r="A2673" t="s">
        <v>873</v>
      </c>
      <c r="B2673" t="s">
        <v>874</v>
      </c>
      <c r="C2673" t="str">
        <f>HYPERLINK("http://service.sap.com/sap/support/notes/1973728","1973728")</f>
        <v>1973728</v>
      </c>
      <c r="D2673">
        <v>1</v>
      </c>
      <c r="E2673" t="s">
        <v>3088</v>
      </c>
      <c r="F2673" t="s">
        <v>17</v>
      </c>
    </row>
    <row r="2674" spans="1:6" x14ac:dyDescent="0.3">
      <c r="A2674" t="s">
        <v>873</v>
      </c>
      <c r="B2674" t="s">
        <v>874</v>
      </c>
      <c r="C2674" t="str">
        <f>HYPERLINK("http://service.sap.com/sap/support/notes/1976006","1976006")</f>
        <v>1976006</v>
      </c>
      <c r="D2674">
        <v>2</v>
      </c>
      <c r="E2674" t="s">
        <v>3089</v>
      </c>
      <c r="F2674" t="s">
        <v>17</v>
      </c>
    </row>
    <row r="2675" spans="1:6" x14ac:dyDescent="0.3">
      <c r="A2675" t="s">
        <v>873</v>
      </c>
      <c r="B2675" t="s">
        <v>874</v>
      </c>
      <c r="C2675" t="str">
        <f>HYPERLINK("http://service.sap.com/sap/support/notes/1981008","1981008")</f>
        <v>1981008</v>
      </c>
      <c r="D2675">
        <v>1</v>
      </c>
      <c r="E2675" t="s">
        <v>3090</v>
      </c>
      <c r="F2675" t="s">
        <v>17</v>
      </c>
    </row>
    <row r="2676" spans="1:6" x14ac:dyDescent="0.3">
      <c r="A2676" t="s">
        <v>887</v>
      </c>
      <c r="B2676" t="s">
        <v>888</v>
      </c>
      <c r="C2676" t="str">
        <f>HYPERLINK("http://service.sap.com/sap/support/notes/855538","855538")</f>
        <v>855538</v>
      </c>
      <c r="D2676">
        <v>1</v>
      </c>
      <c r="E2676" t="s">
        <v>889</v>
      </c>
      <c r="F2676" t="s">
        <v>13</v>
      </c>
    </row>
    <row r="2677" spans="1:6" x14ac:dyDescent="0.3">
      <c r="A2677" t="s">
        <v>887</v>
      </c>
      <c r="B2677" t="s">
        <v>888</v>
      </c>
      <c r="C2677" t="str">
        <f>HYPERLINK("http://service.sap.com/sap/support/notes/1676782","1676782")</f>
        <v>1676782</v>
      </c>
      <c r="D2677">
        <v>5</v>
      </c>
      <c r="E2677" t="s">
        <v>3091</v>
      </c>
      <c r="F2677" t="s">
        <v>17</v>
      </c>
    </row>
    <row r="2678" spans="1:6" x14ac:dyDescent="0.3">
      <c r="A2678" t="s">
        <v>887</v>
      </c>
      <c r="B2678" t="s">
        <v>888</v>
      </c>
      <c r="C2678" t="str">
        <f>HYPERLINK("http://service.sap.com/sap/support/notes/1947460","1947460")</f>
        <v>1947460</v>
      </c>
      <c r="D2678">
        <v>1</v>
      </c>
      <c r="E2678" t="s">
        <v>3092</v>
      </c>
      <c r="F2678" t="s">
        <v>17</v>
      </c>
    </row>
    <row r="2679" spans="1:6" x14ac:dyDescent="0.3">
      <c r="A2679" t="s">
        <v>887</v>
      </c>
      <c r="B2679" t="s">
        <v>888</v>
      </c>
      <c r="C2679" t="str">
        <f>HYPERLINK("http://service.sap.com/sap/support/notes/1969187","1969187")</f>
        <v>1969187</v>
      </c>
      <c r="D2679">
        <v>8</v>
      </c>
      <c r="E2679" t="s">
        <v>3093</v>
      </c>
      <c r="F2679" t="s">
        <v>17</v>
      </c>
    </row>
    <row r="2680" spans="1:6" x14ac:dyDescent="0.3">
      <c r="A2680" t="s">
        <v>906</v>
      </c>
      <c r="B2680" t="s">
        <v>346</v>
      </c>
    </row>
    <row r="2681" spans="1:6" x14ac:dyDescent="0.3">
      <c r="A2681" t="s">
        <v>908</v>
      </c>
      <c r="B2681" t="s">
        <v>909</v>
      </c>
      <c r="C2681" t="str">
        <f>HYPERLINK("http://service.sap.com/sap/support/notes/1917775","1917775")</f>
        <v>1917775</v>
      </c>
      <c r="D2681">
        <v>3</v>
      </c>
      <c r="E2681" t="s">
        <v>3094</v>
      </c>
      <c r="F2681" t="s">
        <v>17</v>
      </c>
    </row>
    <row r="2682" spans="1:6" x14ac:dyDescent="0.3">
      <c r="A2682" t="s">
        <v>908</v>
      </c>
      <c r="B2682" t="s">
        <v>909</v>
      </c>
      <c r="C2682" t="str">
        <f>HYPERLINK("http://service.sap.com/sap/support/notes/1952678","1952678")</f>
        <v>1952678</v>
      </c>
      <c r="D2682">
        <v>2</v>
      </c>
      <c r="E2682" t="s">
        <v>3095</v>
      </c>
      <c r="F2682" t="s">
        <v>17</v>
      </c>
    </row>
    <row r="2683" spans="1:6" x14ac:dyDescent="0.3">
      <c r="A2683" t="s">
        <v>908</v>
      </c>
      <c r="B2683" t="s">
        <v>909</v>
      </c>
      <c r="C2683" t="str">
        <f>HYPERLINK("http://service.sap.com/sap/support/notes/1963081","1963081")</f>
        <v>1963081</v>
      </c>
      <c r="D2683">
        <v>2</v>
      </c>
      <c r="E2683" t="s">
        <v>3096</v>
      </c>
      <c r="F2683" t="s">
        <v>17</v>
      </c>
    </row>
    <row r="2684" spans="1:6" x14ac:dyDescent="0.3">
      <c r="A2684" t="s">
        <v>908</v>
      </c>
      <c r="B2684" t="s">
        <v>909</v>
      </c>
      <c r="C2684" t="str">
        <f>HYPERLINK("http://service.sap.com/sap/support/notes/1963894","1963894")</f>
        <v>1963894</v>
      </c>
      <c r="D2684">
        <v>2</v>
      </c>
      <c r="E2684" t="s">
        <v>3097</v>
      </c>
      <c r="F2684" t="s">
        <v>17</v>
      </c>
    </row>
    <row r="2685" spans="1:6" x14ac:dyDescent="0.3">
      <c r="A2685" t="s">
        <v>908</v>
      </c>
      <c r="B2685" t="s">
        <v>909</v>
      </c>
      <c r="C2685" t="str">
        <f>HYPERLINK("http://service.sap.com/sap/support/notes/1966339","1966339")</f>
        <v>1966339</v>
      </c>
      <c r="D2685">
        <v>1</v>
      </c>
      <c r="E2685" t="s">
        <v>3098</v>
      </c>
      <c r="F2685" t="s">
        <v>17</v>
      </c>
    </row>
    <row r="2686" spans="1:6" x14ac:dyDescent="0.3">
      <c r="A2686" t="s">
        <v>908</v>
      </c>
      <c r="B2686" t="s">
        <v>909</v>
      </c>
      <c r="C2686" t="str">
        <f>HYPERLINK("http://service.sap.com/sap/support/notes/1969637","1969637")</f>
        <v>1969637</v>
      </c>
      <c r="D2686">
        <v>2</v>
      </c>
      <c r="E2686" t="s">
        <v>3099</v>
      </c>
      <c r="F2686" t="s">
        <v>17</v>
      </c>
    </row>
    <row r="2687" spans="1:6" x14ac:dyDescent="0.3">
      <c r="A2687" t="s">
        <v>908</v>
      </c>
      <c r="B2687" t="s">
        <v>909</v>
      </c>
      <c r="C2687" t="str">
        <f>HYPERLINK("http://service.sap.com/sap/support/notes/1976127","1976127")</f>
        <v>1976127</v>
      </c>
      <c r="D2687">
        <v>4</v>
      </c>
      <c r="E2687" t="s">
        <v>3100</v>
      </c>
      <c r="F2687" t="s">
        <v>11</v>
      </c>
    </row>
    <row r="2688" spans="1:6" x14ac:dyDescent="0.3">
      <c r="A2688" t="s">
        <v>908</v>
      </c>
      <c r="B2688" t="s">
        <v>909</v>
      </c>
      <c r="C2688" t="str">
        <f>HYPERLINK("http://service.sap.com/sap/support/notes/1976131","1976131")</f>
        <v>1976131</v>
      </c>
      <c r="D2688">
        <v>5</v>
      </c>
      <c r="E2688" t="s">
        <v>3101</v>
      </c>
      <c r="F2688" t="s">
        <v>17</v>
      </c>
    </row>
    <row r="2689" spans="1:6" x14ac:dyDescent="0.3">
      <c r="A2689" t="s">
        <v>908</v>
      </c>
      <c r="B2689" t="s">
        <v>909</v>
      </c>
      <c r="C2689" t="str">
        <f>HYPERLINK("http://service.sap.com/sap/support/notes/1976559","1976559")</f>
        <v>1976559</v>
      </c>
      <c r="D2689">
        <v>2</v>
      </c>
      <c r="E2689" t="s">
        <v>3102</v>
      </c>
      <c r="F2689" t="s">
        <v>17</v>
      </c>
    </row>
    <row r="2690" spans="1:6" x14ac:dyDescent="0.3">
      <c r="A2690" t="s">
        <v>908</v>
      </c>
      <c r="B2690" t="s">
        <v>909</v>
      </c>
      <c r="C2690" t="str">
        <f>HYPERLINK("http://service.sap.com/sap/support/notes/1980441","1980441")</f>
        <v>1980441</v>
      </c>
      <c r="D2690">
        <v>3</v>
      </c>
      <c r="E2690" t="s">
        <v>3103</v>
      </c>
      <c r="F2690" t="s">
        <v>17</v>
      </c>
    </row>
    <row r="2691" spans="1:6" x14ac:dyDescent="0.3">
      <c r="A2691" t="s">
        <v>908</v>
      </c>
      <c r="B2691" t="s">
        <v>909</v>
      </c>
      <c r="C2691" t="str">
        <f>HYPERLINK("http://service.sap.com/sap/support/notes/1984644","1984644")</f>
        <v>1984644</v>
      </c>
      <c r="D2691">
        <v>3</v>
      </c>
      <c r="E2691" t="s">
        <v>3104</v>
      </c>
      <c r="F2691" t="s">
        <v>17</v>
      </c>
    </row>
    <row r="2692" spans="1:6" x14ac:dyDescent="0.3">
      <c r="A2692" t="s">
        <v>908</v>
      </c>
      <c r="B2692" t="s">
        <v>909</v>
      </c>
      <c r="C2692" t="str">
        <f>HYPERLINK("http://service.sap.com/sap/support/notes/1986499","1986499")</f>
        <v>1986499</v>
      </c>
      <c r="D2692">
        <v>1</v>
      </c>
      <c r="E2692" t="s">
        <v>3105</v>
      </c>
      <c r="F2692" t="s">
        <v>17</v>
      </c>
    </row>
    <row r="2693" spans="1:6" x14ac:dyDescent="0.3">
      <c r="A2693" t="s">
        <v>908</v>
      </c>
      <c r="B2693" t="s">
        <v>909</v>
      </c>
      <c r="C2693" t="str">
        <f>HYPERLINK("http://service.sap.com/sap/support/notes/1986981","1986981")</f>
        <v>1986981</v>
      </c>
      <c r="D2693">
        <v>1</v>
      </c>
      <c r="E2693" t="s">
        <v>3106</v>
      </c>
      <c r="F2693" t="s">
        <v>17</v>
      </c>
    </row>
    <row r="2694" spans="1:6" x14ac:dyDescent="0.3">
      <c r="A2694" t="s">
        <v>908</v>
      </c>
      <c r="B2694" t="s">
        <v>909</v>
      </c>
      <c r="C2694" t="str">
        <f>HYPERLINK("http://service.sap.com/sap/support/notes/1987699","1987699")</f>
        <v>1987699</v>
      </c>
      <c r="D2694">
        <v>1</v>
      </c>
      <c r="E2694" t="s">
        <v>3107</v>
      </c>
      <c r="F2694" t="s">
        <v>17</v>
      </c>
    </row>
    <row r="2695" spans="1:6" x14ac:dyDescent="0.3">
      <c r="A2695" t="s">
        <v>929</v>
      </c>
      <c r="B2695" t="s">
        <v>930</v>
      </c>
      <c r="C2695" t="str">
        <f>HYPERLINK("http://service.sap.com/sap/support/notes/1912277","1912277")</f>
        <v>1912277</v>
      </c>
      <c r="D2695">
        <v>5</v>
      </c>
      <c r="E2695" t="s">
        <v>3108</v>
      </c>
      <c r="F2695" t="s">
        <v>17</v>
      </c>
    </row>
    <row r="2696" spans="1:6" x14ac:dyDescent="0.3">
      <c r="A2696" t="s">
        <v>929</v>
      </c>
      <c r="B2696" t="s">
        <v>930</v>
      </c>
      <c r="C2696" t="str">
        <f>HYPERLINK("http://service.sap.com/sap/support/notes/1955365","1955365")</f>
        <v>1955365</v>
      </c>
      <c r="D2696">
        <v>2</v>
      </c>
      <c r="E2696" t="s">
        <v>3109</v>
      </c>
      <c r="F2696" t="s">
        <v>17</v>
      </c>
    </row>
    <row r="2697" spans="1:6" x14ac:dyDescent="0.3">
      <c r="A2697" t="s">
        <v>933</v>
      </c>
      <c r="B2697" t="s">
        <v>733</v>
      </c>
      <c r="C2697" t="str">
        <f>HYPERLINK("http://service.sap.com/sap/support/notes/1965085","1965085")</f>
        <v>1965085</v>
      </c>
      <c r="D2697">
        <v>4</v>
      </c>
      <c r="E2697" t="s">
        <v>3110</v>
      </c>
      <c r="F2697" t="s">
        <v>11</v>
      </c>
    </row>
    <row r="2698" spans="1:6" x14ac:dyDescent="0.3">
      <c r="A2698" t="s">
        <v>933</v>
      </c>
      <c r="B2698" t="s">
        <v>733</v>
      </c>
      <c r="C2698" t="str">
        <f>HYPERLINK("http://service.sap.com/sap/support/notes/1965562","1965562")</f>
        <v>1965562</v>
      </c>
      <c r="D2698">
        <v>2</v>
      </c>
      <c r="E2698" t="s">
        <v>3111</v>
      </c>
      <c r="F2698" t="s">
        <v>17</v>
      </c>
    </row>
    <row r="2699" spans="1:6" x14ac:dyDescent="0.3">
      <c r="A2699" t="s">
        <v>933</v>
      </c>
      <c r="B2699" t="s">
        <v>733</v>
      </c>
      <c r="C2699" t="str">
        <f>HYPERLINK("http://service.sap.com/sap/support/notes/1967074","1967074")</f>
        <v>1967074</v>
      </c>
      <c r="D2699">
        <v>2</v>
      </c>
      <c r="E2699" t="s">
        <v>3112</v>
      </c>
      <c r="F2699" t="s">
        <v>17</v>
      </c>
    </row>
    <row r="2700" spans="1:6" x14ac:dyDescent="0.3">
      <c r="A2700" t="s">
        <v>933</v>
      </c>
      <c r="B2700" t="s">
        <v>733</v>
      </c>
      <c r="C2700" t="str">
        <f>HYPERLINK("http://service.sap.com/sap/support/notes/1967139","1967139")</f>
        <v>1967139</v>
      </c>
      <c r="D2700">
        <v>1</v>
      </c>
      <c r="E2700" t="s">
        <v>3113</v>
      </c>
      <c r="F2700" t="s">
        <v>17</v>
      </c>
    </row>
    <row r="2701" spans="1:6" x14ac:dyDescent="0.3">
      <c r="A2701" t="s">
        <v>933</v>
      </c>
      <c r="B2701" t="s">
        <v>733</v>
      </c>
      <c r="C2701" t="str">
        <f>HYPERLINK("http://service.sap.com/sap/support/notes/1968276","1968276")</f>
        <v>1968276</v>
      </c>
      <c r="D2701">
        <v>2</v>
      </c>
      <c r="E2701" t="s">
        <v>3114</v>
      </c>
      <c r="F2701" t="s">
        <v>17</v>
      </c>
    </row>
    <row r="2702" spans="1:6" x14ac:dyDescent="0.3">
      <c r="A2702" t="s">
        <v>933</v>
      </c>
      <c r="B2702" t="s">
        <v>733</v>
      </c>
      <c r="C2702" t="str">
        <f>HYPERLINK("http://service.sap.com/sap/support/notes/1970132","1970132")</f>
        <v>1970132</v>
      </c>
      <c r="D2702">
        <v>1</v>
      </c>
      <c r="E2702" t="s">
        <v>3115</v>
      </c>
      <c r="F2702" t="s">
        <v>17</v>
      </c>
    </row>
    <row r="2703" spans="1:6" x14ac:dyDescent="0.3">
      <c r="A2703" t="s">
        <v>3116</v>
      </c>
      <c r="B2703" t="s">
        <v>2089</v>
      </c>
      <c r="C2703" t="str">
        <f>HYPERLINK("http://service.sap.com/sap/support/notes/1990623","1990623")</f>
        <v>1990623</v>
      </c>
      <c r="D2703">
        <v>1</v>
      </c>
      <c r="E2703" t="s">
        <v>3117</v>
      </c>
      <c r="F2703" t="s">
        <v>17</v>
      </c>
    </row>
    <row r="2704" spans="1:6" x14ac:dyDescent="0.3">
      <c r="A2704" t="s">
        <v>942</v>
      </c>
      <c r="B2704" t="s">
        <v>943</v>
      </c>
      <c r="C2704" t="str">
        <f>HYPERLINK("http://service.sap.com/sap/support/notes/1923182","1923182")</f>
        <v>1923182</v>
      </c>
      <c r="D2704">
        <v>6</v>
      </c>
      <c r="E2704" t="s">
        <v>3118</v>
      </c>
      <c r="F2704" t="s">
        <v>11</v>
      </c>
    </row>
    <row r="2705" spans="1:6" x14ac:dyDescent="0.3">
      <c r="A2705" t="s">
        <v>942</v>
      </c>
      <c r="B2705" t="s">
        <v>943</v>
      </c>
      <c r="C2705" t="str">
        <f>HYPERLINK("http://service.sap.com/sap/support/notes/1935321","1935321")</f>
        <v>1935321</v>
      </c>
      <c r="D2705">
        <v>6</v>
      </c>
      <c r="E2705" t="s">
        <v>3119</v>
      </c>
      <c r="F2705" t="s">
        <v>11</v>
      </c>
    </row>
    <row r="2706" spans="1:6" x14ac:dyDescent="0.3">
      <c r="A2706" t="s">
        <v>942</v>
      </c>
      <c r="B2706" t="s">
        <v>943</v>
      </c>
      <c r="C2706" t="str">
        <f>HYPERLINK("http://service.sap.com/sap/support/notes/1940834","1940834")</f>
        <v>1940834</v>
      </c>
      <c r="D2706">
        <v>3</v>
      </c>
      <c r="E2706" t="s">
        <v>3120</v>
      </c>
      <c r="F2706" t="s">
        <v>17</v>
      </c>
    </row>
    <row r="2707" spans="1:6" x14ac:dyDescent="0.3">
      <c r="A2707" t="s">
        <v>942</v>
      </c>
      <c r="B2707" t="s">
        <v>943</v>
      </c>
      <c r="C2707" t="str">
        <f>HYPERLINK("http://service.sap.com/sap/support/notes/1948319","1948319")</f>
        <v>1948319</v>
      </c>
      <c r="D2707">
        <v>6</v>
      </c>
      <c r="E2707" t="s">
        <v>3121</v>
      </c>
      <c r="F2707" t="s">
        <v>17</v>
      </c>
    </row>
    <row r="2708" spans="1:6" x14ac:dyDescent="0.3">
      <c r="A2708" t="s">
        <v>942</v>
      </c>
      <c r="B2708" t="s">
        <v>943</v>
      </c>
      <c r="C2708" t="str">
        <f>HYPERLINK("http://service.sap.com/sap/support/notes/1953410","1953410")</f>
        <v>1953410</v>
      </c>
      <c r="D2708">
        <v>3</v>
      </c>
      <c r="E2708" t="s">
        <v>3122</v>
      </c>
      <c r="F2708" t="s">
        <v>11</v>
      </c>
    </row>
    <row r="2709" spans="1:6" x14ac:dyDescent="0.3">
      <c r="A2709" t="s">
        <v>942</v>
      </c>
      <c r="B2709" t="s">
        <v>943</v>
      </c>
      <c r="C2709" t="str">
        <f>HYPERLINK("http://service.sap.com/sap/support/notes/1954815","1954815")</f>
        <v>1954815</v>
      </c>
      <c r="D2709">
        <v>4</v>
      </c>
      <c r="E2709" t="s">
        <v>3123</v>
      </c>
      <c r="F2709" t="s">
        <v>11</v>
      </c>
    </row>
    <row r="2710" spans="1:6" x14ac:dyDescent="0.3">
      <c r="A2710" t="s">
        <v>942</v>
      </c>
      <c r="B2710" t="s">
        <v>943</v>
      </c>
      <c r="C2710" t="str">
        <f>HYPERLINK("http://service.sap.com/sap/support/notes/1956061","1956061")</f>
        <v>1956061</v>
      </c>
      <c r="D2710">
        <v>2</v>
      </c>
      <c r="E2710" t="s">
        <v>3124</v>
      </c>
      <c r="F2710" t="s">
        <v>11</v>
      </c>
    </row>
    <row r="2711" spans="1:6" x14ac:dyDescent="0.3">
      <c r="A2711" t="s">
        <v>942</v>
      </c>
      <c r="B2711" t="s">
        <v>943</v>
      </c>
      <c r="C2711" t="str">
        <f>HYPERLINK("http://service.sap.com/sap/support/notes/1963595","1963595")</f>
        <v>1963595</v>
      </c>
      <c r="D2711">
        <v>2</v>
      </c>
      <c r="E2711" t="s">
        <v>3125</v>
      </c>
      <c r="F2711" t="s">
        <v>17</v>
      </c>
    </row>
    <row r="2712" spans="1:6" x14ac:dyDescent="0.3">
      <c r="A2712" t="s">
        <v>942</v>
      </c>
      <c r="B2712" t="s">
        <v>943</v>
      </c>
      <c r="C2712" t="str">
        <f>HYPERLINK("http://service.sap.com/sap/support/notes/1967132","1967132")</f>
        <v>1967132</v>
      </c>
      <c r="D2712">
        <v>6</v>
      </c>
      <c r="E2712" t="s">
        <v>3126</v>
      </c>
      <c r="F2712" t="s">
        <v>17</v>
      </c>
    </row>
    <row r="2713" spans="1:6" x14ac:dyDescent="0.3">
      <c r="A2713" t="s">
        <v>942</v>
      </c>
      <c r="B2713" t="s">
        <v>943</v>
      </c>
      <c r="C2713" t="str">
        <f>HYPERLINK("http://service.sap.com/sap/support/notes/1968974","1968974")</f>
        <v>1968974</v>
      </c>
      <c r="D2713">
        <v>4</v>
      </c>
      <c r="E2713" t="s">
        <v>3127</v>
      </c>
      <c r="F2713" t="s">
        <v>17</v>
      </c>
    </row>
    <row r="2714" spans="1:6" x14ac:dyDescent="0.3">
      <c r="A2714" t="s">
        <v>942</v>
      </c>
      <c r="B2714" t="s">
        <v>943</v>
      </c>
      <c r="C2714" t="str">
        <f>HYPERLINK("http://service.sap.com/sap/support/notes/1972348","1972348")</f>
        <v>1972348</v>
      </c>
      <c r="D2714">
        <v>2</v>
      </c>
      <c r="E2714" t="s">
        <v>3128</v>
      </c>
      <c r="F2714" t="s">
        <v>17</v>
      </c>
    </row>
    <row r="2715" spans="1:6" x14ac:dyDescent="0.3">
      <c r="A2715" t="s">
        <v>942</v>
      </c>
      <c r="B2715" t="s">
        <v>943</v>
      </c>
      <c r="C2715" t="str">
        <f>HYPERLINK("http://service.sap.com/sap/support/notes/1975604","1975604")</f>
        <v>1975604</v>
      </c>
      <c r="D2715">
        <v>1</v>
      </c>
      <c r="E2715" t="s">
        <v>3129</v>
      </c>
      <c r="F2715" t="s">
        <v>17</v>
      </c>
    </row>
    <row r="2716" spans="1:6" x14ac:dyDescent="0.3">
      <c r="A2716" t="s">
        <v>942</v>
      </c>
      <c r="B2716" t="s">
        <v>943</v>
      </c>
      <c r="C2716" t="str">
        <f>HYPERLINK("http://service.sap.com/sap/support/notes/1976125","1976125")</f>
        <v>1976125</v>
      </c>
      <c r="D2716">
        <v>2</v>
      </c>
      <c r="E2716" t="s">
        <v>3130</v>
      </c>
      <c r="F2716" t="s">
        <v>17</v>
      </c>
    </row>
    <row r="2717" spans="1:6" x14ac:dyDescent="0.3">
      <c r="A2717" t="s">
        <v>942</v>
      </c>
      <c r="B2717" t="s">
        <v>943</v>
      </c>
      <c r="C2717" t="str">
        <f>HYPERLINK("http://service.sap.com/sap/support/notes/1976401","1976401")</f>
        <v>1976401</v>
      </c>
      <c r="D2717">
        <v>2</v>
      </c>
      <c r="E2717" t="s">
        <v>3131</v>
      </c>
      <c r="F2717" t="s">
        <v>17</v>
      </c>
    </row>
    <row r="2718" spans="1:6" x14ac:dyDescent="0.3">
      <c r="A2718" t="s">
        <v>942</v>
      </c>
      <c r="B2718" t="s">
        <v>943</v>
      </c>
      <c r="C2718" t="str">
        <f>HYPERLINK("http://service.sap.com/sap/support/notes/1978293","1978293")</f>
        <v>1978293</v>
      </c>
      <c r="D2718">
        <v>2</v>
      </c>
      <c r="E2718" t="s">
        <v>3132</v>
      </c>
      <c r="F2718" t="s">
        <v>17</v>
      </c>
    </row>
    <row r="2719" spans="1:6" x14ac:dyDescent="0.3">
      <c r="A2719" t="s">
        <v>942</v>
      </c>
      <c r="B2719" t="s">
        <v>943</v>
      </c>
      <c r="C2719" t="str">
        <f>HYPERLINK("http://service.sap.com/sap/support/notes/1979482","1979482")</f>
        <v>1979482</v>
      </c>
      <c r="D2719">
        <v>2</v>
      </c>
      <c r="E2719" t="s">
        <v>3133</v>
      </c>
      <c r="F2719" t="s">
        <v>17</v>
      </c>
    </row>
    <row r="2720" spans="1:6" x14ac:dyDescent="0.3">
      <c r="A2720" t="s">
        <v>942</v>
      </c>
      <c r="B2720" t="s">
        <v>943</v>
      </c>
      <c r="C2720" t="str">
        <f>HYPERLINK("http://service.sap.com/sap/support/notes/1980727","1980727")</f>
        <v>1980727</v>
      </c>
      <c r="D2720">
        <v>2</v>
      </c>
      <c r="E2720" t="s">
        <v>3134</v>
      </c>
      <c r="F2720" t="s">
        <v>17</v>
      </c>
    </row>
    <row r="2721" spans="1:6" x14ac:dyDescent="0.3">
      <c r="A2721" t="s">
        <v>942</v>
      </c>
      <c r="B2721" t="s">
        <v>943</v>
      </c>
      <c r="C2721" t="str">
        <f>HYPERLINK("http://service.sap.com/sap/support/notes/1983769","1983769")</f>
        <v>1983769</v>
      </c>
      <c r="D2721">
        <v>2</v>
      </c>
      <c r="E2721" t="s">
        <v>3135</v>
      </c>
      <c r="F2721" t="s">
        <v>17</v>
      </c>
    </row>
    <row r="2722" spans="1:6" x14ac:dyDescent="0.3">
      <c r="A2722" t="s">
        <v>942</v>
      </c>
      <c r="B2722" t="s">
        <v>943</v>
      </c>
      <c r="C2722" t="str">
        <f>HYPERLINK("http://service.sap.com/sap/support/notes/1987887","1987887")</f>
        <v>1987887</v>
      </c>
      <c r="D2722">
        <v>1</v>
      </c>
      <c r="E2722" t="s">
        <v>3136</v>
      </c>
      <c r="F2722" t="s">
        <v>17</v>
      </c>
    </row>
    <row r="2723" spans="1:6" x14ac:dyDescent="0.3">
      <c r="A2723" t="s">
        <v>978</v>
      </c>
      <c r="B2723" t="s">
        <v>979</v>
      </c>
      <c r="C2723" t="str">
        <f>HYPERLINK("http://service.sap.com/sap/support/notes/1268032","1268032")</f>
        <v>1268032</v>
      </c>
      <c r="D2723">
        <v>1</v>
      </c>
      <c r="E2723" t="s">
        <v>3137</v>
      </c>
      <c r="F2723" t="s">
        <v>11</v>
      </c>
    </row>
    <row r="2724" spans="1:6" x14ac:dyDescent="0.3">
      <c r="A2724" t="s">
        <v>978</v>
      </c>
      <c r="B2724" t="s">
        <v>979</v>
      </c>
      <c r="C2724" t="str">
        <f>HYPERLINK("http://service.sap.com/sap/support/notes/1726697","1726697")</f>
        <v>1726697</v>
      </c>
      <c r="D2724">
        <v>2</v>
      </c>
      <c r="E2724" t="s">
        <v>3138</v>
      </c>
      <c r="F2724" t="s">
        <v>17</v>
      </c>
    </row>
    <row r="2725" spans="1:6" x14ac:dyDescent="0.3">
      <c r="A2725" t="s">
        <v>978</v>
      </c>
      <c r="B2725" t="s">
        <v>979</v>
      </c>
      <c r="C2725" t="str">
        <f>HYPERLINK("http://service.sap.com/sap/support/notes/1761540","1761540")</f>
        <v>1761540</v>
      </c>
      <c r="D2725">
        <v>3</v>
      </c>
      <c r="E2725" t="s">
        <v>3139</v>
      </c>
      <c r="F2725" t="s">
        <v>17</v>
      </c>
    </row>
    <row r="2726" spans="1:6" x14ac:dyDescent="0.3">
      <c r="A2726" t="s">
        <v>978</v>
      </c>
      <c r="B2726" t="s">
        <v>979</v>
      </c>
      <c r="C2726" t="str">
        <f>HYPERLINK("http://service.sap.com/sap/support/notes/1821655","1821655")</f>
        <v>1821655</v>
      </c>
      <c r="D2726">
        <v>2</v>
      </c>
      <c r="E2726" t="s">
        <v>3140</v>
      </c>
      <c r="F2726" t="s">
        <v>17</v>
      </c>
    </row>
    <row r="2727" spans="1:6" x14ac:dyDescent="0.3">
      <c r="A2727" t="s">
        <v>978</v>
      </c>
      <c r="B2727" t="s">
        <v>979</v>
      </c>
      <c r="C2727" t="str">
        <f>HYPERLINK("http://service.sap.com/sap/support/notes/1865845","1865845")</f>
        <v>1865845</v>
      </c>
      <c r="D2727">
        <v>5</v>
      </c>
      <c r="E2727" t="s">
        <v>3141</v>
      </c>
      <c r="F2727" t="s">
        <v>17</v>
      </c>
    </row>
    <row r="2728" spans="1:6" x14ac:dyDescent="0.3">
      <c r="A2728" t="s">
        <v>978</v>
      </c>
      <c r="B2728" t="s">
        <v>979</v>
      </c>
      <c r="C2728" t="str">
        <f>HYPERLINK("http://service.sap.com/sap/support/notes/1877830","1877830")</f>
        <v>1877830</v>
      </c>
      <c r="D2728">
        <v>3</v>
      </c>
      <c r="E2728" t="s">
        <v>3142</v>
      </c>
      <c r="F2728" t="s">
        <v>17</v>
      </c>
    </row>
    <row r="2729" spans="1:6" x14ac:dyDescent="0.3">
      <c r="A2729" t="s">
        <v>978</v>
      </c>
      <c r="B2729" t="s">
        <v>979</v>
      </c>
      <c r="C2729" t="str">
        <f>HYPERLINK("http://service.sap.com/sap/support/notes/1900782","1900782")</f>
        <v>1900782</v>
      </c>
      <c r="D2729">
        <v>3</v>
      </c>
      <c r="E2729" t="s">
        <v>992</v>
      </c>
      <c r="F2729" t="s">
        <v>17</v>
      </c>
    </row>
    <row r="2730" spans="1:6" x14ac:dyDescent="0.3">
      <c r="A2730" t="s">
        <v>978</v>
      </c>
      <c r="B2730" t="s">
        <v>979</v>
      </c>
      <c r="C2730" t="str">
        <f>HYPERLINK("http://service.sap.com/sap/support/notes/1906312","1906312")</f>
        <v>1906312</v>
      </c>
      <c r="D2730">
        <v>1</v>
      </c>
      <c r="E2730" t="s">
        <v>3143</v>
      </c>
      <c r="F2730" t="s">
        <v>17</v>
      </c>
    </row>
    <row r="2731" spans="1:6" x14ac:dyDescent="0.3">
      <c r="A2731" t="s">
        <v>978</v>
      </c>
      <c r="B2731" t="s">
        <v>979</v>
      </c>
      <c r="C2731" t="str">
        <f>HYPERLINK("http://service.sap.com/sap/support/notes/1906411","1906411")</f>
        <v>1906411</v>
      </c>
      <c r="D2731">
        <v>2</v>
      </c>
      <c r="E2731" t="s">
        <v>3144</v>
      </c>
      <c r="F2731" t="s">
        <v>17</v>
      </c>
    </row>
    <row r="2732" spans="1:6" x14ac:dyDescent="0.3">
      <c r="A2732" t="s">
        <v>978</v>
      </c>
      <c r="B2732" t="s">
        <v>979</v>
      </c>
      <c r="C2732" t="str">
        <f>HYPERLINK("http://service.sap.com/sap/support/notes/1920300","1920300")</f>
        <v>1920300</v>
      </c>
      <c r="D2732">
        <v>2</v>
      </c>
      <c r="E2732" t="s">
        <v>3145</v>
      </c>
      <c r="F2732" t="s">
        <v>17</v>
      </c>
    </row>
    <row r="2733" spans="1:6" x14ac:dyDescent="0.3">
      <c r="A2733" t="s">
        <v>978</v>
      </c>
      <c r="B2733" t="s">
        <v>979</v>
      </c>
      <c r="C2733" t="str">
        <f>HYPERLINK("http://service.sap.com/sap/support/notes/1936939","1936939")</f>
        <v>1936939</v>
      </c>
      <c r="D2733">
        <v>11</v>
      </c>
      <c r="E2733" t="s">
        <v>3146</v>
      </c>
      <c r="F2733" t="s">
        <v>17</v>
      </c>
    </row>
    <row r="2734" spans="1:6" x14ac:dyDescent="0.3">
      <c r="A2734" t="s">
        <v>978</v>
      </c>
      <c r="B2734" t="s">
        <v>979</v>
      </c>
      <c r="C2734" t="str">
        <f>HYPERLINK("http://service.sap.com/sap/support/notes/1937556","1937556")</f>
        <v>1937556</v>
      </c>
      <c r="D2734">
        <v>14</v>
      </c>
      <c r="E2734" t="s">
        <v>3147</v>
      </c>
      <c r="F2734" t="s">
        <v>17</v>
      </c>
    </row>
    <row r="2735" spans="1:6" x14ac:dyDescent="0.3">
      <c r="A2735" t="s">
        <v>978</v>
      </c>
      <c r="B2735" t="s">
        <v>979</v>
      </c>
      <c r="C2735" t="str">
        <f>HYPERLINK("http://service.sap.com/sap/support/notes/1953761","1953761")</f>
        <v>1953761</v>
      </c>
      <c r="D2735">
        <v>1</v>
      </c>
      <c r="E2735" t="s">
        <v>3148</v>
      </c>
      <c r="F2735" t="s">
        <v>17</v>
      </c>
    </row>
    <row r="2736" spans="1:6" x14ac:dyDescent="0.3">
      <c r="A2736" t="s">
        <v>978</v>
      </c>
      <c r="B2736" t="s">
        <v>979</v>
      </c>
      <c r="C2736" t="str">
        <f>HYPERLINK("http://service.sap.com/sap/support/notes/1968764","1968764")</f>
        <v>1968764</v>
      </c>
      <c r="D2736">
        <v>4</v>
      </c>
      <c r="E2736" t="s">
        <v>3149</v>
      </c>
      <c r="F2736" t="s">
        <v>17</v>
      </c>
    </row>
    <row r="2737" spans="1:6" x14ac:dyDescent="0.3">
      <c r="A2737" t="s">
        <v>978</v>
      </c>
      <c r="B2737" t="s">
        <v>979</v>
      </c>
      <c r="C2737" t="str">
        <f>HYPERLINK("http://service.sap.com/sap/support/notes/1973052","1973052")</f>
        <v>1973052</v>
      </c>
      <c r="D2737">
        <v>5</v>
      </c>
      <c r="E2737" t="s">
        <v>3150</v>
      </c>
      <c r="F2737" t="s">
        <v>17</v>
      </c>
    </row>
    <row r="2738" spans="1:6" x14ac:dyDescent="0.3">
      <c r="A2738" t="s">
        <v>978</v>
      </c>
      <c r="B2738" t="s">
        <v>979</v>
      </c>
      <c r="C2738" t="str">
        <f>HYPERLINK("http://service.sap.com/sap/support/notes/1979386","1979386")</f>
        <v>1979386</v>
      </c>
      <c r="D2738">
        <v>8</v>
      </c>
      <c r="E2738" t="s">
        <v>3151</v>
      </c>
      <c r="F2738" t="s">
        <v>17</v>
      </c>
    </row>
    <row r="2739" spans="1:6" x14ac:dyDescent="0.3">
      <c r="A2739" t="s">
        <v>978</v>
      </c>
      <c r="B2739" t="s">
        <v>979</v>
      </c>
      <c r="C2739" t="str">
        <f>HYPERLINK("http://service.sap.com/sap/support/notes/1988029","1988029")</f>
        <v>1988029</v>
      </c>
      <c r="D2739">
        <v>2</v>
      </c>
      <c r="E2739" t="s">
        <v>3152</v>
      </c>
      <c r="F2739" t="s">
        <v>17</v>
      </c>
    </row>
    <row r="2740" spans="1:6" x14ac:dyDescent="0.3">
      <c r="A2740" t="s">
        <v>978</v>
      </c>
      <c r="B2740" t="s">
        <v>979</v>
      </c>
      <c r="C2740" t="str">
        <f>HYPERLINK("http://service.sap.com/sap/support/notes/1988662","1988662")</f>
        <v>1988662</v>
      </c>
      <c r="D2740">
        <v>2</v>
      </c>
      <c r="E2740" t="s">
        <v>3153</v>
      </c>
      <c r="F2740" t="s">
        <v>17</v>
      </c>
    </row>
    <row r="2741" spans="1:6" x14ac:dyDescent="0.3">
      <c r="A2741" t="s">
        <v>978</v>
      </c>
      <c r="B2741" t="s">
        <v>979</v>
      </c>
      <c r="C2741" t="str">
        <f>HYPERLINK("http://service.sap.com/sap/support/notes/1993843","1993843")</f>
        <v>1993843</v>
      </c>
      <c r="D2741">
        <v>1</v>
      </c>
      <c r="E2741" t="s">
        <v>3154</v>
      </c>
      <c r="F2741" t="s">
        <v>17</v>
      </c>
    </row>
    <row r="2742" spans="1:6" x14ac:dyDescent="0.3">
      <c r="A2742" t="s">
        <v>1012</v>
      </c>
      <c r="B2742" t="s">
        <v>631</v>
      </c>
      <c r="C2742" t="str">
        <f>HYPERLINK("http://service.sap.com/sap/support/notes/1847272","1847272")</f>
        <v>1847272</v>
      </c>
      <c r="D2742">
        <v>4</v>
      </c>
      <c r="E2742" t="s">
        <v>3155</v>
      </c>
      <c r="F2742" t="s">
        <v>17</v>
      </c>
    </row>
    <row r="2743" spans="1:6" x14ac:dyDescent="0.3">
      <c r="A2743" t="s">
        <v>1012</v>
      </c>
      <c r="B2743" t="s">
        <v>631</v>
      </c>
      <c r="C2743" t="str">
        <f>HYPERLINK("http://service.sap.com/sap/support/notes/1925604","1925604")</f>
        <v>1925604</v>
      </c>
      <c r="D2743">
        <v>6</v>
      </c>
      <c r="E2743" t="s">
        <v>3156</v>
      </c>
      <c r="F2743" t="s">
        <v>17</v>
      </c>
    </row>
    <row r="2744" spans="1:6" x14ac:dyDescent="0.3">
      <c r="A2744" t="s">
        <v>1012</v>
      </c>
      <c r="B2744" t="s">
        <v>631</v>
      </c>
      <c r="C2744" t="str">
        <f>HYPERLINK("http://service.sap.com/sap/support/notes/1930302","1930302")</f>
        <v>1930302</v>
      </c>
      <c r="D2744">
        <v>5</v>
      </c>
      <c r="E2744" t="s">
        <v>3157</v>
      </c>
      <c r="F2744" t="s">
        <v>17</v>
      </c>
    </row>
    <row r="2745" spans="1:6" x14ac:dyDescent="0.3">
      <c r="A2745" t="s">
        <v>1012</v>
      </c>
      <c r="B2745" t="s">
        <v>631</v>
      </c>
      <c r="C2745" t="str">
        <f>HYPERLINK("http://service.sap.com/sap/support/notes/1939154","1939154")</f>
        <v>1939154</v>
      </c>
      <c r="D2745">
        <v>1</v>
      </c>
      <c r="E2745" t="s">
        <v>3158</v>
      </c>
      <c r="F2745" t="s">
        <v>17</v>
      </c>
    </row>
    <row r="2746" spans="1:6" x14ac:dyDescent="0.3">
      <c r="A2746" t="s">
        <v>1012</v>
      </c>
      <c r="B2746" t="s">
        <v>631</v>
      </c>
      <c r="C2746" t="str">
        <f>HYPERLINK("http://service.sap.com/sap/support/notes/1940230","1940230")</f>
        <v>1940230</v>
      </c>
      <c r="D2746">
        <v>6</v>
      </c>
      <c r="E2746" t="s">
        <v>3159</v>
      </c>
      <c r="F2746" t="s">
        <v>17</v>
      </c>
    </row>
    <row r="2747" spans="1:6" x14ac:dyDescent="0.3">
      <c r="A2747" t="s">
        <v>1012</v>
      </c>
      <c r="B2747" t="s">
        <v>631</v>
      </c>
      <c r="C2747" t="str">
        <f>HYPERLINK("http://service.sap.com/sap/support/notes/1943482","1943482")</f>
        <v>1943482</v>
      </c>
      <c r="D2747">
        <v>3</v>
      </c>
      <c r="E2747" t="s">
        <v>3160</v>
      </c>
      <c r="F2747" t="s">
        <v>17</v>
      </c>
    </row>
    <row r="2748" spans="1:6" x14ac:dyDescent="0.3">
      <c r="A2748" t="s">
        <v>1012</v>
      </c>
      <c r="B2748" t="s">
        <v>631</v>
      </c>
      <c r="C2748" t="str">
        <f>HYPERLINK("http://service.sap.com/sap/support/notes/1947880","1947880")</f>
        <v>1947880</v>
      </c>
      <c r="D2748">
        <v>4</v>
      </c>
      <c r="E2748" t="s">
        <v>3161</v>
      </c>
      <c r="F2748" t="s">
        <v>17</v>
      </c>
    </row>
    <row r="2749" spans="1:6" x14ac:dyDescent="0.3">
      <c r="A2749" t="s">
        <v>1012</v>
      </c>
      <c r="B2749" t="s">
        <v>631</v>
      </c>
      <c r="C2749" t="str">
        <f>HYPERLINK("http://service.sap.com/sap/support/notes/1950081","1950081")</f>
        <v>1950081</v>
      </c>
      <c r="D2749">
        <v>4</v>
      </c>
      <c r="E2749" t="s">
        <v>3162</v>
      </c>
      <c r="F2749" t="s">
        <v>17</v>
      </c>
    </row>
    <row r="2750" spans="1:6" x14ac:dyDescent="0.3">
      <c r="A2750" t="s">
        <v>1012</v>
      </c>
      <c r="B2750" t="s">
        <v>631</v>
      </c>
      <c r="C2750" t="str">
        <f>HYPERLINK("http://service.sap.com/sap/support/notes/1955503","1955503")</f>
        <v>1955503</v>
      </c>
      <c r="D2750">
        <v>2</v>
      </c>
      <c r="E2750" t="s">
        <v>3163</v>
      </c>
      <c r="F2750" t="s">
        <v>17</v>
      </c>
    </row>
    <row r="2751" spans="1:6" x14ac:dyDescent="0.3">
      <c r="A2751" t="s">
        <v>1012</v>
      </c>
      <c r="B2751" t="s">
        <v>631</v>
      </c>
      <c r="C2751" t="str">
        <f>HYPERLINK("http://service.sap.com/sap/support/notes/1960907","1960907")</f>
        <v>1960907</v>
      </c>
      <c r="D2751">
        <v>2</v>
      </c>
      <c r="E2751" t="s">
        <v>3164</v>
      </c>
      <c r="F2751" t="s">
        <v>17</v>
      </c>
    </row>
    <row r="2752" spans="1:6" x14ac:dyDescent="0.3">
      <c r="A2752" t="s">
        <v>1012</v>
      </c>
      <c r="B2752" t="s">
        <v>631</v>
      </c>
      <c r="C2752" t="str">
        <f>HYPERLINK("http://service.sap.com/sap/support/notes/1965078","1965078")</f>
        <v>1965078</v>
      </c>
      <c r="D2752">
        <v>3</v>
      </c>
      <c r="E2752" t="s">
        <v>3165</v>
      </c>
      <c r="F2752" t="s">
        <v>17</v>
      </c>
    </row>
    <row r="2753" spans="1:6" x14ac:dyDescent="0.3">
      <c r="A2753" t="s">
        <v>1012</v>
      </c>
      <c r="B2753" t="s">
        <v>631</v>
      </c>
      <c r="C2753" t="str">
        <f>HYPERLINK("http://service.sap.com/sap/support/notes/1969037","1969037")</f>
        <v>1969037</v>
      </c>
      <c r="D2753">
        <v>2</v>
      </c>
      <c r="E2753" t="s">
        <v>3166</v>
      </c>
      <c r="F2753" t="s">
        <v>17</v>
      </c>
    </row>
    <row r="2754" spans="1:6" x14ac:dyDescent="0.3">
      <c r="A2754" t="s">
        <v>1012</v>
      </c>
      <c r="B2754" t="s">
        <v>631</v>
      </c>
      <c r="C2754" t="str">
        <f>HYPERLINK("http://service.sap.com/sap/support/notes/1970230","1970230")</f>
        <v>1970230</v>
      </c>
      <c r="D2754">
        <v>1</v>
      </c>
      <c r="E2754" t="s">
        <v>2270</v>
      </c>
      <c r="F2754" t="s">
        <v>17</v>
      </c>
    </row>
    <row r="2755" spans="1:6" x14ac:dyDescent="0.3">
      <c r="A2755" t="s">
        <v>1012</v>
      </c>
      <c r="B2755" t="s">
        <v>631</v>
      </c>
      <c r="C2755" t="str">
        <f>HYPERLINK("http://service.sap.com/sap/support/notes/1976933","1976933")</f>
        <v>1976933</v>
      </c>
      <c r="D2755">
        <v>5</v>
      </c>
      <c r="E2755" t="s">
        <v>3167</v>
      </c>
      <c r="F2755" t="s">
        <v>17</v>
      </c>
    </row>
    <row r="2756" spans="1:6" x14ac:dyDescent="0.3">
      <c r="A2756" t="s">
        <v>1012</v>
      </c>
      <c r="B2756" t="s">
        <v>631</v>
      </c>
      <c r="C2756" t="str">
        <f>HYPERLINK("http://service.sap.com/sap/support/notes/1978828","1978828")</f>
        <v>1978828</v>
      </c>
      <c r="D2756">
        <v>2</v>
      </c>
      <c r="E2756" t="s">
        <v>3168</v>
      </c>
      <c r="F2756" t="s">
        <v>17</v>
      </c>
    </row>
    <row r="2757" spans="1:6" x14ac:dyDescent="0.3">
      <c r="A2757" t="s">
        <v>1012</v>
      </c>
      <c r="B2757" t="s">
        <v>631</v>
      </c>
      <c r="C2757" t="str">
        <f>HYPERLINK("http://service.sap.com/sap/support/notes/1979127","1979127")</f>
        <v>1979127</v>
      </c>
      <c r="D2757">
        <v>1</v>
      </c>
      <c r="E2757" t="s">
        <v>3169</v>
      </c>
      <c r="F2757" t="s">
        <v>13</v>
      </c>
    </row>
    <row r="2758" spans="1:6" x14ac:dyDescent="0.3">
      <c r="A2758" t="s">
        <v>1012</v>
      </c>
      <c r="B2758" t="s">
        <v>631</v>
      </c>
      <c r="C2758" t="str">
        <f>HYPERLINK("http://service.sap.com/sap/support/notes/1981064","1981064")</f>
        <v>1981064</v>
      </c>
      <c r="D2758">
        <v>1</v>
      </c>
      <c r="E2758" t="s">
        <v>3170</v>
      </c>
      <c r="F2758" t="s">
        <v>17</v>
      </c>
    </row>
    <row r="2759" spans="1:6" x14ac:dyDescent="0.3">
      <c r="A2759" t="s">
        <v>1012</v>
      </c>
      <c r="B2759" t="s">
        <v>631</v>
      </c>
      <c r="C2759" t="str">
        <f>HYPERLINK("http://service.sap.com/sap/support/notes/1981169","1981169")</f>
        <v>1981169</v>
      </c>
      <c r="D2759">
        <v>1</v>
      </c>
      <c r="E2759" t="s">
        <v>3171</v>
      </c>
      <c r="F2759" t="s">
        <v>17</v>
      </c>
    </row>
    <row r="2760" spans="1:6" x14ac:dyDescent="0.3">
      <c r="A2760" t="s">
        <v>1012</v>
      </c>
      <c r="B2760" t="s">
        <v>631</v>
      </c>
      <c r="C2760" t="str">
        <f>HYPERLINK("http://service.sap.com/sap/support/notes/1981730","1981730")</f>
        <v>1981730</v>
      </c>
      <c r="D2760">
        <v>1</v>
      </c>
      <c r="E2760" t="s">
        <v>3172</v>
      </c>
      <c r="F2760" t="s">
        <v>17</v>
      </c>
    </row>
    <row r="2761" spans="1:6" x14ac:dyDescent="0.3">
      <c r="A2761" t="s">
        <v>1072</v>
      </c>
      <c r="B2761" t="s">
        <v>1073</v>
      </c>
      <c r="C2761" t="str">
        <f>HYPERLINK("http://service.sap.com/sap/support/notes/1939681","1939681")</f>
        <v>1939681</v>
      </c>
      <c r="D2761">
        <v>2</v>
      </c>
      <c r="E2761" t="s">
        <v>3173</v>
      </c>
      <c r="F2761" t="s">
        <v>17</v>
      </c>
    </row>
    <row r="2762" spans="1:6" x14ac:dyDescent="0.3">
      <c r="A2762" t="s">
        <v>1072</v>
      </c>
      <c r="B2762" t="s">
        <v>1073</v>
      </c>
      <c r="C2762" t="str">
        <f>HYPERLINK("http://service.sap.com/sap/support/notes/1975782","1975782")</f>
        <v>1975782</v>
      </c>
      <c r="D2762">
        <v>1</v>
      </c>
      <c r="E2762" t="s">
        <v>3174</v>
      </c>
      <c r="F2762" t="s">
        <v>17</v>
      </c>
    </row>
    <row r="2763" spans="1:6" x14ac:dyDescent="0.3">
      <c r="A2763" t="s">
        <v>1077</v>
      </c>
      <c r="B2763" t="s">
        <v>635</v>
      </c>
      <c r="C2763" t="str">
        <f>HYPERLINK("http://service.sap.com/sap/support/notes/1630527","1630527")</f>
        <v>1630527</v>
      </c>
      <c r="D2763">
        <v>3</v>
      </c>
      <c r="E2763" t="s">
        <v>3175</v>
      </c>
      <c r="F2763" t="s">
        <v>94</v>
      </c>
    </row>
    <row r="2764" spans="1:6" x14ac:dyDescent="0.3">
      <c r="A2764" t="s">
        <v>1077</v>
      </c>
      <c r="B2764" t="s">
        <v>635</v>
      </c>
      <c r="C2764" t="str">
        <f>HYPERLINK("http://service.sap.com/sap/support/notes/1919696","1919696")</f>
        <v>1919696</v>
      </c>
      <c r="D2764">
        <v>3</v>
      </c>
      <c r="E2764" t="s">
        <v>3176</v>
      </c>
      <c r="F2764" t="s">
        <v>17</v>
      </c>
    </row>
    <row r="2765" spans="1:6" x14ac:dyDescent="0.3">
      <c r="A2765" t="s">
        <v>1077</v>
      </c>
      <c r="B2765" t="s">
        <v>635</v>
      </c>
      <c r="C2765" t="str">
        <f>HYPERLINK("http://service.sap.com/sap/support/notes/1964938","1964938")</f>
        <v>1964938</v>
      </c>
      <c r="D2765">
        <v>2</v>
      </c>
      <c r="E2765" t="s">
        <v>3177</v>
      </c>
      <c r="F2765" t="s">
        <v>17</v>
      </c>
    </row>
    <row r="2766" spans="1:6" x14ac:dyDescent="0.3">
      <c r="A2766" t="s">
        <v>1077</v>
      </c>
      <c r="B2766" t="s">
        <v>635</v>
      </c>
      <c r="C2766" t="str">
        <f>HYPERLINK("http://service.sap.com/sap/support/notes/1966781","1966781")</f>
        <v>1966781</v>
      </c>
      <c r="D2766">
        <v>2</v>
      </c>
      <c r="E2766" t="s">
        <v>3178</v>
      </c>
      <c r="F2766" t="s">
        <v>17</v>
      </c>
    </row>
    <row r="2767" spans="1:6" x14ac:dyDescent="0.3">
      <c r="A2767" t="s">
        <v>1085</v>
      </c>
      <c r="B2767" t="s">
        <v>646</v>
      </c>
      <c r="C2767" t="str">
        <f>HYPERLINK("http://service.sap.com/sap/support/notes/862724","862724")</f>
        <v>862724</v>
      </c>
      <c r="D2767">
        <v>4</v>
      </c>
      <c r="E2767" t="s">
        <v>3179</v>
      </c>
      <c r="F2767" t="s">
        <v>13</v>
      </c>
    </row>
    <row r="2768" spans="1:6" x14ac:dyDescent="0.3">
      <c r="A2768" t="s">
        <v>1085</v>
      </c>
      <c r="B2768" t="s">
        <v>646</v>
      </c>
      <c r="C2768" t="str">
        <f>HYPERLINK("http://service.sap.com/sap/support/notes/1949177","1949177")</f>
        <v>1949177</v>
      </c>
      <c r="D2768">
        <v>3</v>
      </c>
      <c r="E2768" t="s">
        <v>3180</v>
      </c>
      <c r="F2768" t="s">
        <v>11</v>
      </c>
    </row>
    <row r="2769" spans="1:6" x14ac:dyDescent="0.3">
      <c r="A2769" t="s">
        <v>1085</v>
      </c>
      <c r="B2769" t="s">
        <v>646</v>
      </c>
      <c r="C2769" t="str">
        <f>HYPERLINK("http://service.sap.com/sap/support/notes/1970599","1970599")</f>
        <v>1970599</v>
      </c>
      <c r="D2769">
        <v>2</v>
      </c>
      <c r="E2769" t="s">
        <v>3181</v>
      </c>
      <c r="F2769" t="s">
        <v>17</v>
      </c>
    </row>
    <row r="2770" spans="1:6" x14ac:dyDescent="0.3">
      <c r="A2770" t="s">
        <v>1085</v>
      </c>
      <c r="B2770" t="s">
        <v>646</v>
      </c>
      <c r="C2770" t="str">
        <f>HYPERLINK("http://service.sap.com/sap/support/notes/1977898","1977898")</f>
        <v>1977898</v>
      </c>
      <c r="D2770">
        <v>1</v>
      </c>
      <c r="E2770" t="s">
        <v>3181</v>
      </c>
      <c r="F2770" t="s">
        <v>17</v>
      </c>
    </row>
    <row r="2771" spans="1:6" x14ac:dyDescent="0.3">
      <c r="A2771" t="s">
        <v>1089</v>
      </c>
      <c r="B2771" t="s">
        <v>138</v>
      </c>
      <c r="C2771" t="str">
        <f>HYPERLINK("http://service.sap.com/sap/support/notes/1940535","1940535")</f>
        <v>1940535</v>
      </c>
      <c r="D2771">
        <v>2</v>
      </c>
      <c r="E2771" t="s">
        <v>3182</v>
      </c>
      <c r="F2771" t="s">
        <v>17</v>
      </c>
    </row>
    <row r="2772" spans="1:6" x14ac:dyDescent="0.3">
      <c r="A2772" t="s">
        <v>1089</v>
      </c>
      <c r="B2772" t="s">
        <v>138</v>
      </c>
      <c r="C2772" t="str">
        <f>HYPERLINK("http://service.sap.com/sap/support/notes/1946033","1946033")</f>
        <v>1946033</v>
      </c>
      <c r="D2772">
        <v>2</v>
      </c>
      <c r="E2772" t="s">
        <v>3183</v>
      </c>
      <c r="F2772" t="s">
        <v>17</v>
      </c>
    </row>
    <row r="2773" spans="1:6" x14ac:dyDescent="0.3">
      <c r="A2773" t="s">
        <v>1089</v>
      </c>
      <c r="B2773" t="s">
        <v>138</v>
      </c>
      <c r="C2773" t="str">
        <f>HYPERLINK("http://service.sap.com/sap/support/notes/1966459","1966459")</f>
        <v>1966459</v>
      </c>
      <c r="D2773">
        <v>1</v>
      </c>
      <c r="E2773" t="s">
        <v>3184</v>
      </c>
      <c r="F2773" t="s">
        <v>13</v>
      </c>
    </row>
    <row r="2774" spans="1:6" x14ac:dyDescent="0.3">
      <c r="A2774" t="s">
        <v>1089</v>
      </c>
      <c r="B2774" t="s">
        <v>138</v>
      </c>
      <c r="C2774" t="str">
        <f>HYPERLINK("http://service.sap.com/sap/support/notes/1975967","1975967")</f>
        <v>1975967</v>
      </c>
      <c r="D2774">
        <v>1</v>
      </c>
      <c r="E2774" t="s">
        <v>3185</v>
      </c>
      <c r="F2774" t="s">
        <v>17</v>
      </c>
    </row>
    <row r="2775" spans="1:6" x14ac:dyDescent="0.3">
      <c r="A2775" t="s">
        <v>1089</v>
      </c>
      <c r="B2775" t="s">
        <v>138</v>
      </c>
      <c r="C2775" t="str">
        <f>HYPERLINK("http://service.sap.com/sap/support/notes/1978611","1978611")</f>
        <v>1978611</v>
      </c>
      <c r="D2775">
        <v>2</v>
      </c>
      <c r="E2775" t="s">
        <v>3186</v>
      </c>
      <c r="F2775" t="s">
        <v>17</v>
      </c>
    </row>
    <row r="2776" spans="1:6" x14ac:dyDescent="0.3">
      <c r="A2776" t="s">
        <v>2284</v>
      </c>
      <c r="B2776" t="s">
        <v>2285</v>
      </c>
      <c r="C2776" t="str">
        <f>HYPERLINK("http://service.sap.com/sap/support/notes/1975084","1975084")</f>
        <v>1975084</v>
      </c>
      <c r="D2776">
        <v>2</v>
      </c>
      <c r="E2776" t="s">
        <v>3187</v>
      </c>
      <c r="F2776" t="s">
        <v>17</v>
      </c>
    </row>
    <row r="2777" spans="1:6" x14ac:dyDescent="0.3">
      <c r="A2777" t="s">
        <v>1091</v>
      </c>
      <c r="B2777" t="s">
        <v>684</v>
      </c>
      <c r="C2777" t="str">
        <f>HYPERLINK("http://service.sap.com/sap/support/notes/1976011","1976011")</f>
        <v>1976011</v>
      </c>
      <c r="D2777">
        <v>2</v>
      </c>
      <c r="E2777" t="s">
        <v>3188</v>
      </c>
      <c r="F2777" t="s">
        <v>13</v>
      </c>
    </row>
    <row r="2778" spans="1:6" x14ac:dyDescent="0.3">
      <c r="A2778" t="s">
        <v>1091</v>
      </c>
      <c r="B2778" t="s">
        <v>684</v>
      </c>
      <c r="C2778" t="str">
        <f>HYPERLINK("http://service.sap.com/sap/support/notes/1977902","1977902")</f>
        <v>1977902</v>
      </c>
      <c r="D2778">
        <v>1</v>
      </c>
      <c r="E2778" t="s">
        <v>3189</v>
      </c>
      <c r="F2778" t="s">
        <v>17</v>
      </c>
    </row>
    <row r="2779" spans="1:6" x14ac:dyDescent="0.3">
      <c r="A2779" t="s">
        <v>1098</v>
      </c>
      <c r="B2779" t="s">
        <v>1099</v>
      </c>
      <c r="C2779" t="str">
        <f>HYPERLINK("http://service.sap.com/sap/support/notes/1977061","1977061")</f>
        <v>1977061</v>
      </c>
      <c r="D2779">
        <v>2</v>
      </c>
      <c r="E2779" t="s">
        <v>3190</v>
      </c>
      <c r="F2779" t="s">
        <v>17</v>
      </c>
    </row>
    <row r="2780" spans="1:6" x14ac:dyDescent="0.3">
      <c r="A2780" t="s">
        <v>1103</v>
      </c>
      <c r="B2780" t="s">
        <v>243</v>
      </c>
      <c r="C2780" t="str">
        <f>HYPERLINK("http://service.sap.com/sap/support/notes/1861802","1861802")</f>
        <v>1861802</v>
      </c>
      <c r="D2780">
        <v>2</v>
      </c>
      <c r="E2780" t="s">
        <v>3191</v>
      </c>
      <c r="F2780" t="s">
        <v>17</v>
      </c>
    </row>
    <row r="2781" spans="1:6" x14ac:dyDescent="0.3">
      <c r="A2781" t="s">
        <v>1103</v>
      </c>
      <c r="B2781" t="s">
        <v>243</v>
      </c>
      <c r="C2781" t="str">
        <f>HYPERLINK("http://service.sap.com/sap/support/notes/1869266","1869266")</f>
        <v>1869266</v>
      </c>
      <c r="D2781">
        <v>2</v>
      </c>
      <c r="E2781" t="s">
        <v>3192</v>
      </c>
      <c r="F2781" t="s">
        <v>17</v>
      </c>
    </row>
    <row r="2782" spans="1:6" x14ac:dyDescent="0.3">
      <c r="A2782" t="s">
        <v>1103</v>
      </c>
      <c r="B2782" t="s">
        <v>243</v>
      </c>
      <c r="C2782" t="str">
        <f>HYPERLINK("http://service.sap.com/sap/support/notes/1877571","1877571")</f>
        <v>1877571</v>
      </c>
      <c r="D2782">
        <v>3</v>
      </c>
      <c r="E2782" t="s">
        <v>3193</v>
      </c>
      <c r="F2782" t="s">
        <v>17</v>
      </c>
    </row>
    <row r="2783" spans="1:6" x14ac:dyDescent="0.3">
      <c r="A2783" t="s">
        <v>1103</v>
      </c>
      <c r="B2783" t="s">
        <v>243</v>
      </c>
      <c r="C2783" t="str">
        <f>HYPERLINK("http://service.sap.com/sap/support/notes/1884723","1884723")</f>
        <v>1884723</v>
      </c>
      <c r="D2783">
        <v>2</v>
      </c>
      <c r="E2783" t="s">
        <v>3194</v>
      </c>
      <c r="F2783" t="s">
        <v>17</v>
      </c>
    </row>
    <row r="2784" spans="1:6" x14ac:dyDescent="0.3">
      <c r="A2784" t="s">
        <v>1103</v>
      </c>
      <c r="B2784" t="s">
        <v>243</v>
      </c>
      <c r="C2784" t="str">
        <f>HYPERLINK("http://service.sap.com/sap/support/notes/1885798","1885798")</f>
        <v>1885798</v>
      </c>
      <c r="D2784">
        <v>3</v>
      </c>
      <c r="E2784" t="s">
        <v>3195</v>
      </c>
      <c r="F2784" t="s">
        <v>17</v>
      </c>
    </row>
    <row r="2785" spans="1:6" x14ac:dyDescent="0.3">
      <c r="A2785" t="s">
        <v>1103</v>
      </c>
      <c r="B2785" t="s">
        <v>243</v>
      </c>
      <c r="C2785" t="str">
        <f>HYPERLINK("http://service.sap.com/sap/support/notes/1895377","1895377")</f>
        <v>1895377</v>
      </c>
      <c r="D2785">
        <v>19</v>
      </c>
      <c r="E2785" t="s">
        <v>3196</v>
      </c>
      <c r="F2785" t="s">
        <v>17</v>
      </c>
    </row>
    <row r="2786" spans="1:6" x14ac:dyDescent="0.3">
      <c r="A2786" t="s">
        <v>1103</v>
      </c>
      <c r="B2786" t="s">
        <v>243</v>
      </c>
      <c r="C2786" t="str">
        <f>HYPERLINK("http://service.sap.com/sap/support/notes/1895783","1895783")</f>
        <v>1895783</v>
      </c>
      <c r="D2786">
        <v>4</v>
      </c>
      <c r="E2786" t="s">
        <v>3197</v>
      </c>
      <c r="F2786" t="s">
        <v>17</v>
      </c>
    </row>
    <row r="2787" spans="1:6" x14ac:dyDescent="0.3">
      <c r="A2787" t="s">
        <v>1103</v>
      </c>
      <c r="B2787" t="s">
        <v>243</v>
      </c>
      <c r="C2787" t="str">
        <f>HYPERLINK("http://service.sap.com/sap/support/notes/1920358","1920358")</f>
        <v>1920358</v>
      </c>
      <c r="D2787">
        <v>4</v>
      </c>
      <c r="E2787" t="s">
        <v>3198</v>
      </c>
      <c r="F2787" t="s">
        <v>17</v>
      </c>
    </row>
    <row r="2788" spans="1:6" x14ac:dyDescent="0.3">
      <c r="A2788" t="s">
        <v>1103</v>
      </c>
      <c r="B2788" t="s">
        <v>243</v>
      </c>
      <c r="C2788" t="str">
        <f>HYPERLINK("http://service.sap.com/sap/support/notes/1923280","1923280")</f>
        <v>1923280</v>
      </c>
      <c r="D2788">
        <v>3</v>
      </c>
      <c r="E2788" t="s">
        <v>3199</v>
      </c>
      <c r="F2788" t="s">
        <v>17</v>
      </c>
    </row>
    <row r="2789" spans="1:6" x14ac:dyDescent="0.3">
      <c r="A2789" t="s">
        <v>1103</v>
      </c>
      <c r="B2789" t="s">
        <v>243</v>
      </c>
      <c r="C2789" t="str">
        <f>HYPERLINK("http://service.sap.com/sap/support/notes/1944061","1944061")</f>
        <v>1944061</v>
      </c>
      <c r="D2789">
        <v>4</v>
      </c>
      <c r="E2789" t="s">
        <v>3200</v>
      </c>
      <c r="F2789" t="s">
        <v>17</v>
      </c>
    </row>
    <row r="2790" spans="1:6" x14ac:dyDescent="0.3">
      <c r="A2790" t="s">
        <v>1103</v>
      </c>
      <c r="B2790" t="s">
        <v>243</v>
      </c>
      <c r="C2790" t="str">
        <f>HYPERLINK("http://service.sap.com/sap/support/notes/1954084","1954084")</f>
        <v>1954084</v>
      </c>
      <c r="D2790">
        <v>2</v>
      </c>
      <c r="E2790" t="s">
        <v>3201</v>
      </c>
      <c r="F2790" t="s">
        <v>17</v>
      </c>
    </row>
    <row r="2791" spans="1:6" x14ac:dyDescent="0.3">
      <c r="A2791" t="s">
        <v>1103</v>
      </c>
      <c r="B2791" t="s">
        <v>243</v>
      </c>
      <c r="C2791" t="str">
        <f>HYPERLINK("http://service.sap.com/sap/support/notes/1954580","1954580")</f>
        <v>1954580</v>
      </c>
      <c r="D2791">
        <v>2</v>
      </c>
      <c r="E2791" t="s">
        <v>3202</v>
      </c>
      <c r="F2791" t="s">
        <v>17</v>
      </c>
    </row>
    <row r="2792" spans="1:6" x14ac:dyDescent="0.3">
      <c r="A2792" t="s">
        <v>1103</v>
      </c>
      <c r="B2792" t="s">
        <v>243</v>
      </c>
      <c r="C2792" t="str">
        <f>HYPERLINK("http://service.sap.com/sap/support/notes/1956829","1956829")</f>
        <v>1956829</v>
      </c>
      <c r="D2792">
        <v>10</v>
      </c>
      <c r="E2792" t="s">
        <v>3203</v>
      </c>
      <c r="F2792" t="s">
        <v>17</v>
      </c>
    </row>
    <row r="2793" spans="1:6" x14ac:dyDescent="0.3">
      <c r="A2793" t="s">
        <v>1103</v>
      </c>
      <c r="B2793" t="s">
        <v>243</v>
      </c>
      <c r="C2793" t="str">
        <f>HYPERLINK("http://service.sap.com/sap/support/notes/1958193","1958193")</f>
        <v>1958193</v>
      </c>
      <c r="D2793">
        <v>2</v>
      </c>
      <c r="E2793" t="s">
        <v>3204</v>
      </c>
      <c r="F2793" t="s">
        <v>17</v>
      </c>
    </row>
    <row r="2794" spans="1:6" x14ac:dyDescent="0.3">
      <c r="A2794" t="s">
        <v>1103</v>
      </c>
      <c r="B2794" t="s">
        <v>243</v>
      </c>
      <c r="C2794" t="str">
        <f>HYPERLINK("http://service.sap.com/sap/support/notes/1958202","1958202")</f>
        <v>1958202</v>
      </c>
      <c r="D2794">
        <v>4</v>
      </c>
      <c r="E2794" t="s">
        <v>3205</v>
      </c>
      <c r="F2794" t="s">
        <v>17</v>
      </c>
    </row>
    <row r="2795" spans="1:6" x14ac:dyDescent="0.3">
      <c r="A2795" t="s">
        <v>1103</v>
      </c>
      <c r="B2795" t="s">
        <v>243</v>
      </c>
      <c r="C2795" t="str">
        <f>HYPERLINK("http://service.sap.com/sap/support/notes/1965624","1965624")</f>
        <v>1965624</v>
      </c>
      <c r="D2795">
        <v>2</v>
      </c>
      <c r="E2795" t="s">
        <v>3206</v>
      </c>
      <c r="F2795" t="s">
        <v>17</v>
      </c>
    </row>
    <row r="2796" spans="1:6" x14ac:dyDescent="0.3">
      <c r="A2796" t="s">
        <v>1103</v>
      </c>
      <c r="B2796" t="s">
        <v>243</v>
      </c>
      <c r="C2796" t="str">
        <f>HYPERLINK("http://service.sap.com/sap/support/notes/1969639","1969639")</f>
        <v>1969639</v>
      </c>
      <c r="D2796">
        <v>2</v>
      </c>
      <c r="E2796" t="s">
        <v>3207</v>
      </c>
      <c r="F2796" t="s">
        <v>17</v>
      </c>
    </row>
    <row r="2797" spans="1:6" x14ac:dyDescent="0.3">
      <c r="A2797" t="s">
        <v>1103</v>
      </c>
      <c r="B2797" t="s">
        <v>243</v>
      </c>
      <c r="C2797" t="str">
        <f>HYPERLINK("http://service.sap.com/sap/support/notes/1973394","1973394")</f>
        <v>1973394</v>
      </c>
      <c r="D2797">
        <v>2</v>
      </c>
      <c r="E2797" t="s">
        <v>3208</v>
      </c>
      <c r="F2797" t="s">
        <v>17</v>
      </c>
    </row>
    <row r="2798" spans="1:6" x14ac:dyDescent="0.3">
      <c r="A2798" t="s">
        <v>1103</v>
      </c>
      <c r="B2798" t="s">
        <v>243</v>
      </c>
      <c r="C2798" t="str">
        <f>HYPERLINK("http://service.sap.com/sap/support/notes/1974823","1974823")</f>
        <v>1974823</v>
      </c>
      <c r="D2798">
        <v>3</v>
      </c>
      <c r="E2798" t="s">
        <v>3209</v>
      </c>
      <c r="F2798" t="s">
        <v>17</v>
      </c>
    </row>
    <row r="2799" spans="1:6" x14ac:dyDescent="0.3">
      <c r="A2799" t="s">
        <v>1103</v>
      </c>
      <c r="B2799" t="s">
        <v>243</v>
      </c>
      <c r="C2799" t="str">
        <f>HYPERLINK("http://service.sap.com/sap/support/notes/1981220","1981220")</f>
        <v>1981220</v>
      </c>
      <c r="D2799">
        <v>1</v>
      </c>
      <c r="E2799" t="s">
        <v>3210</v>
      </c>
      <c r="F2799" t="s">
        <v>17</v>
      </c>
    </row>
    <row r="2800" spans="1:6" x14ac:dyDescent="0.3">
      <c r="A2800" t="s">
        <v>1103</v>
      </c>
      <c r="B2800" t="s">
        <v>243</v>
      </c>
      <c r="C2800" t="str">
        <f>HYPERLINK("http://service.sap.com/sap/support/notes/1983548","1983548")</f>
        <v>1983548</v>
      </c>
      <c r="D2800">
        <v>3</v>
      </c>
      <c r="E2800" t="s">
        <v>3211</v>
      </c>
      <c r="F2800" t="s">
        <v>17</v>
      </c>
    </row>
    <row r="2801" spans="1:6" x14ac:dyDescent="0.3">
      <c r="A2801" t="s">
        <v>1103</v>
      </c>
      <c r="B2801" t="s">
        <v>243</v>
      </c>
      <c r="C2801" t="str">
        <f>HYPERLINK("http://service.sap.com/sap/support/notes/1984171","1984171")</f>
        <v>1984171</v>
      </c>
      <c r="D2801">
        <v>2</v>
      </c>
      <c r="E2801" t="s">
        <v>3212</v>
      </c>
      <c r="F2801" t="s">
        <v>17</v>
      </c>
    </row>
    <row r="2802" spans="1:6" x14ac:dyDescent="0.3">
      <c r="A2802" t="s">
        <v>1124</v>
      </c>
      <c r="B2802" t="s">
        <v>1125</v>
      </c>
    </row>
    <row r="2803" spans="1:6" x14ac:dyDescent="0.3">
      <c r="A2803" t="s">
        <v>1126</v>
      </c>
      <c r="B2803" t="s">
        <v>1127</v>
      </c>
      <c r="C2803" t="str">
        <f>HYPERLINK("http://service.sap.com/sap/support/notes/1955493","1955493")</f>
        <v>1955493</v>
      </c>
      <c r="D2803">
        <v>1</v>
      </c>
      <c r="E2803" t="s">
        <v>3213</v>
      </c>
      <c r="F2803" t="s">
        <v>17</v>
      </c>
    </row>
    <row r="2804" spans="1:6" x14ac:dyDescent="0.3">
      <c r="A2804" t="s">
        <v>1129</v>
      </c>
      <c r="B2804" t="s">
        <v>1130</v>
      </c>
      <c r="C2804" t="str">
        <f>HYPERLINK("http://service.sap.com/sap/support/notes/1878955","1878955")</f>
        <v>1878955</v>
      </c>
      <c r="D2804">
        <v>6</v>
      </c>
      <c r="E2804" t="s">
        <v>3214</v>
      </c>
      <c r="F2804" t="s">
        <v>17</v>
      </c>
    </row>
    <row r="2805" spans="1:6" x14ac:dyDescent="0.3">
      <c r="A2805" t="s">
        <v>1129</v>
      </c>
      <c r="B2805" t="s">
        <v>1130</v>
      </c>
      <c r="C2805" t="str">
        <f>HYPERLINK("http://service.sap.com/sap/support/notes/1895810","1895810")</f>
        <v>1895810</v>
      </c>
      <c r="D2805">
        <v>4</v>
      </c>
      <c r="E2805" t="s">
        <v>3215</v>
      </c>
      <c r="F2805" t="s">
        <v>17</v>
      </c>
    </row>
    <row r="2806" spans="1:6" x14ac:dyDescent="0.3">
      <c r="A2806" t="s">
        <v>1129</v>
      </c>
      <c r="B2806" t="s">
        <v>1130</v>
      </c>
      <c r="C2806" t="str">
        <f>HYPERLINK("http://service.sap.com/sap/support/notes/1949568","1949568")</f>
        <v>1949568</v>
      </c>
      <c r="D2806">
        <v>1</v>
      </c>
      <c r="E2806" t="s">
        <v>3216</v>
      </c>
      <c r="F2806" t="s">
        <v>17</v>
      </c>
    </row>
    <row r="2807" spans="1:6" x14ac:dyDescent="0.3">
      <c r="A2807" t="s">
        <v>1129</v>
      </c>
      <c r="B2807" t="s">
        <v>1130</v>
      </c>
      <c r="C2807" t="str">
        <f>HYPERLINK("http://service.sap.com/sap/support/notes/1952112","1952112")</f>
        <v>1952112</v>
      </c>
      <c r="D2807">
        <v>6</v>
      </c>
      <c r="E2807" t="s">
        <v>3217</v>
      </c>
      <c r="F2807" t="s">
        <v>17</v>
      </c>
    </row>
    <row r="2808" spans="1:6" x14ac:dyDescent="0.3">
      <c r="A2808" t="s">
        <v>1129</v>
      </c>
      <c r="B2808" t="s">
        <v>1130</v>
      </c>
      <c r="C2808" t="str">
        <f>HYPERLINK("http://service.sap.com/sap/support/notes/1964504","1964504")</f>
        <v>1964504</v>
      </c>
      <c r="D2808">
        <v>1</v>
      </c>
      <c r="E2808" t="s">
        <v>3218</v>
      </c>
      <c r="F2808" t="s">
        <v>17</v>
      </c>
    </row>
    <row r="2809" spans="1:6" x14ac:dyDescent="0.3">
      <c r="A2809" t="s">
        <v>1129</v>
      </c>
      <c r="B2809" t="s">
        <v>1130</v>
      </c>
      <c r="C2809" t="str">
        <f>HYPERLINK("http://service.sap.com/sap/support/notes/1981792","1981792")</f>
        <v>1981792</v>
      </c>
      <c r="D2809">
        <v>1</v>
      </c>
      <c r="E2809" t="s">
        <v>3219</v>
      </c>
      <c r="F2809" t="s">
        <v>17</v>
      </c>
    </row>
    <row r="2810" spans="1:6" x14ac:dyDescent="0.3">
      <c r="A2810" t="s">
        <v>1129</v>
      </c>
      <c r="B2810" t="s">
        <v>1130</v>
      </c>
      <c r="C2810" t="str">
        <f>HYPERLINK("http://service.sap.com/sap/support/notes/1982408","1982408")</f>
        <v>1982408</v>
      </c>
      <c r="D2810">
        <v>2</v>
      </c>
      <c r="E2810" t="s">
        <v>1149</v>
      </c>
      <c r="F2810" t="s">
        <v>17</v>
      </c>
    </row>
    <row r="2811" spans="1:6" x14ac:dyDescent="0.3">
      <c r="A2811" t="s">
        <v>1129</v>
      </c>
      <c r="B2811" t="s">
        <v>1130</v>
      </c>
      <c r="C2811" t="str">
        <f>HYPERLINK("http://service.sap.com/sap/support/notes/1984087","1984087")</f>
        <v>1984087</v>
      </c>
      <c r="D2811">
        <v>1</v>
      </c>
      <c r="E2811" t="s">
        <v>3220</v>
      </c>
      <c r="F2811" t="s">
        <v>17</v>
      </c>
    </row>
    <row r="2812" spans="1:6" x14ac:dyDescent="0.3">
      <c r="A2812" t="s">
        <v>1129</v>
      </c>
      <c r="B2812" t="s">
        <v>1130</v>
      </c>
      <c r="C2812" t="str">
        <f>HYPERLINK("http://service.sap.com/sap/support/notes/1991008","1991008")</f>
        <v>1991008</v>
      </c>
      <c r="D2812">
        <v>2</v>
      </c>
      <c r="E2812" t="s">
        <v>3221</v>
      </c>
      <c r="F2812" t="s">
        <v>13</v>
      </c>
    </row>
    <row r="2813" spans="1:6" x14ac:dyDescent="0.3">
      <c r="A2813" t="s">
        <v>1137</v>
      </c>
      <c r="B2813" t="s">
        <v>1138</v>
      </c>
      <c r="C2813" t="str">
        <f>HYPERLINK("http://service.sap.com/sap/support/notes/1675485","1675485")</f>
        <v>1675485</v>
      </c>
      <c r="D2813">
        <v>2</v>
      </c>
      <c r="E2813" t="s">
        <v>3222</v>
      </c>
      <c r="F2813" t="s">
        <v>17</v>
      </c>
    </row>
    <row r="2814" spans="1:6" x14ac:dyDescent="0.3">
      <c r="A2814" t="s">
        <v>1143</v>
      </c>
      <c r="B2814" t="s">
        <v>1130</v>
      </c>
      <c r="C2814" t="str">
        <f>HYPERLINK("http://service.sap.com/sap/support/notes/1863965","1863965")</f>
        <v>1863965</v>
      </c>
      <c r="D2814">
        <v>2</v>
      </c>
      <c r="E2814" t="s">
        <v>3223</v>
      </c>
      <c r="F2814" t="s">
        <v>11</v>
      </c>
    </row>
    <row r="2815" spans="1:6" x14ac:dyDescent="0.3">
      <c r="A2815" t="s">
        <v>1143</v>
      </c>
      <c r="B2815" t="s">
        <v>1130</v>
      </c>
      <c r="C2815" t="str">
        <f>HYPERLINK("http://service.sap.com/sap/support/notes/1921058","1921058")</f>
        <v>1921058</v>
      </c>
      <c r="D2815">
        <v>5</v>
      </c>
      <c r="E2815" t="s">
        <v>3224</v>
      </c>
      <c r="F2815" t="s">
        <v>13</v>
      </c>
    </row>
    <row r="2816" spans="1:6" x14ac:dyDescent="0.3">
      <c r="A2816" t="s">
        <v>1143</v>
      </c>
      <c r="B2816" t="s">
        <v>1130</v>
      </c>
      <c r="C2816" t="str">
        <f>HYPERLINK("http://service.sap.com/sap/support/notes/1984719","1984719")</f>
        <v>1984719</v>
      </c>
      <c r="D2816">
        <v>1</v>
      </c>
      <c r="E2816" t="s">
        <v>3225</v>
      </c>
      <c r="F2816" t="s">
        <v>17</v>
      </c>
    </row>
    <row r="2817" spans="1:6" x14ac:dyDescent="0.3">
      <c r="A2817" t="s">
        <v>1148</v>
      </c>
      <c r="B2817" t="s">
        <v>1130</v>
      </c>
      <c r="C2817" t="str">
        <f>HYPERLINK("http://service.sap.com/sap/support/notes/1891569","1891569")</f>
        <v>1891569</v>
      </c>
      <c r="D2817">
        <v>3</v>
      </c>
      <c r="E2817" t="s">
        <v>3226</v>
      </c>
      <c r="F2817" t="s">
        <v>17</v>
      </c>
    </row>
    <row r="2818" spans="1:6" x14ac:dyDescent="0.3">
      <c r="A2818" t="s">
        <v>1148</v>
      </c>
      <c r="B2818" t="s">
        <v>1130</v>
      </c>
      <c r="C2818" t="str">
        <f>HYPERLINK("http://service.sap.com/sap/support/notes/1924356","1924356")</f>
        <v>1924356</v>
      </c>
      <c r="D2818">
        <v>3</v>
      </c>
      <c r="E2818" t="s">
        <v>3227</v>
      </c>
      <c r="F2818" t="s">
        <v>11</v>
      </c>
    </row>
    <row r="2819" spans="1:6" x14ac:dyDescent="0.3">
      <c r="A2819" t="s">
        <v>1148</v>
      </c>
      <c r="B2819" t="s">
        <v>1130</v>
      </c>
      <c r="C2819" t="str">
        <f>HYPERLINK("http://service.sap.com/sap/support/notes/1954135","1954135")</f>
        <v>1954135</v>
      </c>
      <c r="D2819">
        <v>2</v>
      </c>
      <c r="E2819" t="s">
        <v>3228</v>
      </c>
      <c r="F2819" t="s">
        <v>17</v>
      </c>
    </row>
    <row r="2820" spans="1:6" x14ac:dyDescent="0.3">
      <c r="A2820" t="s">
        <v>1148</v>
      </c>
      <c r="B2820" t="s">
        <v>1130</v>
      </c>
      <c r="C2820" t="str">
        <f>HYPERLINK("http://service.sap.com/sap/support/notes/1955477","1955477")</f>
        <v>1955477</v>
      </c>
      <c r="D2820">
        <v>3</v>
      </c>
      <c r="E2820" t="s">
        <v>3229</v>
      </c>
      <c r="F2820" t="s">
        <v>17</v>
      </c>
    </row>
    <row r="2821" spans="1:6" x14ac:dyDescent="0.3">
      <c r="A2821" t="s">
        <v>1148</v>
      </c>
      <c r="B2821" t="s">
        <v>1130</v>
      </c>
      <c r="C2821" t="str">
        <f>HYPERLINK("http://service.sap.com/sap/support/notes/1958701","1958701")</f>
        <v>1958701</v>
      </c>
      <c r="D2821">
        <v>2</v>
      </c>
      <c r="E2821" t="s">
        <v>3230</v>
      </c>
      <c r="F2821" t="s">
        <v>17</v>
      </c>
    </row>
    <row r="2822" spans="1:6" x14ac:dyDescent="0.3">
      <c r="A2822" t="s">
        <v>1148</v>
      </c>
      <c r="B2822" t="s">
        <v>1130</v>
      </c>
      <c r="C2822" t="str">
        <f>HYPERLINK("http://service.sap.com/sap/support/notes/1958869","1958869")</f>
        <v>1958869</v>
      </c>
      <c r="D2822">
        <v>3</v>
      </c>
      <c r="E2822" t="s">
        <v>3231</v>
      </c>
      <c r="F2822" t="s">
        <v>17</v>
      </c>
    </row>
    <row r="2823" spans="1:6" x14ac:dyDescent="0.3">
      <c r="A2823" t="s">
        <v>1148</v>
      </c>
      <c r="B2823" t="s">
        <v>1130</v>
      </c>
      <c r="C2823" t="str">
        <f>HYPERLINK("http://service.sap.com/sap/support/notes/1961091","1961091")</f>
        <v>1961091</v>
      </c>
      <c r="D2823">
        <v>7</v>
      </c>
      <c r="E2823" t="s">
        <v>3232</v>
      </c>
      <c r="F2823" t="s">
        <v>17</v>
      </c>
    </row>
    <row r="2824" spans="1:6" x14ac:dyDescent="0.3">
      <c r="A2824" t="s">
        <v>1148</v>
      </c>
      <c r="B2824" t="s">
        <v>1130</v>
      </c>
      <c r="C2824" t="str">
        <f>HYPERLINK("http://service.sap.com/sap/support/notes/1964587","1964587")</f>
        <v>1964587</v>
      </c>
      <c r="D2824">
        <v>4</v>
      </c>
      <c r="E2824" t="s">
        <v>3233</v>
      </c>
      <c r="F2824" t="s">
        <v>17</v>
      </c>
    </row>
    <row r="2825" spans="1:6" x14ac:dyDescent="0.3">
      <c r="A2825" t="s">
        <v>1148</v>
      </c>
      <c r="B2825" t="s">
        <v>1130</v>
      </c>
      <c r="C2825" t="str">
        <f>HYPERLINK("http://service.sap.com/sap/support/notes/1965884","1965884")</f>
        <v>1965884</v>
      </c>
      <c r="D2825">
        <v>6</v>
      </c>
      <c r="E2825" t="s">
        <v>3234</v>
      </c>
      <c r="F2825" t="s">
        <v>17</v>
      </c>
    </row>
    <row r="2826" spans="1:6" x14ac:dyDescent="0.3">
      <c r="A2826" t="s">
        <v>1148</v>
      </c>
      <c r="B2826" t="s">
        <v>1130</v>
      </c>
      <c r="C2826" t="str">
        <f>HYPERLINK("http://service.sap.com/sap/support/notes/1971695","1971695")</f>
        <v>1971695</v>
      </c>
      <c r="D2826">
        <v>3</v>
      </c>
      <c r="E2826" t="s">
        <v>3235</v>
      </c>
      <c r="F2826" t="s">
        <v>17</v>
      </c>
    </row>
    <row r="2827" spans="1:6" x14ac:dyDescent="0.3">
      <c r="A2827" t="s">
        <v>1148</v>
      </c>
      <c r="B2827" t="s">
        <v>1130</v>
      </c>
      <c r="C2827" t="str">
        <f>HYPERLINK("http://service.sap.com/sap/support/notes/1974980","1974980")</f>
        <v>1974980</v>
      </c>
      <c r="D2827">
        <v>3</v>
      </c>
      <c r="E2827" t="s">
        <v>3236</v>
      </c>
      <c r="F2827" t="s">
        <v>17</v>
      </c>
    </row>
    <row r="2828" spans="1:6" x14ac:dyDescent="0.3">
      <c r="A2828" t="s">
        <v>1148</v>
      </c>
      <c r="B2828" t="s">
        <v>1130</v>
      </c>
      <c r="C2828" t="str">
        <f>HYPERLINK("http://service.sap.com/sap/support/notes/1984829","1984829")</f>
        <v>1984829</v>
      </c>
      <c r="D2828">
        <v>3</v>
      </c>
      <c r="E2828" t="s">
        <v>3237</v>
      </c>
      <c r="F2828" t="s">
        <v>17</v>
      </c>
    </row>
    <row r="2829" spans="1:6" x14ac:dyDescent="0.3">
      <c r="A2829" t="s">
        <v>3238</v>
      </c>
      <c r="B2829" t="s">
        <v>3239</v>
      </c>
      <c r="C2829" t="str">
        <f>HYPERLINK("http://service.sap.com/sap/support/notes/1960535","1960535")</f>
        <v>1960535</v>
      </c>
      <c r="D2829">
        <v>12</v>
      </c>
      <c r="E2829" t="s">
        <v>3240</v>
      </c>
      <c r="F2829" t="s">
        <v>17</v>
      </c>
    </row>
    <row r="2830" spans="1:6" x14ac:dyDescent="0.3">
      <c r="A2830" t="s">
        <v>1161</v>
      </c>
      <c r="B2830" t="s">
        <v>2307</v>
      </c>
    </row>
    <row r="2831" spans="1:6" x14ac:dyDescent="0.3">
      <c r="A2831" t="s">
        <v>1164</v>
      </c>
      <c r="B2831" t="s">
        <v>243</v>
      </c>
    </row>
    <row r="2832" spans="1:6" x14ac:dyDescent="0.3">
      <c r="A2832" t="s">
        <v>1165</v>
      </c>
      <c r="B2832" t="s">
        <v>1166</v>
      </c>
      <c r="C2832" t="str">
        <f>HYPERLINK("http://service.sap.com/sap/support/notes/902886","902886")</f>
        <v>902886</v>
      </c>
      <c r="D2832">
        <v>4</v>
      </c>
      <c r="E2832" t="s">
        <v>3241</v>
      </c>
      <c r="F2832" t="s">
        <v>13</v>
      </c>
    </row>
    <row r="2833" spans="1:6" x14ac:dyDescent="0.3">
      <c r="A2833" t="s">
        <v>1165</v>
      </c>
      <c r="B2833" t="s">
        <v>1166</v>
      </c>
      <c r="C2833" t="str">
        <f>HYPERLINK("http://service.sap.com/sap/support/notes/1966320","1966320")</f>
        <v>1966320</v>
      </c>
      <c r="D2833">
        <v>2</v>
      </c>
      <c r="E2833" t="s">
        <v>3242</v>
      </c>
      <c r="F2833" t="s">
        <v>17</v>
      </c>
    </row>
    <row r="2834" spans="1:6" x14ac:dyDescent="0.3">
      <c r="A2834" t="s">
        <v>1165</v>
      </c>
      <c r="B2834" t="s">
        <v>1166</v>
      </c>
      <c r="C2834" t="str">
        <f>HYPERLINK("http://service.sap.com/sap/support/notes/1987488","1987488")</f>
        <v>1987488</v>
      </c>
      <c r="D2834">
        <v>1</v>
      </c>
      <c r="E2834" t="s">
        <v>3243</v>
      </c>
      <c r="F2834" t="s">
        <v>17</v>
      </c>
    </row>
    <row r="2835" spans="1:6" x14ac:dyDescent="0.3">
      <c r="A2835" t="s">
        <v>1176</v>
      </c>
      <c r="B2835" t="s">
        <v>346</v>
      </c>
    </row>
    <row r="2836" spans="1:6" x14ac:dyDescent="0.3">
      <c r="A2836" t="s">
        <v>1178</v>
      </c>
      <c r="B2836" t="s">
        <v>909</v>
      </c>
      <c r="C2836" t="str">
        <f>HYPERLINK("http://service.sap.com/sap/support/notes/1965746","1965746")</f>
        <v>1965746</v>
      </c>
      <c r="D2836">
        <v>4</v>
      </c>
      <c r="E2836" t="s">
        <v>3244</v>
      </c>
      <c r="F2836" t="s">
        <v>17</v>
      </c>
    </row>
    <row r="2837" spans="1:6" x14ac:dyDescent="0.3">
      <c r="A2837" t="s">
        <v>1184</v>
      </c>
      <c r="B2837" t="s">
        <v>1185</v>
      </c>
      <c r="C2837" t="str">
        <f>HYPERLINK("http://service.sap.com/sap/support/notes/1955225","1955225")</f>
        <v>1955225</v>
      </c>
      <c r="D2837">
        <v>2</v>
      </c>
      <c r="E2837" t="s">
        <v>3245</v>
      </c>
      <c r="F2837" t="s">
        <v>17</v>
      </c>
    </row>
    <row r="2838" spans="1:6" x14ac:dyDescent="0.3">
      <c r="A2838" t="s">
        <v>1198</v>
      </c>
      <c r="B2838" t="s">
        <v>1199</v>
      </c>
      <c r="C2838" t="str">
        <f>HYPERLINK("http://service.sap.com/sap/support/notes/1949358","1949358")</f>
        <v>1949358</v>
      </c>
      <c r="D2838">
        <v>2</v>
      </c>
      <c r="E2838" t="s">
        <v>3246</v>
      </c>
      <c r="F2838" t="s">
        <v>17</v>
      </c>
    </row>
    <row r="2839" spans="1:6" x14ac:dyDescent="0.3">
      <c r="A2839" t="s">
        <v>1201</v>
      </c>
      <c r="B2839" t="s">
        <v>1202</v>
      </c>
    </row>
    <row r="2840" spans="1:6" x14ac:dyDescent="0.3">
      <c r="A2840" t="s">
        <v>1203</v>
      </c>
      <c r="B2840" t="s">
        <v>1204</v>
      </c>
      <c r="C2840" t="str">
        <f>HYPERLINK("http://service.sap.com/sap/support/notes/1849748","1849748")</f>
        <v>1849748</v>
      </c>
      <c r="D2840">
        <v>1</v>
      </c>
      <c r="E2840" t="s">
        <v>1205</v>
      </c>
      <c r="F2840" t="s">
        <v>13</v>
      </c>
    </row>
    <row r="2841" spans="1:6" x14ac:dyDescent="0.3">
      <c r="A2841" t="s">
        <v>1206</v>
      </c>
      <c r="B2841" t="s">
        <v>1207</v>
      </c>
    </row>
    <row r="2842" spans="1:6" x14ac:dyDescent="0.3">
      <c r="A2842" t="s">
        <v>1208</v>
      </c>
      <c r="B2842" t="s">
        <v>1209</v>
      </c>
    </row>
    <row r="2843" spans="1:6" x14ac:dyDescent="0.3">
      <c r="A2843" t="s">
        <v>1210</v>
      </c>
      <c r="B2843" t="s">
        <v>1211</v>
      </c>
      <c r="C2843" t="str">
        <f>HYPERLINK("http://service.sap.com/sap/support/notes/1949234","1949234")</f>
        <v>1949234</v>
      </c>
      <c r="D2843">
        <v>8</v>
      </c>
      <c r="E2843" t="s">
        <v>2329</v>
      </c>
      <c r="F2843" t="s">
        <v>11</v>
      </c>
    </row>
    <row r="2844" spans="1:6" x14ac:dyDescent="0.3">
      <c r="A2844" t="s">
        <v>1210</v>
      </c>
      <c r="B2844" t="s">
        <v>1211</v>
      </c>
      <c r="C2844" t="str">
        <f>HYPERLINK("http://service.sap.com/sap/support/notes/1950611","1950611")</f>
        <v>1950611</v>
      </c>
      <c r="D2844">
        <v>10</v>
      </c>
      <c r="E2844" t="s">
        <v>3247</v>
      </c>
      <c r="F2844" t="s">
        <v>11</v>
      </c>
    </row>
    <row r="2845" spans="1:6" x14ac:dyDescent="0.3">
      <c r="A2845" t="s">
        <v>1210</v>
      </c>
      <c r="B2845" t="s">
        <v>1211</v>
      </c>
      <c r="C2845" t="str">
        <f>HYPERLINK("http://service.sap.com/sap/support/notes/1965857","1965857")</f>
        <v>1965857</v>
      </c>
      <c r="D2845">
        <v>1</v>
      </c>
      <c r="E2845" t="s">
        <v>3248</v>
      </c>
      <c r="F2845" t="s">
        <v>11</v>
      </c>
    </row>
    <row r="2846" spans="1:6" x14ac:dyDescent="0.3">
      <c r="A2846" t="s">
        <v>1210</v>
      </c>
      <c r="B2846" t="s">
        <v>1211</v>
      </c>
      <c r="C2846" t="str">
        <f>HYPERLINK("http://service.sap.com/sap/support/notes/1980001","1980001")</f>
        <v>1980001</v>
      </c>
      <c r="D2846">
        <v>1</v>
      </c>
      <c r="E2846" t="s">
        <v>3249</v>
      </c>
      <c r="F2846" t="s">
        <v>11</v>
      </c>
    </row>
    <row r="2847" spans="1:6" x14ac:dyDescent="0.3">
      <c r="A2847" t="s">
        <v>1210</v>
      </c>
      <c r="B2847" t="s">
        <v>1211</v>
      </c>
      <c r="C2847" t="str">
        <f>HYPERLINK("http://service.sap.com/sap/support/notes/1991557","1991557")</f>
        <v>1991557</v>
      </c>
      <c r="D2847">
        <v>1</v>
      </c>
      <c r="E2847" t="s">
        <v>3250</v>
      </c>
      <c r="F2847" t="s">
        <v>11</v>
      </c>
    </row>
    <row r="2848" spans="1:6" x14ac:dyDescent="0.3">
      <c r="A2848" t="s">
        <v>1225</v>
      </c>
      <c r="B2848" t="s">
        <v>1226</v>
      </c>
      <c r="C2848" t="str">
        <f>HYPERLINK("http://service.sap.com/sap/support/notes/1831064","1831064")</f>
        <v>1831064</v>
      </c>
      <c r="D2848">
        <v>3</v>
      </c>
      <c r="E2848" t="s">
        <v>3251</v>
      </c>
      <c r="F2848" t="s">
        <v>17</v>
      </c>
    </row>
    <row r="2849" spans="1:6" x14ac:dyDescent="0.3">
      <c r="A2849" t="s">
        <v>1225</v>
      </c>
      <c r="B2849" t="s">
        <v>1226</v>
      </c>
      <c r="C2849" t="str">
        <f>HYPERLINK("http://service.sap.com/sap/support/notes/1861019","1861019")</f>
        <v>1861019</v>
      </c>
      <c r="D2849">
        <v>5</v>
      </c>
      <c r="E2849" t="s">
        <v>3252</v>
      </c>
      <c r="F2849" t="s">
        <v>11</v>
      </c>
    </row>
    <row r="2850" spans="1:6" x14ac:dyDescent="0.3">
      <c r="A2850" t="s">
        <v>1225</v>
      </c>
      <c r="B2850" t="s">
        <v>1226</v>
      </c>
      <c r="C2850" t="str">
        <f>HYPERLINK("http://service.sap.com/sap/support/notes/1922970","1922970")</f>
        <v>1922970</v>
      </c>
      <c r="D2850">
        <v>6</v>
      </c>
      <c r="E2850" t="s">
        <v>3253</v>
      </c>
      <c r="F2850" t="s">
        <v>11</v>
      </c>
    </row>
    <row r="2851" spans="1:6" x14ac:dyDescent="0.3">
      <c r="A2851" t="s">
        <v>1225</v>
      </c>
      <c r="B2851" t="s">
        <v>1226</v>
      </c>
      <c r="C2851" t="str">
        <f>HYPERLINK("http://service.sap.com/sap/support/notes/1924523","1924523")</f>
        <v>1924523</v>
      </c>
      <c r="D2851">
        <v>2</v>
      </c>
      <c r="E2851" t="s">
        <v>3254</v>
      </c>
      <c r="F2851" t="s">
        <v>17</v>
      </c>
    </row>
    <row r="2852" spans="1:6" x14ac:dyDescent="0.3">
      <c r="A2852" t="s">
        <v>1225</v>
      </c>
      <c r="B2852" t="s">
        <v>1226</v>
      </c>
      <c r="C2852" t="str">
        <f>HYPERLINK("http://service.sap.com/sap/support/notes/1944534","1944534")</f>
        <v>1944534</v>
      </c>
      <c r="D2852">
        <v>3</v>
      </c>
      <c r="E2852" t="s">
        <v>3255</v>
      </c>
      <c r="F2852" t="s">
        <v>17</v>
      </c>
    </row>
    <row r="2853" spans="1:6" x14ac:dyDescent="0.3">
      <c r="A2853" t="s">
        <v>1225</v>
      </c>
      <c r="B2853" t="s">
        <v>1226</v>
      </c>
      <c r="C2853" t="str">
        <f>HYPERLINK("http://service.sap.com/sap/support/notes/1974312","1974312")</f>
        <v>1974312</v>
      </c>
      <c r="D2853">
        <v>4</v>
      </c>
      <c r="E2853" t="s">
        <v>3256</v>
      </c>
      <c r="F2853" t="s">
        <v>17</v>
      </c>
    </row>
    <row r="2854" spans="1:6" x14ac:dyDescent="0.3">
      <c r="A2854" t="s">
        <v>1225</v>
      </c>
      <c r="B2854" t="s">
        <v>1226</v>
      </c>
      <c r="C2854" t="str">
        <f>HYPERLINK("http://service.sap.com/sap/support/notes/1976148","1976148")</f>
        <v>1976148</v>
      </c>
      <c r="D2854">
        <v>1</v>
      </c>
      <c r="E2854" t="s">
        <v>3257</v>
      </c>
      <c r="F2854" t="s">
        <v>17</v>
      </c>
    </row>
    <row r="2855" spans="1:6" x14ac:dyDescent="0.3">
      <c r="A2855" t="s">
        <v>1225</v>
      </c>
      <c r="B2855" t="s">
        <v>1226</v>
      </c>
      <c r="C2855" t="str">
        <f>HYPERLINK("http://service.sap.com/sap/support/notes/1978287","1978287")</f>
        <v>1978287</v>
      </c>
      <c r="D2855">
        <v>3</v>
      </c>
      <c r="E2855" t="s">
        <v>3258</v>
      </c>
      <c r="F2855" t="s">
        <v>17</v>
      </c>
    </row>
    <row r="2856" spans="1:6" x14ac:dyDescent="0.3">
      <c r="A2856" t="s">
        <v>1225</v>
      </c>
      <c r="B2856" t="s">
        <v>1226</v>
      </c>
      <c r="C2856" t="str">
        <f>HYPERLINK("http://service.sap.com/sap/support/notes/1990653","1990653")</f>
        <v>1990653</v>
      </c>
      <c r="D2856">
        <v>1</v>
      </c>
      <c r="E2856" t="s">
        <v>3259</v>
      </c>
      <c r="F2856" t="s">
        <v>17</v>
      </c>
    </row>
    <row r="2857" spans="1:6" x14ac:dyDescent="0.3">
      <c r="A2857" t="s">
        <v>1241</v>
      </c>
      <c r="B2857" t="s">
        <v>1242</v>
      </c>
      <c r="C2857" t="str">
        <f>HYPERLINK("http://service.sap.com/sap/support/notes/1956024","1956024")</f>
        <v>1956024</v>
      </c>
      <c r="D2857">
        <v>1</v>
      </c>
      <c r="E2857" t="s">
        <v>3260</v>
      </c>
      <c r="F2857" t="s">
        <v>17</v>
      </c>
    </row>
    <row r="2858" spans="1:6" x14ac:dyDescent="0.3">
      <c r="A2858" t="s">
        <v>1241</v>
      </c>
      <c r="B2858" t="s">
        <v>1242</v>
      </c>
      <c r="C2858" t="str">
        <f>HYPERLINK("http://service.sap.com/sap/support/notes/1974894","1974894")</f>
        <v>1974894</v>
      </c>
      <c r="D2858">
        <v>1</v>
      </c>
      <c r="E2858" t="s">
        <v>3261</v>
      </c>
      <c r="F2858" t="s">
        <v>17</v>
      </c>
    </row>
    <row r="2859" spans="1:6" x14ac:dyDescent="0.3">
      <c r="A2859" t="s">
        <v>1241</v>
      </c>
      <c r="B2859" t="s">
        <v>1242</v>
      </c>
      <c r="C2859" t="str">
        <f>HYPERLINK("http://service.sap.com/sap/support/notes/1985164","1985164")</f>
        <v>1985164</v>
      </c>
      <c r="D2859">
        <v>1</v>
      </c>
      <c r="E2859" t="s">
        <v>3262</v>
      </c>
      <c r="F2859" t="s">
        <v>17</v>
      </c>
    </row>
    <row r="2860" spans="1:6" x14ac:dyDescent="0.3">
      <c r="A2860" t="s">
        <v>1244</v>
      </c>
      <c r="B2860" t="s">
        <v>346</v>
      </c>
      <c r="C2860" t="str">
        <f>HYPERLINK("http://service.sap.com/sap/support/notes/1983248","1983248")</f>
        <v>1983248</v>
      </c>
      <c r="D2860">
        <v>1</v>
      </c>
      <c r="E2860" t="s">
        <v>3263</v>
      </c>
      <c r="F2860" t="s">
        <v>17</v>
      </c>
    </row>
    <row r="2861" spans="1:6" x14ac:dyDescent="0.3">
      <c r="A2861" t="s">
        <v>1250</v>
      </c>
      <c r="B2861" t="s">
        <v>1251</v>
      </c>
      <c r="C2861" t="str">
        <f>HYPERLINK("http://service.sap.com/sap/support/notes/1888125","1888125")</f>
        <v>1888125</v>
      </c>
      <c r="D2861">
        <v>2</v>
      </c>
      <c r="E2861" t="s">
        <v>3264</v>
      </c>
      <c r="F2861" t="s">
        <v>13</v>
      </c>
    </row>
    <row r="2862" spans="1:6" x14ac:dyDescent="0.3">
      <c r="A2862" t="s">
        <v>1250</v>
      </c>
      <c r="B2862" t="s">
        <v>1251</v>
      </c>
      <c r="C2862" t="str">
        <f>HYPERLINK("http://service.sap.com/sap/support/notes/1969643","1969643")</f>
        <v>1969643</v>
      </c>
      <c r="D2862">
        <v>4</v>
      </c>
      <c r="E2862" t="s">
        <v>3265</v>
      </c>
      <c r="F2862" t="s">
        <v>17</v>
      </c>
    </row>
    <row r="2863" spans="1:6" x14ac:dyDescent="0.3">
      <c r="A2863" t="s">
        <v>1250</v>
      </c>
      <c r="B2863" t="s">
        <v>1251</v>
      </c>
      <c r="C2863" t="str">
        <f>HYPERLINK("http://service.sap.com/sap/support/notes/1987610","1987610")</f>
        <v>1987610</v>
      </c>
      <c r="D2863">
        <v>1</v>
      </c>
      <c r="E2863" t="s">
        <v>3266</v>
      </c>
      <c r="F2863" t="s">
        <v>17</v>
      </c>
    </row>
    <row r="2864" spans="1:6" x14ac:dyDescent="0.3">
      <c r="A2864" t="s">
        <v>2345</v>
      </c>
      <c r="B2864" t="s">
        <v>761</v>
      </c>
      <c r="C2864" t="str">
        <f>HYPERLINK("http://service.sap.com/sap/support/notes/1936644","1936644")</f>
        <v>1936644</v>
      </c>
      <c r="D2864">
        <v>2</v>
      </c>
      <c r="E2864" t="s">
        <v>3267</v>
      </c>
      <c r="F2864" t="s">
        <v>17</v>
      </c>
    </row>
    <row r="2865" spans="1:6" x14ac:dyDescent="0.3">
      <c r="A2865" t="s">
        <v>2345</v>
      </c>
      <c r="B2865" t="s">
        <v>761</v>
      </c>
      <c r="C2865" t="str">
        <f>HYPERLINK("http://service.sap.com/sap/support/notes/1940078","1940078")</f>
        <v>1940078</v>
      </c>
      <c r="D2865">
        <v>3</v>
      </c>
      <c r="E2865" t="s">
        <v>3268</v>
      </c>
      <c r="F2865" t="s">
        <v>13</v>
      </c>
    </row>
    <row r="2866" spans="1:6" x14ac:dyDescent="0.3">
      <c r="A2866" t="s">
        <v>1260</v>
      </c>
      <c r="B2866" t="s">
        <v>1261</v>
      </c>
      <c r="C2866" t="str">
        <f>HYPERLINK("http://service.sap.com/sap/support/notes/1654736","1654736")</f>
        <v>1654736</v>
      </c>
      <c r="D2866">
        <v>1</v>
      </c>
      <c r="E2866" t="s">
        <v>3269</v>
      </c>
      <c r="F2866" t="s">
        <v>13</v>
      </c>
    </row>
    <row r="2867" spans="1:6" x14ac:dyDescent="0.3">
      <c r="A2867" t="s">
        <v>1260</v>
      </c>
      <c r="B2867" t="s">
        <v>1261</v>
      </c>
      <c r="C2867" t="str">
        <f>HYPERLINK("http://service.sap.com/sap/support/notes/1837925","1837925")</f>
        <v>1837925</v>
      </c>
      <c r="D2867">
        <v>4</v>
      </c>
      <c r="E2867" t="s">
        <v>3270</v>
      </c>
      <c r="F2867" t="s">
        <v>13</v>
      </c>
    </row>
    <row r="2868" spans="1:6" x14ac:dyDescent="0.3">
      <c r="A2868" t="s">
        <v>1260</v>
      </c>
      <c r="B2868" t="s">
        <v>1261</v>
      </c>
      <c r="C2868" t="str">
        <f>HYPERLINK("http://service.sap.com/sap/support/notes/1924337","1924337")</f>
        <v>1924337</v>
      </c>
      <c r="D2868">
        <v>3</v>
      </c>
      <c r="E2868" t="s">
        <v>3271</v>
      </c>
      <c r="F2868" t="s">
        <v>17</v>
      </c>
    </row>
    <row r="2869" spans="1:6" x14ac:dyDescent="0.3">
      <c r="A2869" t="s">
        <v>1260</v>
      </c>
      <c r="B2869" t="s">
        <v>1261</v>
      </c>
      <c r="C2869" t="str">
        <f>HYPERLINK("http://service.sap.com/sap/support/notes/1927034","1927034")</f>
        <v>1927034</v>
      </c>
      <c r="D2869">
        <v>3</v>
      </c>
      <c r="E2869" t="s">
        <v>3272</v>
      </c>
      <c r="F2869" t="s">
        <v>17</v>
      </c>
    </row>
    <row r="2870" spans="1:6" x14ac:dyDescent="0.3">
      <c r="A2870" t="s">
        <v>1260</v>
      </c>
      <c r="B2870" t="s">
        <v>1261</v>
      </c>
      <c r="C2870" t="str">
        <f>HYPERLINK("http://service.sap.com/sap/support/notes/1945198","1945198")</f>
        <v>1945198</v>
      </c>
      <c r="D2870">
        <v>3</v>
      </c>
      <c r="E2870" t="s">
        <v>3273</v>
      </c>
      <c r="F2870" t="s">
        <v>17</v>
      </c>
    </row>
    <row r="2871" spans="1:6" x14ac:dyDescent="0.3">
      <c r="A2871" t="s">
        <v>1260</v>
      </c>
      <c r="B2871" t="s">
        <v>1261</v>
      </c>
      <c r="C2871" t="str">
        <f>HYPERLINK("http://service.sap.com/sap/support/notes/1973757","1973757")</f>
        <v>1973757</v>
      </c>
      <c r="D2871">
        <v>2</v>
      </c>
      <c r="E2871" t="s">
        <v>3274</v>
      </c>
      <c r="F2871" t="s">
        <v>17</v>
      </c>
    </row>
    <row r="2872" spans="1:6" x14ac:dyDescent="0.3">
      <c r="A2872" t="s">
        <v>1270</v>
      </c>
      <c r="B2872" t="s">
        <v>1271</v>
      </c>
      <c r="C2872" t="str">
        <f>HYPERLINK("http://service.sap.com/sap/support/notes/1872826","1872826")</f>
        <v>1872826</v>
      </c>
      <c r="D2872">
        <v>1</v>
      </c>
      <c r="E2872" t="s">
        <v>1274</v>
      </c>
      <c r="F2872" t="s">
        <v>17</v>
      </c>
    </row>
    <row r="2873" spans="1:6" x14ac:dyDescent="0.3">
      <c r="A2873" t="s">
        <v>1270</v>
      </c>
      <c r="B2873" t="s">
        <v>1271</v>
      </c>
      <c r="C2873" t="str">
        <f>HYPERLINK("http://service.sap.com/sap/support/notes/1943794","1943794")</f>
        <v>1943794</v>
      </c>
      <c r="D2873">
        <v>5</v>
      </c>
      <c r="E2873" t="s">
        <v>3275</v>
      </c>
      <c r="F2873" t="s">
        <v>17</v>
      </c>
    </row>
    <row r="2874" spans="1:6" x14ac:dyDescent="0.3">
      <c r="A2874" t="s">
        <v>1270</v>
      </c>
      <c r="B2874" t="s">
        <v>1271</v>
      </c>
      <c r="C2874" t="str">
        <f>HYPERLINK("http://service.sap.com/sap/support/notes/1957022","1957022")</f>
        <v>1957022</v>
      </c>
      <c r="D2874">
        <v>5</v>
      </c>
      <c r="E2874" t="s">
        <v>3276</v>
      </c>
      <c r="F2874" t="s">
        <v>11</v>
      </c>
    </row>
    <row r="2875" spans="1:6" x14ac:dyDescent="0.3">
      <c r="A2875" t="s">
        <v>1270</v>
      </c>
      <c r="B2875" t="s">
        <v>1271</v>
      </c>
      <c r="C2875" t="str">
        <f>HYPERLINK("http://service.sap.com/sap/support/notes/1960748","1960748")</f>
        <v>1960748</v>
      </c>
      <c r="D2875">
        <v>3</v>
      </c>
      <c r="E2875" t="s">
        <v>3277</v>
      </c>
      <c r="F2875" t="s">
        <v>17</v>
      </c>
    </row>
    <row r="2876" spans="1:6" x14ac:dyDescent="0.3">
      <c r="A2876" t="s">
        <v>1270</v>
      </c>
      <c r="B2876" t="s">
        <v>1271</v>
      </c>
      <c r="C2876" t="str">
        <f>HYPERLINK("http://service.sap.com/sap/support/notes/1961540","1961540")</f>
        <v>1961540</v>
      </c>
      <c r="D2876">
        <v>5</v>
      </c>
      <c r="E2876" t="s">
        <v>3278</v>
      </c>
      <c r="F2876" t="s">
        <v>17</v>
      </c>
    </row>
    <row r="2877" spans="1:6" x14ac:dyDescent="0.3">
      <c r="A2877" t="s">
        <v>1270</v>
      </c>
      <c r="B2877" t="s">
        <v>1271</v>
      </c>
      <c r="C2877" t="str">
        <f>HYPERLINK("http://service.sap.com/sap/support/notes/1972077","1972077")</f>
        <v>1972077</v>
      </c>
      <c r="D2877">
        <v>2</v>
      </c>
      <c r="E2877" t="s">
        <v>3279</v>
      </c>
      <c r="F2877" t="s">
        <v>17</v>
      </c>
    </row>
    <row r="2878" spans="1:6" x14ac:dyDescent="0.3">
      <c r="A2878" t="s">
        <v>3280</v>
      </c>
      <c r="B2878" t="s">
        <v>3281</v>
      </c>
    </row>
    <row r="2879" spans="1:6" x14ac:dyDescent="0.3">
      <c r="A2879" t="s">
        <v>3282</v>
      </c>
      <c r="B2879" t="s">
        <v>3283</v>
      </c>
      <c r="C2879" t="str">
        <f>HYPERLINK("http://service.sap.com/sap/support/notes/1472523","1472523")</f>
        <v>1472523</v>
      </c>
      <c r="D2879">
        <v>1</v>
      </c>
      <c r="E2879" t="s">
        <v>3284</v>
      </c>
      <c r="F2879" t="s">
        <v>13</v>
      </c>
    </row>
    <row r="2880" spans="1:6" x14ac:dyDescent="0.3">
      <c r="A2880" t="s">
        <v>1288</v>
      </c>
      <c r="B2880" t="s">
        <v>1289</v>
      </c>
    </row>
    <row r="2881" spans="1:6" x14ac:dyDescent="0.3">
      <c r="A2881" t="s">
        <v>1290</v>
      </c>
      <c r="B2881" t="s">
        <v>1291</v>
      </c>
      <c r="C2881" t="str">
        <f>HYPERLINK("http://service.sap.com/sap/support/notes/1942603","1942603")</f>
        <v>1942603</v>
      </c>
      <c r="D2881">
        <v>2</v>
      </c>
      <c r="E2881" t="s">
        <v>3285</v>
      </c>
      <c r="F2881" t="s">
        <v>17</v>
      </c>
    </row>
    <row r="2882" spans="1:6" x14ac:dyDescent="0.3">
      <c r="A2882" t="s">
        <v>1290</v>
      </c>
      <c r="B2882" t="s">
        <v>1291</v>
      </c>
      <c r="C2882" t="str">
        <f>HYPERLINK("http://service.sap.com/sap/support/notes/1956007","1956007")</f>
        <v>1956007</v>
      </c>
      <c r="D2882">
        <v>2</v>
      </c>
      <c r="E2882" t="s">
        <v>3286</v>
      </c>
      <c r="F2882" t="s">
        <v>13</v>
      </c>
    </row>
    <row r="2883" spans="1:6" x14ac:dyDescent="0.3">
      <c r="A2883" t="s">
        <v>1290</v>
      </c>
      <c r="B2883" t="s">
        <v>1291</v>
      </c>
      <c r="C2883" t="str">
        <f>HYPERLINK("http://service.sap.com/sap/support/notes/1984876","1984876")</f>
        <v>1984876</v>
      </c>
      <c r="D2883">
        <v>2</v>
      </c>
      <c r="E2883" t="s">
        <v>3287</v>
      </c>
      <c r="F2883" t="s">
        <v>17</v>
      </c>
    </row>
    <row r="2884" spans="1:6" x14ac:dyDescent="0.3">
      <c r="A2884" t="s">
        <v>1293</v>
      </c>
      <c r="B2884" t="s">
        <v>1294</v>
      </c>
      <c r="C2884" t="str">
        <f>HYPERLINK("http://service.sap.com/sap/support/notes/1928767","1928767")</f>
        <v>1928767</v>
      </c>
      <c r="D2884">
        <v>3</v>
      </c>
      <c r="E2884" t="s">
        <v>3288</v>
      </c>
      <c r="F2884" t="s">
        <v>13</v>
      </c>
    </row>
    <row r="2885" spans="1:6" x14ac:dyDescent="0.3">
      <c r="A2885" t="s">
        <v>1293</v>
      </c>
      <c r="B2885" t="s">
        <v>1294</v>
      </c>
      <c r="C2885" t="str">
        <f>HYPERLINK("http://service.sap.com/sap/support/notes/1938523","1938523")</f>
        <v>1938523</v>
      </c>
      <c r="D2885">
        <v>2</v>
      </c>
      <c r="E2885" t="s">
        <v>3289</v>
      </c>
      <c r="F2885" t="s">
        <v>13</v>
      </c>
    </row>
    <row r="2886" spans="1:6" x14ac:dyDescent="0.3">
      <c r="A2886" t="s">
        <v>1300</v>
      </c>
      <c r="B2886" t="s">
        <v>1301</v>
      </c>
      <c r="C2886" t="str">
        <f>HYPERLINK("http://service.sap.com/sap/support/notes/1944467","1944467")</f>
        <v>1944467</v>
      </c>
      <c r="D2886">
        <v>2</v>
      </c>
      <c r="E2886" t="s">
        <v>3290</v>
      </c>
      <c r="F2886" t="s">
        <v>17</v>
      </c>
    </row>
    <row r="2887" spans="1:6" x14ac:dyDescent="0.3">
      <c r="A2887" t="s">
        <v>1300</v>
      </c>
      <c r="B2887" t="s">
        <v>1301</v>
      </c>
      <c r="C2887" t="str">
        <f>HYPERLINK("http://service.sap.com/sap/support/notes/1988720","1988720")</f>
        <v>1988720</v>
      </c>
      <c r="D2887">
        <v>1</v>
      </c>
      <c r="E2887" t="s">
        <v>3291</v>
      </c>
      <c r="F2887" t="s">
        <v>17</v>
      </c>
    </row>
    <row r="2888" spans="1:6" x14ac:dyDescent="0.3">
      <c r="A2888" t="s">
        <v>1300</v>
      </c>
      <c r="B2888" t="s">
        <v>1301</v>
      </c>
      <c r="C2888" t="str">
        <f>HYPERLINK("http://service.sap.com/sap/support/notes/1989615","1989615")</f>
        <v>1989615</v>
      </c>
      <c r="D2888">
        <v>1</v>
      </c>
      <c r="E2888" t="s">
        <v>3292</v>
      </c>
      <c r="F2888" t="s">
        <v>17</v>
      </c>
    </row>
    <row r="2889" spans="1:6" x14ac:dyDescent="0.3">
      <c r="A2889" t="s">
        <v>1326</v>
      </c>
      <c r="B2889" t="s">
        <v>1327</v>
      </c>
    </row>
    <row r="2890" spans="1:6" x14ac:dyDescent="0.3">
      <c r="A2890" t="s">
        <v>1328</v>
      </c>
      <c r="B2890" t="s">
        <v>1329</v>
      </c>
    </row>
    <row r="2891" spans="1:6" x14ac:dyDescent="0.3">
      <c r="A2891" t="s">
        <v>1334</v>
      </c>
      <c r="B2891" t="s">
        <v>1335</v>
      </c>
      <c r="C2891" t="str">
        <f>HYPERLINK("http://service.sap.com/sap/support/notes/1940726","1940726")</f>
        <v>1940726</v>
      </c>
      <c r="D2891">
        <v>3</v>
      </c>
      <c r="E2891" t="s">
        <v>3293</v>
      </c>
      <c r="F2891" t="s">
        <v>17</v>
      </c>
    </row>
    <row r="2892" spans="1:6" x14ac:dyDescent="0.3">
      <c r="A2892" t="s">
        <v>1334</v>
      </c>
      <c r="B2892" t="s">
        <v>1335</v>
      </c>
      <c r="C2892" t="str">
        <f>HYPERLINK("http://service.sap.com/sap/support/notes/1950090","1950090")</f>
        <v>1950090</v>
      </c>
      <c r="D2892">
        <v>3</v>
      </c>
      <c r="E2892" t="s">
        <v>3294</v>
      </c>
      <c r="F2892" t="s">
        <v>17</v>
      </c>
    </row>
    <row r="2893" spans="1:6" x14ac:dyDescent="0.3">
      <c r="A2893" t="s">
        <v>1334</v>
      </c>
      <c r="B2893" t="s">
        <v>1335</v>
      </c>
      <c r="C2893" t="str">
        <f>HYPERLINK("http://service.sap.com/sap/support/notes/1953752","1953752")</f>
        <v>1953752</v>
      </c>
      <c r="D2893">
        <v>2</v>
      </c>
      <c r="E2893" t="s">
        <v>3295</v>
      </c>
      <c r="F2893" t="s">
        <v>17</v>
      </c>
    </row>
    <row r="2894" spans="1:6" x14ac:dyDescent="0.3">
      <c r="A2894" t="s">
        <v>1334</v>
      </c>
      <c r="B2894" t="s">
        <v>1335</v>
      </c>
      <c r="C2894" t="str">
        <f>HYPERLINK("http://service.sap.com/sap/support/notes/1987144","1987144")</f>
        <v>1987144</v>
      </c>
      <c r="D2894">
        <v>2</v>
      </c>
      <c r="E2894" t="s">
        <v>3296</v>
      </c>
      <c r="F2894" t="s">
        <v>17</v>
      </c>
    </row>
    <row r="2895" spans="1:6" x14ac:dyDescent="0.3">
      <c r="A2895" t="s">
        <v>1350</v>
      </c>
      <c r="B2895" t="s">
        <v>1351</v>
      </c>
    </row>
    <row r="2896" spans="1:6" x14ac:dyDescent="0.3">
      <c r="A2896" t="s">
        <v>1352</v>
      </c>
      <c r="B2896" t="s">
        <v>1353</v>
      </c>
    </row>
    <row r="2897" spans="1:6" x14ac:dyDescent="0.3">
      <c r="A2897" t="s">
        <v>1354</v>
      </c>
      <c r="B2897" t="s">
        <v>1355</v>
      </c>
      <c r="C2897" t="str">
        <f>HYPERLINK("http://service.sap.com/sap/support/notes/1939018","1939018")</f>
        <v>1939018</v>
      </c>
      <c r="D2897">
        <v>5</v>
      </c>
      <c r="E2897" t="s">
        <v>3297</v>
      </c>
      <c r="F2897" t="s">
        <v>13</v>
      </c>
    </row>
    <row r="2898" spans="1:6" x14ac:dyDescent="0.3">
      <c r="A2898" t="s">
        <v>1354</v>
      </c>
      <c r="B2898" t="s">
        <v>1355</v>
      </c>
      <c r="C2898" t="str">
        <f>HYPERLINK("http://service.sap.com/sap/support/notes/1944232","1944232")</f>
        <v>1944232</v>
      </c>
      <c r="D2898">
        <v>3</v>
      </c>
      <c r="E2898" t="s">
        <v>3298</v>
      </c>
      <c r="F2898" t="s">
        <v>13</v>
      </c>
    </row>
    <row r="2899" spans="1:6" x14ac:dyDescent="0.3">
      <c r="A2899" t="s">
        <v>1354</v>
      </c>
      <c r="B2899" t="s">
        <v>1355</v>
      </c>
      <c r="C2899" t="str">
        <f>HYPERLINK("http://service.sap.com/sap/support/notes/1990179","1990179")</f>
        <v>1990179</v>
      </c>
      <c r="D2899">
        <v>2</v>
      </c>
      <c r="E2899" t="s">
        <v>3299</v>
      </c>
      <c r="F2899" t="s">
        <v>17</v>
      </c>
    </row>
    <row r="2900" spans="1:6" x14ac:dyDescent="0.3">
      <c r="A2900" t="s">
        <v>3300</v>
      </c>
      <c r="B2900" t="s">
        <v>3301</v>
      </c>
    </row>
    <row r="2901" spans="1:6" x14ac:dyDescent="0.3">
      <c r="A2901" t="s">
        <v>3302</v>
      </c>
      <c r="B2901" t="s">
        <v>3303</v>
      </c>
      <c r="C2901" t="str">
        <f>HYPERLINK("http://service.sap.com/sap/support/notes/1973199","1973199")</f>
        <v>1973199</v>
      </c>
      <c r="D2901">
        <v>1</v>
      </c>
      <c r="E2901" t="s">
        <v>3304</v>
      </c>
      <c r="F2901" t="s">
        <v>17</v>
      </c>
    </row>
    <row r="2902" spans="1:6" x14ac:dyDescent="0.3">
      <c r="A2902" t="s">
        <v>1364</v>
      </c>
      <c r="B2902" t="s">
        <v>1365</v>
      </c>
    </row>
    <row r="2903" spans="1:6" x14ac:dyDescent="0.3">
      <c r="A2903" t="s">
        <v>1366</v>
      </c>
      <c r="B2903" t="s">
        <v>1367</v>
      </c>
    </row>
    <row r="2904" spans="1:6" x14ac:dyDescent="0.3">
      <c r="A2904" t="s">
        <v>1368</v>
      </c>
      <c r="B2904" t="s">
        <v>1369</v>
      </c>
      <c r="C2904" t="str">
        <f>HYPERLINK("http://service.sap.com/sap/support/notes/1770994","1770994")</f>
        <v>1770994</v>
      </c>
      <c r="D2904">
        <v>2</v>
      </c>
      <c r="E2904" t="s">
        <v>3305</v>
      </c>
      <c r="F2904" t="s">
        <v>13</v>
      </c>
    </row>
    <row r="2905" spans="1:6" x14ac:dyDescent="0.3">
      <c r="A2905" t="s">
        <v>1368</v>
      </c>
      <c r="B2905" t="s">
        <v>1369</v>
      </c>
      <c r="C2905" t="str">
        <f>HYPERLINK("http://service.sap.com/sap/support/notes/1946346","1946346")</f>
        <v>1946346</v>
      </c>
      <c r="D2905">
        <v>2</v>
      </c>
      <c r="E2905" t="s">
        <v>3306</v>
      </c>
      <c r="F2905" t="s">
        <v>17</v>
      </c>
    </row>
    <row r="2906" spans="1:6" x14ac:dyDescent="0.3">
      <c r="A2906" t="s">
        <v>3307</v>
      </c>
      <c r="B2906" t="s">
        <v>3308</v>
      </c>
      <c r="C2906" t="str">
        <f>HYPERLINK("http://service.sap.com/sap/support/notes/1980033","1980033")</f>
        <v>1980033</v>
      </c>
      <c r="D2906">
        <v>1</v>
      </c>
      <c r="E2906" t="s">
        <v>3309</v>
      </c>
      <c r="F2906" t="s">
        <v>17</v>
      </c>
    </row>
    <row r="2907" spans="1:6" x14ac:dyDescent="0.3">
      <c r="A2907" t="s">
        <v>1371</v>
      </c>
      <c r="B2907" t="s">
        <v>1367</v>
      </c>
    </row>
    <row r="2908" spans="1:6" x14ac:dyDescent="0.3">
      <c r="A2908" t="s">
        <v>1372</v>
      </c>
      <c r="B2908" t="s">
        <v>1373</v>
      </c>
      <c r="C2908" t="str">
        <f>HYPERLINK("http://service.sap.com/sap/support/notes/1934455","1934455")</f>
        <v>1934455</v>
      </c>
      <c r="D2908">
        <v>5</v>
      </c>
      <c r="E2908" t="s">
        <v>3310</v>
      </c>
      <c r="F2908" t="s">
        <v>11</v>
      </c>
    </row>
    <row r="2909" spans="1:6" x14ac:dyDescent="0.3">
      <c r="A2909" t="s">
        <v>1372</v>
      </c>
      <c r="B2909" t="s">
        <v>1373</v>
      </c>
      <c r="C2909" t="str">
        <f>HYPERLINK("http://service.sap.com/sap/support/notes/1972712","1972712")</f>
        <v>1972712</v>
      </c>
      <c r="D2909">
        <v>2</v>
      </c>
      <c r="E2909" t="s">
        <v>3311</v>
      </c>
      <c r="F2909" t="s">
        <v>17</v>
      </c>
    </row>
    <row r="2910" spans="1:6" x14ac:dyDescent="0.3">
      <c r="A2910" t="s">
        <v>3312</v>
      </c>
      <c r="B2910" t="s">
        <v>243</v>
      </c>
    </row>
    <row r="2911" spans="1:6" x14ac:dyDescent="0.3">
      <c r="A2911" t="s">
        <v>3313</v>
      </c>
      <c r="B2911" t="s">
        <v>3314</v>
      </c>
      <c r="C2911" t="str">
        <f>HYPERLINK("http://service.sap.com/sap/support/notes/1944025","1944025")</f>
        <v>1944025</v>
      </c>
      <c r="D2911">
        <v>3</v>
      </c>
      <c r="E2911" t="s">
        <v>3315</v>
      </c>
      <c r="F2911" t="s">
        <v>17</v>
      </c>
    </row>
    <row r="2912" spans="1:6" x14ac:dyDescent="0.3">
      <c r="A2912" t="s">
        <v>3316</v>
      </c>
      <c r="B2912" t="s">
        <v>3317</v>
      </c>
      <c r="C2912" t="str">
        <f>HYPERLINK("http://service.sap.com/sap/support/notes/1980287","1980287")</f>
        <v>1980287</v>
      </c>
      <c r="D2912">
        <v>1</v>
      </c>
      <c r="E2912" t="s">
        <v>3318</v>
      </c>
      <c r="F2912" t="s">
        <v>17</v>
      </c>
    </row>
    <row r="2913" spans="1:6" x14ac:dyDescent="0.3">
      <c r="A2913" t="s">
        <v>1375</v>
      </c>
      <c r="B2913" t="s">
        <v>1376</v>
      </c>
    </row>
    <row r="2914" spans="1:6" x14ac:dyDescent="0.3">
      <c r="A2914" t="s">
        <v>1377</v>
      </c>
      <c r="B2914" t="s">
        <v>1378</v>
      </c>
      <c r="C2914" t="str">
        <f>HYPERLINK("http://service.sap.com/sap/support/notes/1987226","1987226")</f>
        <v>1987226</v>
      </c>
      <c r="D2914">
        <v>2</v>
      </c>
      <c r="E2914" t="s">
        <v>3319</v>
      </c>
      <c r="F2914" t="s">
        <v>17</v>
      </c>
    </row>
    <row r="2915" spans="1:6" x14ac:dyDescent="0.3">
      <c r="A2915" t="s">
        <v>1380</v>
      </c>
      <c r="B2915" t="s">
        <v>2389</v>
      </c>
      <c r="C2915" t="str">
        <f>HYPERLINK("http://service.sap.com/sap/support/notes/1933255","1933255")</f>
        <v>1933255</v>
      </c>
      <c r="D2915">
        <v>7</v>
      </c>
      <c r="E2915" t="s">
        <v>2390</v>
      </c>
      <c r="F2915" t="s">
        <v>11</v>
      </c>
    </row>
    <row r="2916" spans="1:6" x14ac:dyDescent="0.3">
      <c r="A2916" t="s">
        <v>1380</v>
      </c>
      <c r="B2916" t="s">
        <v>2389</v>
      </c>
      <c r="C2916" t="str">
        <f>HYPERLINK("http://service.sap.com/sap/support/notes/1933756","1933756")</f>
        <v>1933756</v>
      </c>
      <c r="D2916">
        <v>8</v>
      </c>
      <c r="E2916" t="s">
        <v>3320</v>
      </c>
      <c r="F2916" t="s">
        <v>17</v>
      </c>
    </row>
    <row r="2917" spans="1:6" x14ac:dyDescent="0.3">
      <c r="A2917" t="s">
        <v>1380</v>
      </c>
      <c r="B2917" t="s">
        <v>2389</v>
      </c>
      <c r="C2917" t="str">
        <f>HYPERLINK("http://service.sap.com/sap/support/notes/1933757","1933757")</f>
        <v>1933757</v>
      </c>
      <c r="D2917">
        <v>9</v>
      </c>
      <c r="E2917" t="s">
        <v>3321</v>
      </c>
      <c r="F2917" t="s">
        <v>17</v>
      </c>
    </row>
    <row r="2918" spans="1:6" x14ac:dyDescent="0.3">
      <c r="A2918" t="s">
        <v>1380</v>
      </c>
      <c r="B2918" t="s">
        <v>2389</v>
      </c>
      <c r="C2918" t="str">
        <f>HYPERLINK("http://service.sap.com/sap/support/notes/1940821","1940821")</f>
        <v>1940821</v>
      </c>
      <c r="D2918">
        <v>9</v>
      </c>
      <c r="E2918" t="s">
        <v>3322</v>
      </c>
      <c r="F2918" t="s">
        <v>17</v>
      </c>
    </row>
    <row r="2919" spans="1:6" x14ac:dyDescent="0.3">
      <c r="A2919" t="s">
        <v>1380</v>
      </c>
      <c r="B2919" t="s">
        <v>2389</v>
      </c>
      <c r="C2919" t="str">
        <f>HYPERLINK("http://service.sap.com/sap/support/notes/1942953","1942953")</f>
        <v>1942953</v>
      </c>
      <c r="D2919">
        <v>6</v>
      </c>
      <c r="E2919" t="s">
        <v>3323</v>
      </c>
      <c r="F2919" t="s">
        <v>17</v>
      </c>
    </row>
    <row r="2920" spans="1:6" x14ac:dyDescent="0.3">
      <c r="A2920" t="s">
        <v>1380</v>
      </c>
      <c r="B2920" t="s">
        <v>2389</v>
      </c>
      <c r="C2920" t="str">
        <f>HYPERLINK("http://service.sap.com/sap/support/notes/1944384","1944384")</f>
        <v>1944384</v>
      </c>
      <c r="D2920">
        <v>10</v>
      </c>
      <c r="E2920" t="s">
        <v>3323</v>
      </c>
      <c r="F2920" t="s">
        <v>17</v>
      </c>
    </row>
    <row r="2921" spans="1:6" x14ac:dyDescent="0.3">
      <c r="A2921" t="s">
        <v>1380</v>
      </c>
      <c r="B2921" t="s">
        <v>2389</v>
      </c>
      <c r="C2921" t="str">
        <f>HYPERLINK("http://service.sap.com/sap/support/notes/1944952","1944952")</f>
        <v>1944952</v>
      </c>
      <c r="D2921">
        <v>7</v>
      </c>
      <c r="E2921" t="s">
        <v>2841</v>
      </c>
      <c r="F2921" t="s">
        <v>17</v>
      </c>
    </row>
    <row r="2922" spans="1:6" x14ac:dyDescent="0.3">
      <c r="A2922" t="s">
        <v>1380</v>
      </c>
      <c r="B2922" t="s">
        <v>2389</v>
      </c>
      <c r="C2922" t="str">
        <f>HYPERLINK("http://service.sap.com/sap/support/notes/1949635","1949635")</f>
        <v>1949635</v>
      </c>
      <c r="D2922">
        <v>10</v>
      </c>
      <c r="E2922" t="s">
        <v>3324</v>
      </c>
      <c r="F2922" t="s">
        <v>17</v>
      </c>
    </row>
    <row r="2923" spans="1:6" x14ac:dyDescent="0.3">
      <c r="A2923" t="s">
        <v>1380</v>
      </c>
      <c r="B2923" t="s">
        <v>2389</v>
      </c>
      <c r="C2923" t="str">
        <f>HYPERLINK("http://service.sap.com/sap/support/notes/1967907","1967907")</f>
        <v>1967907</v>
      </c>
      <c r="D2923">
        <v>3</v>
      </c>
      <c r="E2923" t="s">
        <v>3325</v>
      </c>
      <c r="F2923" t="s">
        <v>17</v>
      </c>
    </row>
    <row r="2924" spans="1:6" x14ac:dyDescent="0.3">
      <c r="A2924" t="s">
        <v>1380</v>
      </c>
      <c r="B2924" t="s">
        <v>2389</v>
      </c>
      <c r="C2924" t="str">
        <f>HYPERLINK("http://service.sap.com/sap/support/notes/1971836","1971836")</f>
        <v>1971836</v>
      </c>
      <c r="D2924">
        <v>1</v>
      </c>
      <c r="E2924" t="s">
        <v>3326</v>
      </c>
      <c r="F2924" t="s">
        <v>17</v>
      </c>
    </row>
    <row r="2925" spans="1:6" x14ac:dyDescent="0.3">
      <c r="A2925" t="s">
        <v>1380</v>
      </c>
      <c r="B2925" t="s">
        <v>2389</v>
      </c>
      <c r="C2925" t="str">
        <f>HYPERLINK("http://service.sap.com/sap/support/notes/1982362","1982362")</f>
        <v>1982362</v>
      </c>
      <c r="D2925">
        <v>1</v>
      </c>
      <c r="E2925" t="s">
        <v>3327</v>
      </c>
      <c r="F2925" t="s">
        <v>17</v>
      </c>
    </row>
    <row r="2926" spans="1:6" x14ac:dyDescent="0.3">
      <c r="A2926" t="s">
        <v>1380</v>
      </c>
      <c r="B2926" t="s">
        <v>2389</v>
      </c>
      <c r="C2926" t="str">
        <f>HYPERLINK("http://service.sap.com/sap/support/notes/1983273","1983273")</f>
        <v>1983273</v>
      </c>
      <c r="D2926">
        <v>1</v>
      </c>
      <c r="E2926" t="s">
        <v>3328</v>
      </c>
      <c r="F2926" t="s">
        <v>17</v>
      </c>
    </row>
    <row r="2927" spans="1:6" x14ac:dyDescent="0.3">
      <c r="A2927" t="s">
        <v>1385</v>
      </c>
      <c r="B2927" t="s">
        <v>845</v>
      </c>
    </row>
    <row r="2928" spans="1:6" x14ac:dyDescent="0.3">
      <c r="A2928" t="s">
        <v>3329</v>
      </c>
      <c r="B2928" t="s">
        <v>2089</v>
      </c>
      <c r="C2928" t="str">
        <f>HYPERLINK("http://service.sap.com/sap/support/notes/1977629","1977629")</f>
        <v>1977629</v>
      </c>
      <c r="D2928">
        <v>2</v>
      </c>
      <c r="E2928" t="s">
        <v>3330</v>
      </c>
      <c r="F2928" t="s">
        <v>17</v>
      </c>
    </row>
    <row r="2929" spans="1:6" x14ac:dyDescent="0.3">
      <c r="A2929" t="s">
        <v>1394</v>
      </c>
      <c r="B2929" t="s">
        <v>1395</v>
      </c>
    </row>
    <row r="2930" spans="1:6" x14ac:dyDescent="0.3">
      <c r="A2930" t="s">
        <v>1396</v>
      </c>
      <c r="B2930" t="s">
        <v>1397</v>
      </c>
      <c r="C2930" t="str">
        <f>HYPERLINK("http://service.sap.com/sap/support/notes/1958549","1958549")</f>
        <v>1958549</v>
      </c>
      <c r="D2930">
        <v>3</v>
      </c>
      <c r="E2930" t="s">
        <v>3331</v>
      </c>
      <c r="F2930" t="s">
        <v>17</v>
      </c>
    </row>
    <row r="2931" spans="1:6" x14ac:dyDescent="0.3">
      <c r="A2931" t="s">
        <v>2394</v>
      </c>
      <c r="B2931" t="s">
        <v>243</v>
      </c>
      <c r="C2931" t="str">
        <f>HYPERLINK("http://service.sap.com/sap/support/notes/1958204","1958204")</f>
        <v>1958204</v>
      </c>
      <c r="D2931">
        <v>5</v>
      </c>
      <c r="E2931" t="s">
        <v>3332</v>
      </c>
      <c r="F2931" t="s">
        <v>17</v>
      </c>
    </row>
    <row r="2932" spans="1:6" x14ac:dyDescent="0.3">
      <c r="A2932" t="s">
        <v>2394</v>
      </c>
      <c r="B2932" t="s">
        <v>243</v>
      </c>
      <c r="C2932" t="str">
        <f>HYPERLINK("http://service.sap.com/sap/support/notes/1979104","1979104")</f>
        <v>1979104</v>
      </c>
      <c r="D2932">
        <v>2</v>
      </c>
      <c r="E2932" t="s">
        <v>3333</v>
      </c>
      <c r="F2932" t="s">
        <v>17</v>
      </c>
    </row>
    <row r="2933" spans="1:6" x14ac:dyDescent="0.3">
      <c r="A2933" t="s">
        <v>2396</v>
      </c>
      <c r="B2933" t="s">
        <v>138</v>
      </c>
      <c r="C2933" t="str">
        <f>HYPERLINK("http://service.sap.com/sap/support/notes/1862207","1862207")</f>
        <v>1862207</v>
      </c>
      <c r="D2933">
        <v>1</v>
      </c>
      <c r="E2933" t="s">
        <v>3334</v>
      </c>
      <c r="F2933" t="s">
        <v>17</v>
      </c>
    </row>
    <row r="2934" spans="1:6" x14ac:dyDescent="0.3">
      <c r="A2934" t="s">
        <v>2396</v>
      </c>
      <c r="B2934" t="s">
        <v>138</v>
      </c>
      <c r="C2934" t="str">
        <f>HYPERLINK("http://service.sap.com/sap/support/notes/1976864","1976864")</f>
        <v>1976864</v>
      </c>
      <c r="D2934">
        <v>1</v>
      </c>
      <c r="E2934" t="s">
        <v>3335</v>
      </c>
      <c r="F2934" t="s">
        <v>17</v>
      </c>
    </row>
    <row r="2935" spans="1:6" x14ac:dyDescent="0.3">
      <c r="A2935" t="s">
        <v>1400</v>
      </c>
      <c r="B2935" t="s">
        <v>1401</v>
      </c>
    </row>
    <row r="2936" spans="1:6" x14ac:dyDescent="0.3">
      <c r="A2936" t="s">
        <v>1402</v>
      </c>
      <c r="B2936" t="s">
        <v>1403</v>
      </c>
    </row>
    <row r="2937" spans="1:6" x14ac:dyDescent="0.3">
      <c r="A2937" t="s">
        <v>1404</v>
      </c>
      <c r="B2937" t="s">
        <v>1405</v>
      </c>
      <c r="C2937" t="str">
        <f>HYPERLINK("http://service.sap.com/sap/support/notes/1944079","1944079")</f>
        <v>1944079</v>
      </c>
      <c r="D2937">
        <v>2</v>
      </c>
      <c r="E2937" t="s">
        <v>3336</v>
      </c>
      <c r="F2937" t="s">
        <v>17</v>
      </c>
    </row>
    <row r="2938" spans="1:6" x14ac:dyDescent="0.3">
      <c r="A2938" t="s">
        <v>1404</v>
      </c>
      <c r="B2938" t="s">
        <v>1405</v>
      </c>
      <c r="C2938" t="str">
        <f>HYPERLINK("http://service.sap.com/sap/support/notes/1950823","1950823")</f>
        <v>1950823</v>
      </c>
      <c r="D2938">
        <v>2</v>
      </c>
      <c r="E2938" t="s">
        <v>3337</v>
      </c>
      <c r="F2938" t="s">
        <v>17</v>
      </c>
    </row>
    <row r="2939" spans="1:6" x14ac:dyDescent="0.3">
      <c r="A2939" t="s">
        <v>1404</v>
      </c>
      <c r="B2939" t="s">
        <v>1405</v>
      </c>
      <c r="C2939" t="str">
        <f>HYPERLINK("http://service.sap.com/sap/support/notes/1957416","1957416")</f>
        <v>1957416</v>
      </c>
      <c r="D2939">
        <v>2</v>
      </c>
      <c r="E2939" t="s">
        <v>2401</v>
      </c>
      <c r="F2939" t="s">
        <v>17</v>
      </c>
    </row>
    <row r="2940" spans="1:6" x14ac:dyDescent="0.3">
      <c r="A2940" t="s">
        <v>1411</v>
      </c>
      <c r="B2940" t="s">
        <v>1412</v>
      </c>
      <c r="C2940" t="str">
        <f>HYPERLINK("http://service.sap.com/sap/support/notes/1920566","1920566")</f>
        <v>1920566</v>
      </c>
      <c r="D2940">
        <v>8</v>
      </c>
      <c r="E2940" t="s">
        <v>3338</v>
      </c>
      <c r="F2940" t="s">
        <v>11</v>
      </c>
    </row>
    <row r="2941" spans="1:6" x14ac:dyDescent="0.3">
      <c r="A2941" t="s">
        <v>1411</v>
      </c>
      <c r="B2941" t="s">
        <v>1412</v>
      </c>
      <c r="C2941" t="str">
        <f>HYPERLINK("http://service.sap.com/sap/support/notes/1928891","1928891")</f>
        <v>1928891</v>
      </c>
      <c r="D2941">
        <v>4</v>
      </c>
      <c r="E2941" t="s">
        <v>3339</v>
      </c>
      <c r="F2941" t="s">
        <v>11</v>
      </c>
    </row>
    <row r="2942" spans="1:6" x14ac:dyDescent="0.3">
      <c r="A2942" t="s">
        <v>1411</v>
      </c>
      <c r="B2942" t="s">
        <v>1412</v>
      </c>
      <c r="C2942" t="str">
        <f>HYPERLINK("http://service.sap.com/sap/support/notes/1949895","1949895")</f>
        <v>1949895</v>
      </c>
      <c r="D2942">
        <v>1</v>
      </c>
      <c r="E2942" t="s">
        <v>3340</v>
      </c>
      <c r="F2942" t="s">
        <v>13</v>
      </c>
    </row>
    <row r="2943" spans="1:6" x14ac:dyDescent="0.3">
      <c r="A2943" t="s">
        <v>1411</v>
      </c>
      <c r="B2943" t="s">
        <v>1412</v>
      </c>
      <c r="C2943" t="str">
        <f>HYPERLINK("http://service.sap.com/sap/support/notes/1953383","1953383")</f>
        <v>1953383</v>
      </c>
      <c r="D2943">
        <v>3</v>
      </c>
      <c r="E2943" t="s">
        <v>3341</v>
      </c>
      <c r="F2943" t="s">
        <v>17</v>
      </c>
    </row>
    <row r="2944" spans="1:6" x14ac:dyDescent="0.3">
      <c r="A2944" t="s">
        <v>1411</v>
      </c>
      <c r="B2944" t="s">
        <v>1412</v>
      </c>
      <c r="C2944" t="str">
        <f>HYPERLINK("http://service.sap.com/sap/support/notes/1954835","1954835")</f>
        <v>1954835</v>
      </c>
      <c r="D2944">
        <v>2</v>
      </c>
      <c r="E2944" t="s">
        <v>3342</v>
      </c>
      <c r="F2944" t="s">
        <v>17</v>
      </c>
    </row>
    <row r="2945" spans="1:6" x14ac:dyDescent="0.3">
      <c r="A2945" t="s">
        <v>1411</v>
      </c>
      <c r="B2945" t="s">
        <v>1412</v>
      </c>
      <c r="C2945" t="str">
        <f>HYPERLINK("http://service.sap.com/sap/support/notes/1955109","1955109")</f>
        <v>1955109</v>
      </c>
      <c r="D2945">
        <v>1</v>
      </c>
      <c r="E2945" t="s">
        <v>3343</v>
      </c>
      <c r="F2945" t="s">
        <v>17</v>
      </c>
    </row>
    <row r="2946" spans="1:6" x14ac:dyDescent="0.3">
      <c r="A2946" t="s">
        <v>1411</v>
      </c>
      <c r="B2946" t="s">
        <v>1412</v>
      </c>
      <c r="C2946" t="str">
        <f>HYPERLINK("http://service.sap.com/sap/support/notes/1957320","1957320")</f>
        <v>1957320</v>
      </c>
      <c r="D2946">
        <v>7</v>
      </c>
      <c r="E2946" t="s">
        <v>3344</v>
      </c>
      <c r="F2946" t="s">
        <v>17</v>
      </c>
    </row>
    <row r="2947" spans="1:6" x14ac:dyDescent="0.3">
      <c r="A2947" t="s">
        <v>1411</v>
      </c>
      <c r="B2947" t="s">
        <v>1412</v>
      </c>
      <c r="C2947" t="str">
        <f>HYPERLINK("http://service.sap.com/sap/support/notes/1957974","1957974")</f>
        <v>1957974</v>
      </c>
      <c r="D2947">
        <v>4</v>
      </c>
      <c r="E2947" t="s">
        <v>3345</v>
      </c>
      <c r="F2947" t="s">
        <v>17</v>
      </c>
    </row>
    <row r="2948" spans="1:6" x14ac:dyDescent="0.3">
      <c r="A2948" t="s">
        <v>1411</v>
      </c>
      <c r="B2948" t="s">
        <v>1412</v>
      </c>
      <c r="C2948" t="str">
        <f>HYPERLINK("http://service.sap.com/sap/support/notes/1961925","1961925")</f>
        <v>1961925</v>
      </c>
      <c r="D2948">
        <v>2</v>
      </c>
      <c r="E2948" t="s">
        <v>3346</v>
      </c>
      <c r="F2948" t="s">
        <v>17</v>
      </c>
    </row>
    <row r="2949" spans="1:6" x14ac:dyDescent="0.3">
      <c r="A2949" t="s">
        <v>1411</v>
      </c>
      <c r="B2949" t="s">
        <v>1412</v>
      </c>
      <c r="C2949" t="str">
        <f>HYPERLINK("http://service.sap.com/sap/support/notes/1966265","1966265")</f>
        <v>1966265</v>
      </c>
      <c r="D2949">
        <v>2</v>
      </c>
      <c r="E2949" t="s">
        <v>3347</v>
      </c>
      <c r="F2949" t="s">
        <v>17</v>
      </c>
    </row>
    <row r="2950" spans="1:6" x14ac:dyDescent="0.3">
      <c r="A2950" t="s">
        <v>1411</v>
      </c>
      <c r="B2950" t="s">
        <v>1412</v>
      </c>
      <c r="C2950" t="str">
        <f>HYPERLINK("http://service.sap.com/sap/support/notes/1985289","1985289")</f>
        <v>1985289</v>
      </c>
      <c r="D2950">
        <v>1</v>
      </c>
      <c r="E2950" t="s">
        <v>3348</v>
      </c>
      <c r="F2950" t="s">
        <v>17</v>
      </c>
    </row>
    <row r="2951" spans="1:6" x14ac:dyDescent="0.3">
      <c r="A2951" t="s">
        <v>3349</v>
      </c>
      <c r="B2951" t="s">
        <v>3350</v>
      </c>
      <c r="C2951" t="str">
        <f>HYPERLINK("http://service.sap.com/sap/support/notes/1949946","1949946")</f>
        <v>1949946</v>
      </c>
      <c r="D2951">
        <v>11</v>
      </c>
      <c r="E2951" t="s">
        <v>3351</v>
      </c>
      <c r="F2951" t="s">
        <v>17</v>
      </c>
    </row>
    <row r="2952" spans="1:6" x14ac:dyDescent="0.3">
      <c r="A2952" t="s">
        <v>3349</v>
      </c>
      <c r="B2952" t="s">
        <v>3350</v>
      </c>
      <c r="C2952" t="str">
        <f>HYPERLINK("http://service.sap.com/sap/support/notes/1982345","1982345")</f>
        <v>1982345</v>
      </c>
      <c r="D2952">
        <v>2</v>
      </c>
      <c r="E2952" t="s">
        <v>3352</v>
      </c>
      <c r="F2952" t="s">
        <v>17</v>
      </c>
    </row>
    <row r="2953" spans="1:6" x14ac:dyDescent="0.3">
      <c r="A2953" t="s">
        <v>1420</v>
      </c>
      <c r="B2953" t="s">
        <v>1421</v>
      </c>
    </row>
    <row r="2954" spans="1:6" x14ac:dyDescent="0.3">
      <c r="A2954" t="s">
        <v>1422</v>
      </c>
      <c r="B2954" t="s">
        <v>1423</v>
      </c>
      <c r="C2954" t="str">
        <f>HYPERLINK("http://service.sap.com/sap/support/notes/1954683","1954683")</f>
        <v>1954683</v>
      </c>
      <c r="D2954">
        <v>4</v>
      </c>
      <c r="E2954" t="s">
        <v>3353</v>
      </c>
      <c r="F2954" t="s">
        <v>17</v>
      </c>
    </row>
    <row r="2955" spans="1:6" x14ac:dyDescent="0.3">
      <c r="A2955" t="s">
        <v>1422</v>
      </c>
      <c r="B2955" t="s">
        <v>1423</v>
      </c>
      <c r="C2955" t="str">
        <f>HYPERLINK("http://service.sap.com/sap/support/notes/1965644","1965644")</f>
        <v>1965644</v>
      </c>
      <c r="D2955">
        <v>3</v>
      </c>
      <c r="E2955" t="s">
        <v>3354</v>
      </c>
      <c r="F2955" t="s">
        <v>17</v>
      </c>
    </row>
    <row r="2956" spans="1:6" x14ac:dyDescent="0.3">
      <c r="A2956" t="s">
        <v>1428</v>
      </c>
      <c r="B2956" t="s">
        <v>1429</v>
      </c>
      <c r="C2956" t="str">
        <f>HYPERLINK("http://service.sap.com/sap/support/notes/1973911","1973911")</f>
        <v>1973911</v>
      </c>
      <c r="D2956">
        <v>2</v>
      </c>
      <c r="E2956" t="s">
        <v>3355</v>
      </c>
      <c r="F2956" t="s">
        <v>17</v>
      </c>
    </row>
    <row r="2957" spans="1:6" x14ac:dyDescent="0.3">
      <c r="A2957" t="s">
        <v>1428</v>
      </c>
      <c r="B2957" t="s">
        <v>1429</v>
      </c>
      <c r="C2957" t="str">
        <f>HYPERLINK("http://service.sap.com/sap/support/notes/1976218","1976218")</f>
        <v>1976218</v>
      </c>
      <c r="D2957">
        <v>1</v>
      </c>
      <c r="E2957" t="s">
        <v>3356</v>
      </c>
      <c r="F2957" t="s">
        <v>17</v>
      </c>
    </row>
    <row r="2958" spans="1:6" x14ac:dyDescent="0.3">
      <c r="A2958" t="s">
        <v>1428</v>
      </c>
      <c r="B2958" t="s">
        <v>1429</v>
      </c>
      <c r="C2958" t="str">
        <f>HYPERLINK("http://service.sap.com/sap/support/notes/1980124","1980124")</f>
        <v>1980124</v>
      </c>
      <c r="D2958">
        <v>1</v>
      </c>
      <c r="E2958" t="s">
        <v>3357</v>
      </c>
      <c r="F2958" t="s">
        <v>17</v>
      </c>
    </row>
    <row r="2959" spans="1:6" x14ac:dyDescent="0.3">
      <c r="A2959" t="s">
        <v>3358</v>
      </c>
      <c r="B2959" t="s">
        <v>3359</v>
      </c>
      <c r="C2959" t="str">
        <f>HYPERLINK("http://service.sap.com/sap/support/notes/1987726","1987726")</f>
        <v>1987726</v>
      </c>
      <c r="D2959">
        <v>1</v>
      </c>
      <c r="E2959" t="s">
        <v>3360</v>
      </c>
      <c r="F2959" t="s">
        <v>17</v>
      </c>
    </row>
    <row r="2960" spans="1:6" x14ac:dyDescent="0.3">
      <c r="A2960" t="s">
        <v>1432</v>
      </c>
      <c r="B2960" t="s">
        <v>1433</v>
      </c>
    </row>
    <row r="2961" spans="1:6" x14ac:dyDescent="0.3">
      <c r="A2961" t="s">
        <v>1434</v>
      </c>
      <c r="B2961" t="s">
        <v>1435</v>
      </c>
    </row>
    <row r="2962" spans="1:6" x14ac:dyDescent="0.3">
      <c r="A2962" t="s">
        <v>3361</v>
      </c>
      <c r="B2962" t="s">
        <v>1455</v>
      </c>
      <c r="C2962" t="str">
        <f>HYPERLINK("http://service.sap.com/sap/support/notes/1644409","1644409")</f>
        <v>1644409</v>
      </c>
      <c r="D2962">
        <v>9</v>
      </c>
      <c r="E2962" t="s">
        <v>3362</v>
      </c>
      <c r="F2962" t="s">
        <v>17</v>
      </c>
    </row>
    <row r="2963" spans="1:6" x14ac:dyDescent="0.3">
      <c r="A2963" t="s">
        <v>1448</v>
      </c>
      <c r="B2963" t="s">
        <v>1449</v>
      </c>
    </row>
    <row r="2964" spans="1:6" x14ac:dyDescent="0.3">
      <c r="A2964" t="s">
        <v>1451</v>
      </c>
      <c r="B2964" t="s">
        <v>1452</v>
      </c>
      <c r="C2964" t="str">
        <f>HYPERLINK("http://service.sap.com/sap/support/notes/1980921","1980921")</f>
        <v>1980921</v>
      </c>
      <c r="D2964">
        <v>1</v>
      </c>
      <c r="E2964" t="s">
        <v>3363</v>
      </c>
      <c r="F2964" t="s">
        <v>17</v>
      </c>
    </row>
    <row r="2965" spans="1:6" x14ac:dyDescent="0.3">
      <c r="A2965" t="s">
        <v>1454</v>
      </c>
      <c r="B2965" t="s">
        <v>1455</v>
      </c>
      <c r="C2965" t="str">
        <f>HYPERLINK("http://service.sap.com/sap/support/notes/1962179","1962179")</f>
        <v>1962179</v>
      </c>
      <c r="D2965">
        <v>2</v>
      </c>
      <c r="E2965" t="s">
        <v>3364</v>
      </c>
      <c r="F2965" t="s">
        <v>17</v>
      </c>
    </row>
    <row r="2966" spans="1:6" x14ac:dyDescent="0.3">
      <c r="A2966" t="s">
        <v>1458</v>
      </c>
      <c r="B2966" t="s">
        <v>1459</v>
      </c>
      <c r="C2966" t="str">
        <f>HYPERLINK("http://service.sap.com/sap/support/notes/1962754","1962754")</f>
        <v>1962754</v>
      </c>
      <c r="D2966">
        <v>4</v>
      </c>
      <c r="E2966" t="s">
        <v>3365</v>
      </c>
      <c r="F2966" t="s">
        <v>17</v>
      </c>
    </row>
    <row r="2967" spans="1:6" x14ac:dyDescent="0.3">
      <c r="A2967" t="s">
        <v>1458</v>
      </c>
      <c r="B2967" t="s">
        <v>1459</v>
      </c>
      <c r="C2967" t="str">
        <f>HYPERLINK("http://service.sap.com/sap/support/notes/1983026","1983026")</f>
        <v>1983026</v>
      </c>
      <c r="D2967">
        <v>1</v>
      </c>
      <c r="E2967" t="s">
        <v>3366</v>
      </c>
      <c r="F2967" t="s">
        <v>13</v>
      </c>
    </row>
    <row r="2968" spans="1:6" x14ac:dyDescent="0.3">
      <c r="A2968" t="s">
        <v>3367</v>
      </c>
      <c r="B2968" t="s">
        <v>3368</v>
      </c>
      <c r="C2968" t="str">
        <f>HYPERLINK("http://service.sap.com/sap/support/notes/1966289","1966289")</f>
        <v>1966289</v>
      </c>
      <c r="D2968">
        <v>2</v>
      </c>
      <c r="E2968" t="s">
        <v>3369</v>
      </c>
      <c r="F2968" t="s">
        <v>17</v>
      </c>
    </row>
    <row r="2969" spans="1:6" x14ac:dyDescent="0.3">
      <c r="A2969" t="s">
        <v>1465</v>
      </c>
      <c r="B2969" t="s">
        <v>1466</v>
      </c>
    </row>
    <row r="2970" spans="1:6" x14ac:dyDescent="0.3">
      <c r="A2970" t="s">
        <v>1467</v>
      </c>
      <c r="B2970" t="s">
        <v>1468</v>
      </c>
    </row>
    <row r="2971" spans="1:6" x14ac:dyDescent="0.3">
      <c r="A2971" t="s">
        <v>1469</v>
      </c>
      <c r="B2971" t="s">
        <v>1470</v>
      </c>
    </row>
    <row r="2972" spans="1:6" x14ac:dyDescent="0.3">
      <c r="A2972" t="s">
        <v>2431</v>
      </c>
      <c r="B2972" t="s">
        <v>61</v>
      </c>
      <c r="C2972" t="str">
        <f>HYPERLINK("http://service.sap.com/sap/support/notes/1955070","1955070")</f>
        <v>1955070</v>
      </c>
      <c r="D2972">
        <v>2</v>
      </c>
      <c r="E2972" t="s">
        <v>3370</v>
      </c>
      <c r="F2972" t="s">
        <v>17</v>
      </c>
    </row>
    <row r="2973" spans="1:6" x14ac:dyDescent="0.3">
      <c r="A2973" t="s">
        <v>1483</v>
      </c>
      <c r="B2973" t="s">
        <v>1484</v>
      </c>
    </row>
    <row r="2974" spans="1:6" x14ac:dyDescent="0.3">
      <c r="A2974" t="s">
        <v>3371</v>
      </c>
      <c r="B2974" t="s">
        <v>63</v>
      </c>
      <c r="C2974" t="str">
        <f>HYPERLINK("http://service.sap.com/sap/support/notes/1956717","1956717")</f>
        <v>1956717</v>
      </c>
      <c r="D2974">
        <v>2</v>
      </c>
      <c r="E2974" t="s">
        <v>3372</v>
      </c>
      <c r="F2974" t="s">
        <v>17</v>
      </c>
    </row>
    <row r="2975" spans="1:6" x14ac:dyDescent="0.3">
      <c r="A2975" t="s">
        <v>1494</v>
      </c>
      <c r="B2975" t="s">
        <v>1495</v>
      </c>
    </row>
    <row r="2976" spans="1:6" x14ac:dyDescent="0.3">
      <c r="A2976" t="s">
        <v>1496</v>
      </c>
      <c r="B2976" t="s">
        <v>61</v>
      </c>
      <c r="C2976" t="str">
        <f>HYPERLINK("http://service.sap.com/sap/support/notes/1947011","1947011")</f>
        <v>1947011</v>
      </c>
      <c r="D2976">
        <v>1</v>
      </c>
      <c r="E2976" t="s">
        <v>3373</v>
      </c>
      <c r="F2976" t="s">
        <v>17</v>
      </c>
    </row>
    <row r="2977" spans="1:6" x14ac:dyDescent="0.3">
      <c r="A2977" t="s">
        <v>1496</v>
      </c>
      <c r="B2977" t="s">
        <v>61</v>
      </c>
      <c r="C2977" t="str">
        <f>HYPERLINK("http://service.sap.com/sap/support/notes/1959110","1959110")</f>
        <v>1959110</v>
      </c>
      <c r="D2977">
        <v>1</v>
      </c>
      <c r="E2977" t="s">
        <v>3373</v>
      </c>
      <c r="F2977" t="s">
        <v>17</v>
      </c>
    </row>
    <row r="2978" spans="1:6" x14ac:dyDescent="0.3">
      <c r="A2978" t="s">
        <v>1500</v>
      </c>
      <c r="B2978" t="s">
        <v>1501</v>
      </c>
    </row>
    <row r="2979" spans="1:6" x14ac:dyDescent="0.3">
      <c r="A2979" t="s">
        <v>1505</v>
      </c>
      <c r="B2979" t="s">
        <v>1506</v>
      </c>
      <c r="C2979" t="str">
        <f>HYPERLINK("http://service.sap.com/sap/support/notes/1957101","1957101")</f>
        <v>1957101</v>
      </c>
      <c r="D2979">
        <v>1</v>
      </c>
      <c r="E2979" t="s">
        <v>3374</v>
      </c>
      <c r="F2979" t="s">
        <v>17</v>
      </c>
    </row>
    <row r="2980" spans="1:6" x14ac:dyDescent="0.3">
      <c r="A2980" t="s">
        <v>1505</v>
      </c>
      <c r="B2980" t="s">
        <v>1506</v>
      </c>
      <c r="C2980" t="str">
        <f>HYPERLINK("http://service.sap.com/sap/support/notes/1963123","1963123")</f>
        <v>1963123</v>
      </c>
      <c r="D2980">
        <v>4</v>
      </c>
      <c r="E2980" t="s">
        <v>3375</v>
      </c>
      <c r="F2980" t="s">
        <v>11</v>
      </c>
    </row>
    <row r="2981" spans="1:6" x14ac:dyDescent="0.3">
      <c r="A2981" t="s">
        <v>1505</v>
      </c>
      <c r="B2981" t="s">
        <v>1506</v>
      </c>
      <c r="C2981" t="str">
        <f>HYPERLINK("http://service.sap.com/sap/support/notes/1971858","1971858")</f>
        <v>1971858</v>
      </c>
      <c r="D2981">
        <v>2</v>
      </c>
      <c r="E2981" t="s">
        <v>3376</v>
      </c>
      <c r="F2981" t="s">
        <v>17</v>
      </c>
    </row>
    <row r="2982" spans="1:6" x14ac:dyDescent="0.3">
      <c r="A2982" t="s">
        <v>1505</v>
      </c>
      <c r="B2982" t="s">
        <v>1506</v>
      </c>
      <c r="C2982" t="str">
        <f>HYPERLINK("http://service.sap.com/sap/support/notes/1982091","1982091")</f>
        <v>1982091</v>
      </c>
      <c r="D2982">
        <v>1</v>
      </c>
      <c r="E2982" t="s">
        <v>3377</v>
      </c>
      <c r="F2982" t="s">
        <v>17</v>
      </c>
    </row>
    <row r="2983" spans="1:6" x14ac:dyDescent="0.3">
      <c r="A2983" t="s">
        <v>1505</v>
      </c>
      <c r="B2983" t="s">
        <v>1506</v>
      </c>
      <c r="C2983" t="str">
        <f>HYPERLINK("http://service.sap.com/sap/support/notes/1984083","1984083")</f>
        <v>1984083</v>
      </c>
      <c r="D2983">
        <v>1</v>
      </c>
      <c r="E2983" t="s">
        <v>3378</v>
      </c>
      <c r="F2983" t="s">
        <v>17</v>
      </c>
    </row>
    <row r="2984" spans="1:6" x14ac:dyDescent="0.3">
      <c r="A2984" t="s">
        <v>1513</v>
      </c>
      <c r="B2984" t="s">
        <v>61</v>
      </c>
      <c r="C2984" t="str">
        <f>HYPERLINK("http://service.sap.com/sap/support/notes/1935787","1935787")</f>
        <v>1935787</v>
      </c>
      <c r="D2984">
        <v>5</v>
      </c>
      <c r="E2984" t="s">
        <v>2448</v>
      </c>
      <c r="F2984" t="s">
        <v>17</v>
      </c>
    </row>
    <row r="2985" spans="1:6" x14ac:dyDescent="0.3">
      <c r="A2985" t="s">
        <v>1513</v>
      </c>
      <c r="B2985" t="s">
        <v>61</v>
      </c>
      <c r="C2985" t="str">
        <f>HYPERLINK("http://service.sap.com/sap/support/notes/1949040","1949040")</f>
        <v>1949040</v>
      </c>
      <c r="D2985">
        <v>3</v>
      </c>
      <c r="E2985" t="s">
        <v>3379</v>
      </c>
      <c r="F2985" t="s">
        <v>17</v>
      </c>
    </row>
    <row r="2986" spans="1:6" x14ac:dyDescent="0.3">
      <c r="A2986" t="s">
        <v>1513</v>
      </c>
      <c r="B2986" t="s">
        <v>61</v>
      </c>
      <c r="C2986" t="str">
        <f>HYPERLINK("http://service.sap.com/sap/support/notes/1959958","1959958")</f>
        <v>1959958</v>
      </c>
      <c r="D2986">
        <v>2</v>
      </c>
      <c r="E2986" t="s">
        <v>3380</v>
      </c>
      <c r="F2986" t="s">
        <v>17</v>
      </c>
    </row>
    <row r="2987" spans="1:6" x14ac:dyDescent="0.3">
      <c r="A2987" t="s">
        <v>1513</v>
      </c>
      <c r="B2987" t="s">
        <v>61</v>
      </c>
      <c r="C2987" t="str">
        <f>HYPERLINK("http://service.sap.com/sap/support/notes/1960026","1960026")</f>
        <v>1960026</v>
      </c>
      <c r="D2987">
        <v>4</v>
      </c>
      <c r="E2987" t="s">
        <v>3381</v>
      </c>
      <c r="F2987" t="s">
        <v>17</v>
      </c>
    </row>
    <row r="2988" spans="1:6" x14ac:dyDescent="0.3">
      <c r="A2988" t="s">
        <v>1513</v>
      </c>
      <c r="B2988" t="s">
        <v>61</v>
      </c>
      <c r="C2988" t="str">
        <f>HYPERLINK("http://service.sap.com/sap/support/notes/1960542","1960542")</f>
        <v>1960542</v>
      </c>
      <c r="D2988">
        <v>3</v>
      </c>
      <c r="E2988" t="s">
        <v>3382</v>
      </c>
      <c r="F2988" t="s">
        <v>17</v>
      </c>
    </row>
    <row r="2989" spans="1:6" x14ac:dyDescent="0.3">
      <c r="A2989" t="s">
        <v>1513</v>
      </c>
      <c r="B2989" t="s">
        <v>61</v>
      </c>
      <c r="C2989" t="str">
        <f>HYPERLINK("http://service.sap.com/sap/support/notes/1965488","1965488")</f>
        <v>1965488</v>
      </c>
      <c r="D2989">
        <v>1</v>
      </c>
      <c r="E2989" t="s">
        <v>3383</v>
      </c>
      <c r="F2989" t="s">
        <v>17</v>
      </c>
    </row>
    <row r="2990" spans="1:6" x14ac:dyDescent="0.3">
      <c r="A2990" t="s">
        <v>1513</v>
      </c>
      <c r="B2990" t="s">
        <v>61</v>
      </c>
      <c r="C2990" t="str">
        <f>HYPERLINK("http://service.sap.com/sap/support/notes/1965619","1965619")</f>
        <v>1965619</v>
      </c>
      <c r="D2990">
        <v>2</v>
      </c>
      <c r="E2990" t="s">
        <v>3384</v>
      </c>
      <c r="F2990" t="s">
        <v>17</v>
      </c>
    </row>
    <row r="2991" spans="1:6" x14ac:dyDescent="0.3">
      <c r="A2991" t="s">
        <v>1513</v>
      </c>
      <c r="B2991" t="s">
        <v>61</v>
      </c>
      <c r="C2991" t="str">
        <f>HYPERLINK("http://service.sap.com/sap/support/notes/1967500","1967500")</f>
        <v>1967500</v>
      </c>
      <c r="D2991">
        <v>2</v>
      </c>
      <c r="E2991" t="s">
        <v>3385</v>
      </c>
      <c r="F2991" t="s">
        <v>17</v>
      </c>
    </row>
    <row r="2992" spans="1:6" x14ac:dyDescent="0.3">
      <c r="A2992" t="s">
        <v>1513</v>
      </c>
      <c r="B2992" t="s">
        <v>61</v>
      </c>
      <c r="C2992" t="str">
        <f>HYPERLINK("http://service.sap.com/sap/support/notes/1970059","1970059")</f>
        <v>1970059</v>
      </c>
      <c r="D2992">
        <v>2</v>
      </c>
      <c r="E2992" t="s">
        <v>3386</v>
      </c>
      <c r="F2992" t="s">
        <v>17</v>
      </c>
    </row>
    <row r="2993" spans="1:6" x14ac:dyDescent="0.3">
      <c r="A2993" t="s">
        <v>1513</v>
      </c>
      <c r="B2993" t="s">
        <v>61</v>
      </c>
      <c r="C2993" t="str">
        <f>HYPERLINK("http://service.sap.com/sap/support/notes/1970472","1970472")</f>
        <v>1970472</v>
      </c>
      <c r="D2993">
        <v>2</v>
      </c>
      <c r="E2993" t="s">
        <v>3387</v>
      </c>
      <c r="F2993" t="s">
        <v>17</v>
      </c>
    </row>
    <row r="2994" spans="1:6" x14ac:dyDescent="0.3">
      <c r="A2994" t="s">
        <v>1513</v>
      </c>
      <c r="B2994" t="s">
        <v>61</v>
      </c>
      <c r="C2994" t="str">
        <f>HYPERLINK("http://service.sap.com/sap/support/notes/1977164","1977164")</f>
        <v>1977164</v>
      </c>
      <c r="D2994">
        <v>2</v>
      </c>
      <c r="E2994" t="s">
        <v>3388</v>
      </c>
      <c r="F2994" t="s">
        <v>17</v>
      </c>
    </row>
    <row r="2995" spans="1:6" x14ac:dyDescent="0.3">
      <c r="A2995" t="s">
        <v>1513</v>
      </c>
      <c r="B2995" t="s">
        <v>61</v>
      </c>
      <c r="C2995" t="str">
        <f>HYPERLINK("http://service.sap.com/sap/support/notes/1981689","1981689")</f>
        <v>1981689</v>
      </c>
      <c r="D2995">
        <v>1</v>
      </c>
      <c r="E2995" t="s">
        <v>3389</v>
      </c>
      <c r="F2995" t="s">
        <v>17</v>
      </c>
    </row>
    <row r="2996" spans="1:6" x14ac:dyDescent="0.3">
      <c r="A2996" t="s">
        <v>1513</v>
      </c>
      <c r="B2996" t="s">
        <v>61</v>
      </c>
      <c r="C2996" t="str">
        <f>HYPERLINK("http://service.sap.com/sap/support/notes/1989957","1989957")</f>
        <v>1989957</v>
      </c>
      <c r="D2996">
        <v>1</v>
      </c>
      <c r="E2996" t="s">
        <v>3390</v>
      </c>
      <c r="F2996" t="s">
        <v>17</v>
      </c>
    </row>
    <row r="2997" spans="1:6" x14ac:dyDescent="0.3">
      <c r="A2997" t="s">
        <v>1530</v>
      </c>
      <c r="B2997" t="s">
        <v>1531</v>
      </c>
      <c r="C2997" t="str">
        <f>HYPERLINK("http://service.sap.com/sap/support/notes/1861468","1861468")</f>
        <v>1861468</v>
      </c>
      <c r="D2997">
        <v>1</v>
      </c>
      <c r="E2997" t="s">
        <v>1532</v>
      </c>
      <c r="F2997" t="s">
        <v>17</v>
      </c>
    </row>
    <row r="2998" spans="1:6" x14ac:dyDescent="0.3">
      <c r="A2998" t="s">
        <v>1533</v>
      </c>
      <c r="B2998" t="s">
        <v>1534</v>
      </c>
    </row>
    <row r="2999" spans="1:6" x14ac:dyDescent="0.3">
      <c r="A2999" t="s">
        <v>3391</v>
      </c>
      <c r="B2999" t="s">
        <v>61</v>
      </c>
      <c r="C2999" t="str">
        <f>HYPERLINK("http://service.sap.com/sap/support/notes/1930047","1930047")</f>
        <v>1930047</v>
      </c>
      <c r="D2999">
        <v>6</v>
      </c>
      <c r="E2999" t="s">
        <v>3392</v>
      </c>
      <c r="F2999" t="s">
        <v>11</v>
      </c>
    </row>
    <row r="3000" spans="1:6" x14ac:dyDescent="0.3">
      <c r="A3000" t="s">
        <v>3391</v>
      </c>
      <c r="B3000" t="s">
        <v>61</v>
      </c>
      <c r="C3000" t="str">
        <f>HYPERLINK("http://service.sap.com/sap/support/notes/1975025","1975025")</f>
        <v>1975025</v>
      </c>
      <c r="D3000">
        <v>1</v>
      </c>
      <c r="E3000" t="s">
        <v>3393</v>
      </c>
      <c r="F3000" t="s">
        <v>13</v>
      </c>
    </row>
    <row r="3001" spans="1:6" x14ac:dyDescent="0.3">
      <c r="A3001" t="s">
        <v>1535</v>
      </c>
      <c r="B3001" t="s">
        <v>1536</v>
      </c>
      <c r="C3001" t="str">
        <f>HYPERLINK("http://service.sap.com/sap/support/notes/1979274","1979274")</f>
        <v>1979274</v>
      </c>
      <c r="D3001">
        <v>1</v>
      </c>
      <c r="E3001" t="s">
        <v>3394</v>
      </c>
      <c r="F3001" t="s">
        <v>17</v>
      </c>
    </row>
    <row r="3002" spans="1:6" x14ac:dyDescent="0.3">
      <c r="A3002" t="s">
        <v>1535</v>
      </c>
      <c r="B3002" t="s">
        <v>1536</v>
      </c>
      <c r="C3002" t="str">
        <f>HYPERLINK("http://service.sap.com/sap/support/notes/1987712","1987712")</f>
        <v>1987712</v>
      </c>
      <c r="D3002">
        <v>2</v>
      </c>
      <c r="E3002" t="s">
        <v>3395</v>
      </c>
      <c r="F3002" t="s">
        <v>17</v>
      </c>
    </row>
    <row r="3003" spans="1:6" x14ac:dyDescent="0.3">
      <c r="A3003" t="s">
        <v>1538</v>
      </c>
      <c r="B3003" t="s">
        <v>1539</v>
      </c>
    </row>
    <row r="3004" spans="1:6" x14ac:dyDescent="0.3">
      <c r="A3004" t="s">
        <v>1541</v>
      </c>
      <c r="B3004" t="s">
        <v>61</v>
      </c>
      <c r="C3004" t="str">
        <f>HYPERLINK("http://service.sap.com/sap/support/notes/1951917","1951917")</f>
        <v>1951917</v>
      </c>
      <c r="D3004">
        <v>2</v>
      </c>
      <c r="E3004" t="s">
        <v>3396</v>
      </c>
      <c r="F3004" t="s">
        <v>17</v>
      </c>
    </row>
    <row r="3005" spans="1:6" x14ac:dyDescent="0.3">
      <c r="A3005" t="s">
        <v>1541</v>
      </c>
      <c r="B3005" t="s">
        <v>61</v>
      </c>
      <c r="C3005" t="str">
        <f>HYPERLINK("http://service.sap.com/sap/support/notes/1959077","1959077")</f>
        <v>1959077</v>
      </c>
      <c r="D3005">
        <v>2</v>
      </c>
      <c r="E3005" t="s">
        <v>3397</v>
      </c>
      <c r="F3005" t="s">
        <v>17</v>
      </c>
    </row>
    <row r="3006" spans="1:6" x14ac:dyDescent="0.3">
      <c r="A3006" t="s">
        <v>1541</v>
      </c>
      <c r="B3006" t="s">
        <v>61</v>
      </c>
      <c r="C3006" t="str">
        <f>HYPERLINK("http://service.sap.com/sap/support/notes/1966288","1966288")</f>
        <v>1966288</v>
      </c>
      <c r="D3006">
        <v>1</v>
      </c>
      <c r="E3006" t="s">
        <v>3398</v>
      </c>
      <c r="F3006" t="s">
        <v>11</v>
      </c>
    </row>
    <row r="3007" spans="1:6" x14ac:dyDescent="0.3">
      <c r="A3007" t="s">
        <v>1541</v>
      </c>
      <c r="B3007" t="s">
        <v>61</v>
      </c>
      <c r="C3007" t="str">
        <f>HYPERLINK("http://service.sap.com/sap/support/notes/1966352","1966352")</f>
        <v>1966352</v>
      </c>
      <c r="D3007">
        <v>6</v>
      </c>
      <c r="E3007" t="s">
        <v>3399</v>
      </c>
      <c r="F3007" t="s">
        <v>17</v>
      </c>
    </row>
    <row r="3008" spans="1:6" x14ac:dyDescent="0.3">
      <c r="A3008" t="s">
        <v>1541</v>
      </c>
      <c r="B3008" t="s">
        <v>61</v>
      </c>
      <c r="C3008" t="str">
        <f>HYPERLINK("http://service.sap.com/sap/support/notes/1966589","1966589")</f>
        <v>1966589</v>
      </c>
      <c r="D3008">
        <v>8</v>
      </c>
      <c r="E3008" t="s">
        <v>3400</v>
      </c>
      <c r="F3008" t="s">
        <v>17</v>
      </c>
    </row>
    <row r="3009" spans="1:6" x14ac:dyDescent="0.3">
      <c r="A3009" t="s">
        <v>1541</v>
      </c>
      <c r="B3009" t="s">
        <v>61</v>
      </c>
      <c r="C3009" t="str">
        <f>HYPERLINK("http://service.sap.com/sap/support/notes/1974861","1974861")</f>
        <v>1974861</v>
      </c>
      <c r="D3009">
        <v>3</v>
      </c>
      <c r="E3009" t="s">
        <v>3401</v>
      </c>
      <c r="F3009" t="s">
        <v>17</v>
      </c>
    </row>
    <row r="3010" spans="1:6" x14ac:dyDescent="0.3">
      <c r="A3010" t="s">
        <v>1541</v>
      </c>
      <c r="B3010" t="s">
        <v>61</v>
      </c>
      <c r="C3010" t="str">
        <f>HYPERLINK("http://service.sap.com/sap/support/notes/1977856","1977856")</f>
        <v>1977856</v>
      </c>
      <c r="D3010">
        <v>2</v>
      </c>
      <c r="E3010" t="s">
        <v>3402</v>
      </c>
      <c r="F3010" t="s">
        <v>17</v>
      </c>
    </row>
    <row r="3011" spans="1:6" x14ac:dyDescent="0.3">
      <c r="A3011" t="s">
        <v>1541</v>
      </c>
      <c r="B3011" t="s">
        <v>61</v>
      </c>
      <c r="C3011" t="str">
        <f>HYPERLINK("http://service.sap.com/sap/support/notes/1980893","1980893")</f>
        <v>1980893</v>
      </c>
      <c r="D3011">
        <v>4</v>
      </c>
      <c r="E3011" t="s">
        <v>3403</v>
      </c>
      <c r="F3011" t="s">
        <v>17</v>
      </c>
    </row>
    <row r="3012" spans="1:6" x14ac:dyDescent="0.3">
      <c r="A3012" t="s">
        <v>1541</v>
      </c>
      <c r="B3012" t="s">
        <v>61</v>
      </c>
      <c r="C3012" t="str">
        <f>HYPERLINK("http://service.sap.com/sap/support/notes/1988624","1988624")</f>
        <v>1988624</v>
      </c>
      <c r="D3012">
        <v>4</v>
      </c>
      <c r="E3012" t="s">
        <v>3404</v>
      </c>
      <c r="F3012" t="s">
        <v>17</v>
      </c>
    </row>
    <row r="3013" spans="1:6" x14ac:dyDescent="0.3">
      <c r="A3013" t="s">
        <v>1544</v>
      </c>
      <c r="B3013" t="s">
        <v>1545</v>
      </c>
      <c r="C3013" t="str">
        <f>HYPERLINK("http://service.sap.com/sap/support/notes/1914318","1914318")</f>
        <v>1914318</v>
      </c>
      <c r="D3013">
        <v>3</v>
      </c>
      <c r="E3013" t="s">
        <v>3405</v>
      </c>
      <c r="F3013" t="s">
        <v>17</v>
      </c>
    </row>
    <row r="3014" spans="1:6" x14ac:dyDescent="0.3">
      <c r="A3014" t="s">
        <v>1555</v>
      </c>
      <c r="B3014" t="s">
        <v>1556</v>
      </c>
    </row>
    <row r="3015" spans="1:6" x14ac:dyDescent="0.3">
      <c r="A3015" t="s">
        <v>1558</v>
      </c>
      <c r="B3015" t="s">
        <v>61</v>
      </c>
      <c r="C3015" t="str">
        <f>HYPERLINK("http://service.sap.com/sap/support/notes/1870569","1870569")</f>
        <v>1870569</v>
      </c>
      <c r="D3015">
        <v>3</v>
      </c>
      <c r="E3015" t="s">
        <v>1559</v>
      </c>
      <c r="F3015" t="s">
        <v>17</v>
      </c>
    </row>
    <row r="3016" spans="1:6" x14ac:dyDescent="0.3">
      <c r="A3016" t="s">
        <v>1558</v>
      </c>
      <c r="B3016" t="s">
        <v>61</v>
      </c>
      <c r="C3016" t="str">
        <f>HYPERLINK("http://service.sap.com/sap/support/notes/1905526","1905526")</f>
        <v>1905526</v>
      </c>
      <c r="D3016">
        <v>3</v>
      </c>
      <c r="E3016" t="s">
        <v>3406</v>
      </c>
      <c r="F3016" t="s">
        <v>17</v>
      </c>
    </row>
    <row r="3017" spans="1:6" x14ac:dyDescent="0.3">
      <c r="A3017" t="s">
        <v>1558</v>
      </c>
      <c r="B3017" t="s">
        <v>61</v>
      </c>
      <c r="C3017" t="str">
        <f>HYPERLINK("http://service.sap.com/sap/support/notes/1978724","1978724")</f>
        <v>1978724</v>
      </c>
      <c r="D3017">
        <v>2</v>
      </c>
      <c r="E3017" t="s">
        <v>3407</v>
      </c>
      <c r="F3017" t="s">
        <v>17</v>
      </c>
    </row>
    <row r="3018" spans="1:6" x14ac:dyDescent="0.3">
      <c r="A3018" t="s">
        <v>1558</v>
      </c>
      <c r="B3018" t="s">
        <v>61</v>
      </c>
      <c r="C3018" t="str">
        <f>HYPERLINK("http://service.sap.com/sap/support/notes/1990306","1990306")</f>
        <v>1990306</v>
      </c>
      <c r="D3018">
        <v>1</v>
      </c>
      <c r="E3018" t="s">
        <v>3408</v>
      </c>
      <c r="F3018" t="s">
        <v>17</v>
      </c>
    </row>
    <row r="3019" spans="1:6" x14ac:dyDescent="0.3">
      <c r="A3019" t="s">
        <v>1565</v>
      </c>
      <c r="B3019" t="s">
        <v>1536</v>
      </c>
      <c r="C3019" t="str">
        <f>HYPERLINK("http://service.sap.com/sap/support/notes/1963461","1963461")</f>
        <v>1963461</v>
      </c>
      <c r="D3019">
        <v>1</v>
      </c>
      <c r="E3019" t="s">
        <v>3409</v>
      </c>
      <c r="F3019" t="s">
        <v>17</v>
      </c>
    </row>
    <row r="3020" spans="1:6" x14ac:dyDescent="0.3">
      <c r="A3020" t="s">
        <v>3410</v>
      </c>
      <c r="B3020" t="s">
        <v>3411</v>
      </c>
      <c r="C3020" t="str">
        <f>HYPERLINK("http://service.sap.com/sap/support/notes/1856053","1856053")</f>
        <v>1856053</v>
      </c>
      <c r="D3020">
        <v>3</v>
      </c>
      <c r="E3020" t="s">
        <v>3412</v>
      </c>
      <c r="F3020" t="s">
        <v>17</v>
      </c>
    </row>
    <row r="3021" spans="1:6" x14ac:dyDescent="0.3">
      <c r="A3021" t="s">
        <v>3410</v>
      </c>
      <c r="B3021" t="s">
        <v>3411</v>
      </c>
      <c r="C3021" t="str">
        <f>HYPERLINK("http://service.sap.com/sap/support/notes/1932791","1932791")</f>
        <v>1932791</v>
      </c>
      <c r="D3021">
        <v>2</v>
      </c>
      <c r="E3021" t="s">
        <v>3413</v>
      </c>
      <c r="F3021" t="s">
        <v>17</v>
      </c>
    </row>
    <row r="3022" spans="1:6" x14ac:dyDescent="0.3">
      <c r="A3022" t="s">
        <v>1567</v>
      </c>
      <c r="B3022" t="s">
        <v>1568</v>
      </c>
    </row>
    <row r="3023" spans="1:6" x14ac:dyDescent="0.3">
      <c r="A3023" t="s">
        <v>1569</v>
      </c>
      <c r="B3023" t="s">
        <v>1480</v>
      </c>
      <c r="C3023" t="str">
        <f>HYPERLINK("http://service.sap.com/sap/support/notes/1903079","1903079")</f>
        <v>1903079</v>
      </c>
      <c r="D3023">
        <v>2</v>
      </c>
      <c r="E3023" t="s">
        <v>3414</v>
      </c>
      <c r="F3023" t="s">
        <v>11</v>
      </c>
    </row>
    <row r="3024" spans="1:6" x14ac:dyDescent="0.3">
      <c r="A3024" t="s">
        <v>1569</v>
      </c>
      <c r="B3024" t="s">
        <v>1480</v>
      </c>
      <c r="C3024" t="str">
        <f>HYPERLINK("http://service.sap.com/sap/support/notes/1905108","1905108")</f>
        <v>1905108</v>
      </c>
      <c r="D3024">
        <v>1</v>
      </c>
      <c r="E3024" t="s">
        <v>3415</v>
      </c>
      <c r="F3024" t="s">
        <v>11</v>
      </c>
    </row>
    <row r="3025" spans="1:6" x14ac:dyDescent="0.3">
      <c r="A3025" t="s">
        <v>1569</v>
      </c>
      <c r="B3025" t="s">
        <v>1480</v>
      </c>
      <c r="C3025" t="str">
        <f>HYPERLINK("http://service.sap.com/sap/support/notes/1939742","1939742")</f>
        <v>1939742</v>
      </c>
      <c r="D3025">
        <v>2</v>
      </c>
      <c r="E3025" t="s">
        <v>3416</v>
      </c>
      <c r="F3025" t="s">
        <v>17</v>
      </c>
    </row>
    <row r="3026" spans="1:6" x14ac:dyDescent="0.3">
      <c r="A3026" t="s">
        <v>1569</v>
      </c>
      <c r="B3026" t="s">
        <v>1480</v>
      </c>
      <c r="C3026" t="str">
        <f>HYPERLINK("http://service.sap.com/sap/support/notes/1941901","1941901")</f>
        <v>1941901</v>
      </c>
      <c r="D3026">
        <v>2</v>
      </c>
      <c r="E3026" t="s">
        <v>3417</v>
      </c>
      <c r="F3026" t="s">
        <v>17</v>
      </c>
    </row>
    <row r="3027" spans="1:6" x14ac:dyDescent="0.3">
      <c r="A3027" t="s">
        <v>1569</v>
      </c>
      <c r="B3027" t="s">
        <v>1480</v>
      </c>
      <c r="C3027" t="str">
        <f>HYPERLINK("http://service.sap.com/sap/support/notes/1945137","1945137")</f>
        <v>1945137</v>
      </c>
      <c r="D3027">
        <v>2</v>
      </c>
      <c r="E3027" t="s">
        <v>3418</v>
      </c>
      <c r="F3027" t="s">
        <v>17</v>
      </c>
    </row>
    <row r="3028" spans="1:6" x14ac:dyDescent="0.3">
      <c r="A3028" t="s">
        <v>1569</v>
      </c>
      <c r="B3028" t="s">
        <v>1480</v>
      </c>
      <c r="C3028" t="str">
        <f>HYPERLINK("http://service.sap.com/sap/support/notes/1949222","1949222")</f>
        <v>1949222</v>
      </c>
      <c r="D3028">
        <v>3</v>
      </c>
      <c r="E3028" t="s">
        <v>3419</v>
      </c>
      <c r="F3028" t="s">
        <v>11</v>
      </c>
    </row>
    <row r="3029" spans="1:6" x14ac:dyDescent="0.3">
      <c r="A3029" t="s">
        <v>1569</v>
      </c>
      <c r="B3029" t="s">
        <v>1480</v>
      </c>
      <c r="C3029" t="str">
        <f>HYPERLINK("http://service.sap.com/sap/support/notes/1951020","1951020")</f>
        <v>1951020</v>
      </c>
      <c r="D3029">
        <v>1</v>
      </c>
      <c r="E3029" t="s">
        <v>3420</v>
      </c>
      <c r="F3029" t="s">
        <v>17</v>
      </c>
    </row>
    <row r="3030" spans="1:6" x14ac:dyDescent="0.3">
      <c r="A3030" t="s">
        <v>1569</v>
      </c>
      <c r="B3030" t="s">
        <v>1480</v>
      </c>
      <c r="C3030" t="str">
        <f>HYPERLINK("http://service.sap.com/sap/support/notes/1951669","1951669")</f>
        <v>1951669</v>
      </c>
      <c r="D3030">
        <v>1</v>
      </c>
      <c r="E3030" t="s">
        <v>3421</v>
      </c>
      <c r="F3030" t="s">
        <v>17</v>
      </c>
    </row>
    <row r="3031" spans="1:6" x14ac:dyDescent="0.3">
      <c r="A3031" t="s">
        <v>1569</v>
      </c>
      <c r="B3031" t="s">
        <v>1480</v>
      </c>
      <c r="C3031" t="str">
        <f>HYPERLINK("http://service.sap.com/sap/support/notes/1954573","1954573")</f>
        <v>1954573</v>
      </c>
      <c r="D3031">
        <v>3</v>
      </c>
      <c r="E3031" t="s">
        <v>3422</v>
      </c>
      <c r="F3031" t="s">
        <v>17</v>
      </c>
    </row>
    <row r="3032" spans="1:6" x14ac:dyDescent="0.3">
      <c r="A3032" t="s">
        <v>1569</v>
      </c>
      <c r="B3032" t="s">
        <v>1480</v>
      </c>
      <c r="C3032" t="str">
        <f>HYPERLINK("http://service.sap.com/sap/support/notes/1955721","1955721")</f>
        <v>1955721</v>
      </c>
      <c r="D3032">
        <v>2</v>
      </c>
      <c r="E3032" t="s">
        <v>3423</v>
      </c>
      <c r="F3032" t="s">
        <v>17</v>
      </c>
    </row>
    <row r="3033" spans="1:6" x14ac:dyDescent="0.3">
      <c r="A3033" t="s">
        <v>1569</v>
      </c>
      <c r="B3033" t="s">
        <v>1480</v>
      </c>
      <c r="C3033" t="str">
        <f>HYPERLINK("http://service.sap.com/sap/support/notes/1959578","1959578")</f>
        <v>1959578</v>
      </c>
      <c r="D3033">
        <v>2</v>
      </c>
      <c r="E3033" t="s">
        <v>3424</v>
      </c>
      <c r="F3033" t="s">
        <v>17</v>
      </c>
    </row>
    <row r="3034" spans="1:6" x14ac:dyDescent="0.3">
      <c r="A3034" t="s">
        <v>1569</v>
      </c>
      <c r="B3034" t="s">
        <v>1480</v>
      </c>
      <c r="C3034" t="str">
        <f>HYPERLINK("http://service.sap.com/sap/support/notes/1959779","1959779")</f>
        <v>1959779</v>
      </c>
      <c r="D3034">
        <v>3</v>
      </c>
      <c r="E3034" t="s">
        <v>3425</v>
      </c>
      <c r="F3034" t="s">
        <v>17</v>
      </c>
    </row>
    <row r="3035" spans="1:6" x14ac:dyDescent="0.3">
      <c r="A3035" t="s">
        <v>1569</v>
      </c>
      <c r="B3035" t="s">
        <v>1480</v>
      </c>
      <c r="C3035" t="str">
        <f>HYPERLINK("http://service.sap.com/sap/support/notes/1960259","1960259")</f>
        <v>1960259</v>
      </c>
      <c r="D3035">
        <v>5</v>
      </c>
      <c r="E3035" t="s">
        <v>3426</v>
      </c>
      <c r="F3035" t="s">
        <v>17</v>
      </c>
    </row>
    <row r="3036" spans="1:6" x14ac:dyDescent="0.3">
      <c r="A3036" t="s">
        <v>1569</v>
      </c>
      <c r="B3036" t="s">
        <v>1480</v>
      </c>
      <c r="C3036" t="str">
        <f>HYPERLINK("http://service.sap.com/sap/support/notes/1961881","1961881")</f>
        <v>1961881</v>
      </c>
      <c r="D3036">
        <v>4</v>
      </c>
      <c r="E3036" t="s">
        <v>3427</v>
      </c>
      <c r="F3036" t="s">
        <v>17</v>
      </c>
    </row>
    <row r="3037" spans="1:6" x14ac:dyDescent="0.3">
      <c r="A3037" t="s">
        <v>1569</v>
      </c>
      <c r="B3037" t="s">
        <v>1480</v>
      </c>
      <c r="C3037" t="str">
        <f>HYPERLINK("http://service.sap.com/sap/support/notes/1969325","1969325")</f>
        <v>1969325</v>
      </c>
      <c r="D3037">
        <v>1</v>
      </c>
      <c r="E3037" t="s">
        <v>3428</v>
      </c>
      <c r="F3037" t="s">
        <v>17</v>
      </c>
    </row>
    <row r="3038" spans="1:6" x14ac:dyDescent="0.3">
      <c r="A3038" t="s">
        <v>1569</v>
      </c>
      <c r="B3038" t="s">
        <v>1480</v>
      </c>
      <c r="C3038" t="str">
        <f>HYPERLINK("http://service.sap.com/sap/support/notes/1973733","1973733")</f>
        <v>1973733</v>
      </c>
      <c r="D3038">
        <v>3</v>
      </c>
      <c r="E3038" t="s">
        <v>3429</v>
      </c>
      <c r="F3038" t="s">
        <v>17</v>
      </c>
    </row>
    <row r="3039" spans="1:6" x14ac:dyDescent="0.3">
      <c r="A3039" t="s">
        <v>1569</v>
      </c>
      <c r="B3039" t="s">
        <v>1480</v>
      </c>
      <c r="C3039" t="str">
        <f>HYPERLINK("http://service.sap.com/sap/support/notes/1980993","1980993")</f>
        <v>1980993</v>
      </c>
      <c r="D3039">
        <v>1</v>
      </c>
      <c r="E3039" t="s">
        <v>3430</v>
      </c>
      <c r="F3039" t="s">
        <v>11</v>
      </c>
    </row>
    <row r="3040" spans="1:6" x14ac:dyDescent="0.3">
      <c r="A3040" t="s">
        <v>1569</v>
      </c>
      <c r="B3040" t="s">
        <v>1480</v>
      </c>
      <c r="C3040" t="str">
        <f>HYPERLINK("http://service.sap.com/sap/support/notes/1987683","1987683")</f>
        <v>1987683</v>
      </c>
      <c r="D3040">
        <v>3</v>
      </c>
      <c r="E3040" t="s">
        <v>3431</v>
      </c>
      <c r="F3040" t="s">
        <v>11</v>
      </c>
    </row>
    <row r="3041" spans="1:6" x14ac:dyDescent="0.3">
      <c r="A3041" t="s">
        <v>1593</v>
      </c>
      <c r="B3041" t="s">
        <v>63</v>
      </c>
      <c r="C3041" t="str">
        <f>HYPERLINK("http://service.sap.com/sap/support/notes/1946655","1946655")</f>
        <v>1946655</v>
      </c>
      <c r="D3041">
        <v>1</v>
      </c>
      <c r="E3041" t="s">
        <v>3432</v>
      </c>
      <c r="F3041" t="s">
        <v>17</v>
      </c>
    </row>
    <row r="3042" spans="1:6" x14ac:dyDescent="0.3">
      <c r="A3042" t="s">
        <v>1593</v>
      </c>
      <c r="B3042" t="s">
        <v>63</v>
      </c>
      <c r="C3042" t="str">
        <f>HYPERLINK("http://service.sap.com/sap/support/notes/1971914","1971914")</f>
        <v>1971914</v>
      </c>
      <c r="D3042">
        <v>1</v>
      </c>
      <c r="E3042" t="s">
        <v>3433</v>
      </c>
      <c r="F3042" t="s">
        <v>13</v>
      </c>
    </row>
    <row r="3043" spans="1:6" x14ac:dyDescent="0.3">
      <c r="A3043" t="s">
        <v>1595</v>
      </c>
      <c r="B3043" t="s">
        <v>1596</v>
      </c>
      <c r="C3043" t="str">
        <f>HYPERLINK("http://service.sap.com/sap/support/notes/1872988","1872988")</f>
        <v>1872988</v>
      </c>
      <c r="D3043">
        <v>6</v>
      </c>
      <c r="E3043" t="s">
        <v>3434</v>
      </c>
      <c r="F3043" t="s">
        <v>17</v>
      </c>
    </row>
    <row r="3044" spans="1:6" x14ac:dyDescent="0.3">
      <c r="A3044" t="s">
        <v>2483</v>
      </c>
      <c r="B3044" t="s">
        <v>2484</v>
      </c>
      <c r="C3044" t="str">
        <f>HYPERLINK("http://service.sap.com/sap/support/notes/1965580","1965580")</f>
        <v>1965580</v>
      </c>
      <c r="D3044">
        <v>1</v>
      </c>
      <c r="E3044" t="s">
        <v>3435</v>
      </c>
      <c r="F3044" t="s">
        <v>13</v>
      </c>
    </row>
    <row r="3045" spans="1:6" x14ac:dyDescent="0.3">
      <c r="A3045" t="s">
        <v>1601</v>
      </c>
      <c r="B3045" t="s">
        <v>1602</v>
      </c>
    </row>
    <row r="3046" spans="1:6" x14ac:dyDescent="0.3">
      <c r="A3046" t="s">
        <v>2488</v>
      </c>
      <c r="B3046" t="s">
        <v>61</v>
      </c>
      <c r="C3046" t="str">
        <f>HYPERLINK("http://service.sap.com/sap/support/notes/1949054","1949054")</f>
        <v>1949054</v>
      </c>
      <c r="D3046">
        <v>4</v>
      </c>
      <c r="E3046" t="s">
        <v>3436</v>
      </c>
      <c r="F3046" t="s">
        <v>17</v>
      </c>
    </row>
    <row r="3047" spans="1:6" x14ac:dyDescent="0.3">
      <c r="A3047" t="s">
        <v>2488</v>
      </c>
      <c r="B3047" t="s">
        <v>61</v>
      </c>
      <c r="C3047" t="str">
        <f>HYPERLINK("http://service.sap.com/sap/support/notes/1956356","1956356")</f>
        <v>1956356</v>
      </c>
      <c r="D3047">
        <v>5</v>
      </c>
      <c r="E3047" t="s">
        <v>3437</v>
      </c>
      <c r="F3047" t="s">
        <v>17</v>
      </c>
    </row>
    <row r="3048" spans="1:6" x14ac:dyDescent="0.3">
      <c r="A3048" t="s">
        <v>2488</v>
      </c>
      <c r="B3048" t="s">
        <v>61</v>
      </c>
      <c r="C3048" t="str">
        <f>HYPERLINK("http://service.sap.com/sap/support/notes/1959557","1959557")</f>
        <v>1959557</v>
      </c>
      <c r="D3048">
        <v>4</v>
      </c>
      <c r="E3048" t="s">
        <v>3438</v>
      </c>
      <c r="F3048" t="s">
        <v>17</v>
      </c>
    </row>
    <row r="3049" spans="1:6" x14ac:dyDescent="0.3">
      <c r="A3049" t="s">
        <v>2488</v>
      </c>
      <c r="B3049" t="s">
        <v>61</v>
      </c>
      <c r="C3049" t="str">
        <f>HYPERLINK("http://service.sap.com/sap/support/notes/1969631","1969631")</f>
        <v>1969631</v>
      </c>
      <c r="D3049">
        <v>3</v>
      </c>
      <c r="E3049" t="s">
        <v>3439</v>
      </c>
      <c r="F3049" t="s">
        <v>17</v>
      </c>
    </row>
    <row r="3050" spans="1:6" x14ac:dyDescent="0.3">
      <c r="A3050" t="s">
        <v>2488</v>
      </c>
      <c r="B3050" t="s">
        <v>61</v>
      </c>
      <c r="C3050" t="str">
        <f>HYPERLINK("http://service.sap.com/sap/support/notes/1972162","1972162")</f>
        <v>1972162</v>
      </c>
      <c r="D3050">
        <v>5</v>
      </c>
      <c r="E3050" t="s">
        <v>3440</v>
      </c>
      <c r="F3050" t="s">
        <v>17</v>
      </c>
    </row>
    <row r="3051" spans="1:6" x14ac:dyDescent="0.3">
      <c r="A3051" t="s">
        <v>2488</v>
      </c>
      <c r="B3051" t="s">
        <v>61</v>
      </c>
      <c r="C3051" t="str">
        <f>HYPERLINK("http://service.sap.com/sap/support/notes/1976756","1976756")</f>
        <v>1976756</v>
      </c>
      <c r="D3051">
        <v>7</v>
      </c>
      <c r="E3051" t="s">
        <v>3441</v>
      </c>
      <c r="F3051" t="s">
        <v>17</v>
      </c>
    </row>
    <row r="3052" spans="1:6" x14ac:dyDescent="0.3">
      <c r="A3052" t="s">
        <v>2488</v>
      </c>
      <c r="B3052" t="s">
        <v>61</v>
      </c>
      <c r="C3052" t="str">
        <f>HYPERLINK("http://service.sap.com/sap/support/notes/1981756","1981756")</f>
        <v>1981756</v>
      </c>
      <c r="D3052">
        <v>1</v>
      </c>
      <c r="E3052" t="s">
        <v>3442</v>
      </c>
      <c r="F3052" t="s">
        <v>13</v>
      </c>
    </row>
    <row r="3053" spans="1:6" x14ac:dyDescent="0.3">
      <c r="A3053" t="s">
        <v>1605</v>
      </c>
      <c r="B3053" t="s">
        <v>1606</v>
      </c>
    </row>
    <row r="3054" spans="1:6" x14ac:dyDescent="0.3">
      <c r="A3054" t="s">
        <v>2495</v>
      </c>
      <c r="B3054" t="s">
        <v>2496</v>
      </c>
      <c r="C3054" t="str">
        <f>HYPERLINK("http://service.sap.com/sap/support/notes/1927497","1927497")</f>
        <v>1927497</v>
      </c>
      <c r="D3054">
        <v>4</v>
      </c>
      <c r="E3054" t="s">
        <v>3443</v>
      </c>
      <c r="F3054" t="s">
        <v>17</v>
      </c>
    </row>
    <row r="3055" spans="1:6" x14ac:dyDescent="0.3">
      <c r="A3055" t="s">
        <v>2495</v>
      </c>
      <c r="B3055" t="s">
        <v>2496</v>
      </c>
      <c r="C3055" t="str">
        <f>HYPERLINK("http://service.sap.com/sap/support/notes/1966360","1966360")</f>
        <v>1966360</v>
      </c>
      <c r="D3055">
        <v>5</v>
      </c>
      <c r="E3055" t="s">
        <v>3444</v>
      </c>
      <c r="F3055" t="s">
        <v>13</v>
      </c>
    </row>
    <row r="3056" spans="1:6" x14ac:dyDescent="0.3">
      <c r="A3056" t="s">
        <v>2495</v>
      </c>
      <c r="B3056" t="s">
        <v>2496</v>
      </c>
      <c r="C3056" t="str">
        <f>HYPERLINK("http://service.sap.com/sap/support/notes/1970344","1970344")</f>
        <v>1970344</v>
      </c>
      <c r="D3056">
        <v>1</v>
      </c>
      <c r="E3056" t="s">
        <v>3445</v>
      </c>
      <c r="F3056" t="s">
        <v>17</v>
      </c>
    </row>
    <row r="3057" spans="1:6" x14ac:dyDescent="0.3">
      <c r="A3057" t="s">
        <v>2495</v>
      </c>
      <c r="B3057" t="s">
        <v>2496</v>
      </c>
      <c r="C3057" t="str">
        <f>HYPERLINK("http://service.sap.com/sap/support/notes/1974473","1974473")</f>
        <v>1974473</v>
      </c>
      <c r="D3057">
        <v>2</v>
      </c>
      <c r="E3057" t="s">
        <v>3446</v>
      </c>
      <c r="F3057" t="s">
        <v>13</v>
      </c>
    </row>
    <row r="3058" spans="1:6" x14ac:dyDescent="0.3">
      <c r="A3058" t="s">
        <v>2495</v>
      </c>
      <c r="B3058" t="s">
        <v>2496</v>
      </c>
      <c r="C3058" t="str">
        <f>HYPERLINK("http://service.sap.com/sap/support/notes/1983453","1983453")</f>
        <v>1983453</v>
      </c>
      <c r="D3058">
        <v>1</v>
      </c>
      <c r="E3058" t="s">
        <v>3447</v>
      </c>
      <c r="F3058" t="s">
        <v>17</v>
      </c>
    </row>
    <row r="3059" spans="1:6" x14ac:dyDescent="0.3">
      <c r="A3059" t="s">
        <v>1613</v>
      </c>
      <c r="B3059" t="s">
        <v>1614</v>
      </c>
      <c r="C3059" t="str">
        <f>HYPERLINK("http://service.sap.com/sap/support/notes/1957857","1957857")</f>
        <v>1957857</v>
      </c>
      <c r="D3059">
        <v>2</v>
      </c>
      <c r="E3059" t="s">
        <v>3448</v>
      </c>
      <c r="F3059" t="s">
        <v>11</v>
      </c>
    </row>
    <row r="3060" spans="1:6" x14ac:dyDescent="0.3">
      <c r="A3060" t="s">
        <v>1615</v>
      </c>
      <c r="B3060" t="s">
        <v>61</v>
      </c>
      <c r="C3060" t="str">
        <f>HYPERLINK("http://service.sap.com/sap/support/notes/1952816","1952816")</f>
        <v>1952816</v>
      </c>
      <c r="D3060">
        <v>1</v>
      </c>
      <c r="E3060" t="s">
        <v>2503</v>
      </c>
      <c r="F3060" t="s">
        <v>17</v>
      </c>
    </row>
    <row r="3061" spans="1:6" x14ac:dyDescent="0.3">
      <c r="A3061" t="s">
        <v>3449</v>
      </c>
      <c r="B3061" t="s">
        <v>3450</v>
      </c>
      <c r="C3061" t="str">
        <f>HYPERLINK("http://service.sap.com/sap/support/notes/1902535","1902535")</f>
        <v>1902535</v>
      </c>
      <c r="D3061">
        <v>8</v>
      </c>
      <c r="E3061" t="s">
        <v>3451</v>
      </c>
      <c r="F3061" t="s">
        <v>17</v>
      </c>
    </row>
    <row r="3062" spans="1:6" x14ac:dyDescent="0.3">
      <c r="A3062" t="s">
        <v>3449</v>
      </c>
      <c r="B3062" t="s">
        <v>3450</v>
      </c>
      <c r="C3062" t="str">
        <f>HYPERLINK("http://service.sap.com/sap/support/notes/1903695","1903695")</f>
        <v>1903695</v>
      </c>
      <c r="D3062">
        <v>5</v>
      </c>
      <c r="E3062" t="s">
        <v>3452</v>
      </c>
      <c r="F3062" t="s">
        <v>17</v>
      </c>
    </row>
    <row r="3063" spans="1:6" x14ac:dyDescent="0.3">
      <c r="A3063" t="s">
        <v>3449</v>
      </c>
      <c r="B3063" t="s">
        <v>3450</v>
      </c>
      <c r="C3063" t="str">
        <f>HYPERLINK("http://service.sap.com/sap/support/notes/1980339","1980339")</f>
        <v>1980339</v>
      </c>
      <c r="D3063">
        <v>2</v>
      </c>
      <c r="E3063" t="s">
        <v>3453</v>
      </c>
      <c r="F3063" t="s">
        <v>17</v>
      </c>
    </row>
    <row r="3064" spans="1:6" x14ac:dyDescent="0.3">
      <c r="A3064" t="s">
        <v>2511</v>
      </c>
      <c r="B3064" t="s">
        <v>2512</v>
      </c>
    </row>
    <row r="3065" spans="1:6" x14ac:dyDescent="0.3">
      <c r="A3065" t="s">
        <v>3454</v>
      </c>
      <c r="B3065" t="s">
        <v>61</v>
      </c>
      <c r="C3065" t="str">
        <f>HYPERLINK("http://service.sap.com/sap/support/notes/1905569","1905569")</f>
        <v>1905569</v>
      </c>
      <c r="D3065">
        <v>2</v>
      </c>
      <c r="E3065" t="s">
        <v>3455</v>
      </c>
      <c r="F3065" t="s">
        <v>17</v>
      </c>
    </row>
    <row r="3066" spans="1:6" x14ac:dyDescent="0.3">
      <c r="A3066" t="s">
        <v>3454</v>
      </c>
      <c r="B3066" t="s">
        <v>61</v>
      </c>
      <c r="C3066" t="str">
        <f>HYPERLINK("http://service.sap.com/sap/support/notes/1913239","1913239")</f>
        <v>1913239</v>
      </c>
      <c r="D3066">
        <v>3</v>
      </c>
      <c r="E3066" t="s">
        <v>3456</v>
      </c>
      <c r="F3066" t="s">
        <v>17</v>
      </c>
    </row>
    <row r="3067" spans="1:6" x14ac:dyDescent="0.3">
      <c r="A3067" t="s">
        <v>1634</v>
      </c>
      <c r="B3067" t="s">
        <v>1635</v>
      </c>
    </row>
    <row r="3068" spans="1:6" x14ac:dyDescent="0.3">
      <c r="A3068" t="s">
        <v>1636</v>
      </c>
      <c r="B3068" t="s">
        <v>61</v>
      </c>
      <c r="C3068" t="str">
        <f>HYPERLINK("http://service.sap.com/sap/support/notes/1943239","1943239")</f>
        <v>1943239</v>
      </c>
      <c r="D3068">
        <v>4</v>
      </c>
      <c r="E3068" t="s">
        <v>3457</v>
      </c>
      <c r="F3068" t="s">
        <v>17</v>
      </c>
    </row>
    <row r="3069" spans="1:6" x14ac:dyDescent="0.3">
      <c r="A3069" t="s">
        <v>1636</v>
      </c>
      <c r="B3069" t="s">
        <v>61</v>
      </c>
      <c r="C3069" t="str">
        <f>HYPERLINK("http://service.sap.com/sap/support/notes/1950554","1950554")</f>
        <v>1950554</v>
      </c>
      <c r="D3069">
        <v>3</v>
      </c>
      <c r="E3069" t="s">
        <v>3458</v>
      </c>
      <c r="F3069" t="s">
        <v>17</v>
      </c>
    </row>
    <row r="3070" spans="1:6" x14ac:dyDescent="0.3">
      <c r="A3070" t="s">
        <v>1636</v>
      </c>
      <c r="B3070" t="s">
        <v>61</v>
      </c>
      <c r="C3070" t="str">
        <f>HYPERLINK("http://service.sap.com/sap/support/notes/1956599","1956599")</f>
        <v>1956599</v>
      </c>
      <c r="D3070">
        <v>2</v>
      </c>
      <c r="E3070" t="s">
        <v>3459</v>
      </c>
      <c r="F3070" t="s">
        <v>11</v>
      </c>
    </row>
    <row r="3071" spans="1:6" x14ac:dyDescent="0.3">
      <c r="A3071" t="s">
        <v>1636</v>
      </c>
      <c r="B3071" t="s">
        <v>61</v>
      </c>
      <c r="C3071" t="str">
        <f>HYPERLINK("http://service.sap.com/sap/support/notes/1957918","1957918")</f>
        <v>1957918</v>
      </c>
      <c r="D3071">
        <v>1</v>
      </c>
      <c r="E3071" t="s">
        <v>3460</v>
      </c>
      <c r="F3071" t="s">
        <v>11</v>
      </c>
    </row>
    <row r="3072" spans="1:6" x14ac:dyDescent="0.3">
      <c r="A3072" t="s">
        <v>1636</v>
      </c>
      <c r="B3072" t="s">
        <v>61</v>
      </c>
      <c r="C3072" t="str">
        <f>HYPERLINK("http://service.sap.com/sap/support/notes/1968714","1968714")</f>
        <v>1968714</v>
      </c>
      <c r="D3072">
        <v>6</v>
      </c>
      <c r="E3072" t="s">
        <v>3461</v>
      </c>
      <c r="F3072" t="s">
        <v>17</v>
      </c>
    </row>
    <row r="3073" spans="1:6" x14ac:dyDescent="0.3">
      <c r="A3073" t="s">
        <v>1636</v>
      </c>
      <c r="B3073" t="s">
        <v>61</v>
      </c>
      <c r="C3073" t="str">
        <f>HYPERLINK("http://service.sap.com/sap/support/notes/1979626","1979626")</f>
        <v>1979626</v>
      </c>
      <c r="D3073">
        <v>2</v>
      </c>
      <c r="E3073" t="s">
        <v>3462</v>
      </c>
      <c r="F3073" t="s">
        <v>17</v>
      </c>
    </row>
    <row r="3074" spans="1:6" x14ac:dyDescent="0.3">
      <c r="A3074" t="s">
        <v>1636</v>
      </c>
      <c r="B3074" t="s">
        <v>61</v>
      </c>
      <c r="C3074" t="str">
        <f>HYPERLINK("http://service.sap.com/sap/support/notes/1980289","1980289")</f>
        <v>1980289</v>
      </c>
      <c r="D3074">
        <v>4</v>
      </c>
      <c r="E3074" t="s">
        <v>3463</v>
      </c>
      <c r="F3074" t="s">
        <v>17</v>
      </c>
    </row>
    <row r="3075" spans="1:6" x14ac:dyDescent="0.3">
      <c r="A3075" t="s">
        <v>1641</v>
      </c>
      <c r="B3075" t="s">
        <v>1553</v>
      </c>
      <c r="C3075" t="str">
        <f>HYPERLINK("http://service.sap.com/sap/support/notes/1945781","1945781")</f>
        <v>1945781</v>
      </c>
      <c r="D3075">
        <v>3</v>
      </c>
      <c r="E3075" t="s">
        <v>3464</v>
      </c>
      <c r="F3075" t="s">
        <v>17</v>
      </c>
    </row>
    <row r="3076" spans="1:6" x14ac:dyDescent="0.3">
      <c r="A3076" t="s">
        <v>1643</v>
      </c>
      <c r="B3076" t="s">
        <v>1644</v>
      </c>
    </row>
    <row r="3077" spans="1:6" x14ac:dyDescent="0.3">
      <c r="A3077" t="s">
        <v>1649</v>
      </c>
      <c r="B3077" t="s">
        <v>61</v>
      </c>
      <c r="C3077" t="str">
        <f>HYPERLINK("http://service.sap.com/sap/support/notes/1873009","1873009")</f>
        <v>1873009</v>
      </c>
      <c r="D3077">
        <v>5</v>
      </c>
      <c r="E3077" t="s">
        <v>3465</v>
      </c>
      <c r="F3077" t="s">
        <v>17</v>
      </c>
    </row>
    <row r="3078" spans="1:6" x14ac:dyDescent="0.3">
      <c r="A3078" t="s">
        <v>1649</v>
      </c>
      <c r="B3078" t="s">
        <v>61</v>
      </c>
      <c r="C3078" t="str">
        <f>HYPERLINK("http://service.sap.com/sap/support/notes/1932243","1932243")</f>
        <v>1932243</v>
      </c>
      <c r="D3078">
        <v>12</v>
      </c>
      <c r="E3078" t="s">
        <v>3466</v>
      </c>
      <c r="F3078" t="s">
        <v>17</v>
      </c>
    </row>
    <row r="3079" spans="1:6" x14ac:dyDescent="0.3">
      <c r="A3079" t="s">
        <v>1649</v>
      </c>
      <c r="B3079" t="s">
        <v>61</v>
      </c>
      <c r="C3079" t="str">
        <f>HYPERLINK("http://service.sap.com/sap/support/notes/1951017","1951017")</f>
        <v>1951017</v>
      </c>
      <c r="D3079">
        <v>4</v>
      </c>
      <c r="E3079" t="s">
        <v>3467</v>
      </c>
      <c r="F3079" t="s">
        <v>17</v>
      </c>
    </row>
    <row r="3080" spans="1:6" x14ac:dyDescent="0.3">
      <c r="A3080" t="s">
        <v>1649</v>
      </c>
      <c r="B3080" t="s">
        <v>61</v>
      </c>
      <c r="C3080" t="str">
        <f>HYPERLINK("http://service.sap.com/sap/support/notes/1952576","1952576")</f>
        <v>1952576</v>
      </c>
      <c r="D3080">
        <v>12</v>
      </c>
      <c r="E3080" t="s">
        <v>3468</v>
      </c>
      <c r="F3080" t="s">
        <v>17</v>
      </c>
    </row>
    <row r="3081" spans="1:6" x14ac:dyDescent="0.3">
      <c r="A3081" t="s">
        <v>1649</v>
      </c>
      <c r="B3081" t="s">
        <v>61</v>
      </c>
      <c r="C3081" t="str">
        <f>HYPERLINK("http://service.sap.com/sap/support/notes/1956139","1956139")</f>
        <v>1956139</v>
      </c>
      <c r="D3081">
        <v>2</v>
      </c>
      <c r="E3081" t="s">
        <v>3469</v>
      </c>
      <c r="F3081" t="s">
        <v>17</v>
      </c>
    </row>
    <row r="3082" spans="1:6" x14ac:dyDescent="0.3">
      <c r="A3082" t="s">
        <v>1649</v>
      </c>
      <c r="B3082" t="s">
        <v>61</v>
      </c>
      <c r="C3082" t="str">
        <f>HYPERLINK("http://service.sap.com/sap/support/notes/1957837","1957837")</f>
        <v>1957837</v>
      </c>
      <c r="D3082">
        <v>2</v>
      </c>
      <c r="E3082" t="s">
        <v>3470</v>
      </c>
      <c r="F3082" t="s">
        <v>17</v>
      </c>
    </row>
    <row r="3083" spans="1:6" x14ac:dyDescent="0.3">
      <c r="A3083" t="s">
        <v>1649</v>
      </c>
      <c r="B3083" t="s">
        <v>61</v>
      </c>
      <c r="C3083" t="str">
        <f>HYPERLINK("http://service.sap.com/sap/support/notes/1958179","1958179")</f>
        <v>1958179</v>
      </c>
      <c r="D3083">
        <v>1</v>
      </c>
      <c r="E3083" t="s">
        <v>3471</v>
      </c>
      <c r="F3083" t="s">
        <v>17</v>
      </c>
    </row>
    <row r="3084" spans="1:6" x14ac:dyDescent="0.3">
      <c r="A3084" t="s">
        <v>1649</v>
      </c>
      <c r="B3084" t="s">
        <v>61</v>
      </c>
      <c r="C3084" t="str">
        <f>HYPERLINK("http://service.sap.com/sap/support/notes/1958214","1958214")</f>
        <v>1958214</v>
      </c>
      <c r="D3084">
        <v>1</v>
      </c>
      <c r="E3084" t="s">
        <v>3472</v>
      </c>
      <c r="F3084" t="s">
        <v>17</v>
      </c>
    </row>
    <row r="3085" spans="1:6" x14ac:dyDescent="0.3">
      <c r="A3085" t="s">
        <v>1649</v>
      </c>
      <c r="B3085" t="s">
        <v>61</v>
      </c>
      <c r="C3085" t="str">
        <f>HYPERLINK("http://service.sap.com/sap/support/notes/1958691","1958691")</f>
        <v>1958691</v>
      </c>
      <c r="D3085">
        <v>4</v>
      </c>
      <c r="E3085" t="s">
        <v>3473</v>
      </c>
      <c r="F3085" t="s">
        <v>17</v>
      </c>
    </row>
    <row r="3086" spans="1:6" x14ac:dyDescent="0.3">
      <c r="A3086" t="s">
        <v>1649</v>
      </c>
      <c r="B3086" t="s">
        <v>61</v>
      </c>
      <c r="C3086" t="str">
        <f>HYPERLINK("http://service.sap.com/sap/support/notes/1959309","1959309")</f>
        <v>1959309</v>
      </c>
      <c r="D3086">
        <v>1</v>
      </c>
      <c r="E3086" t="s">
        <v>3474</v>
      </c>
      <c r="F3086" t="s">
        <v>13</v>
      </c>
    </row>
    <row r="3087" spans="1:6" x14ac:dyDescent="0.3">
      <c r="A3087" t="s">
        <v>1649</v>
      </c>
      <c r="B3087" t="s">
        <v>61</v>
      </c>
      <c r="C3087" t="str">
        <f>HYPERLINK("http://service.sap.com/sap/support/notes/1963976","1963976")</f>
        <v>1963976</v>
      </c>
      <c r="D3087">
        <v>2</v>
      </c>
      <c r="E3087" t="s">
        <v>3475</v>
      </c>
      <c r="F3087" t="s">
        <v>17</v>
      </c>
    </row>
    <row r="3088" spans="1:6" x14ac:dyDescent="0.3">
      <c r="A3088" t="s">
        <v>1649</v>
      </c>
      <c r="B3088" t="s">
        <v>61</v>
      </c>
      <c r="C3088" t="str">
        <f>HYPERLINK("http://service.sap.com/sap/support/notes/1964873","1964873")</f>
        <v>1964873</v>
      </c>
      <c r="D3088">
        <v>1</v>
      </c>
      <c r="E3088" t="s">
        <v>3476</v>
      </c>
      <c r="F3088" t="s">
        <v>17</v>
      </c>
    </row>
    <row r="3089" spans="1:6" x14ac:dyDescent="0.3">
      <c r="A3089" t="s">
        <v>1649</v>
      </c>
      <c r="B3089" t="s">
        <v>61</v>
      </c>
      <c r="C3089" t="str">
        <f>HYPERLINK("http://service.sap.com/sap/support/notes/1966010","1966010")</f>
        <v>1966010</v>
      </c>
      <c r="D3089">
        <v>2</v>
      </c>
      <c r="E3089" t="s">
        <v>3477</v>
      </c>
      <c r="F3089" t="s">
        <v>17</v>
      </c>
    </row>
    <row r="3090" spans="1:6" x14ac:dyDescent="0.3">
      <c r="A3090" t="s">
        <v>1649</v>
      </c>
      <c r="B3090" t="s">
        <v>61</v>
      </c>
      <c r="C3090" t="str">
        <f>HYPERLINK("http://service.sap.com/sap/support/notes/1968825","1968825")</f>
        <v>1968825</v>
      </c>
      <c r="D3090">
        <v>1</v>
      </c>
      <c r="E3090" t="s">
        <v>2528</v>
      </c>
      <c r="F3090" t="s">
        <v>17</v>
      </c>
    </row>
    <row r="3091" spans="1:6" x14ac:dyDescent="0.3">
      <c r="A3091" t="s">
        <v>1649</v>
      </c>
      <c r="B3091" t="s">
        <v>61</v>
      </c>
      <c r="C3091" t="str">
        <f>HYPERLINK("http://service.sap.com/sap/support/notes/1971240","1971240")</f>
        <v>1971240</v>
      </c>
      <c r="D3091">
        <v>1</v>
      </c>
      <c r="E3091" t="s">
        <v>3478</v>
      </c>
      <c r="F3091" t="s">
        <v>17</v>
      </c>
    </row>
    <row r="3092" spans="1:6" x14ac:dyDescent="0.3">
      <c r="A3092" t="s">
        <v>1649</v>
      </c>
      <c r="B3092" t="s">
        <v>61</v>
      </c>
      <c r="C3092" t="str">
        <f>HYPERLINK("http://service.sap.com/sap/support/notes/1971317","1971317")</f>
        <v>1971317</v>
      </c>
      <c r="D3092">
        <v>7</v>
      </c>
      <c r="E3092" t="s">
        <v>3479</v>
      </c>
      <c r="F3092" t="s">
        <v>17</v>
      </c>
    </row>
    <row r="3093" spans="1:6" x14ac:dyDescent="0.3">
      <c r="A3093" t="s">
        <v>1649</v>
      </c>
      <c r="B3093" t="s">
        <v>61</v>
      </c>
      <c r="C3093" t="str">
        <f>HYPERLINK("http://service.sap.com/sap/support/notes/1979733","1979733")</f>
        <v>1979733</v>
      </c>
      <c r="D3093">
        <v>2</v>
      </c>
      <c r="E3093" t="s">
        <v>3480</v>
      </c>
      <c r="F3093" t="s">
        <v>17</v>
      </c>
    </row>
    <row r="3094" spans="1:6" x14ac:dyDescent="0.3">
      <c r="A3094" t="s">
        <v>1649</v>
      </c>
      <c r="B3094" t="s">
        <v>61</v>
      </c>
      <c r="C3094" t="str">
        <f>HYPERLINK("http://service.sap.com/sap/support/notes/1979739","1979739")</f>
        <v>1979739</v>
      </c>
      <c r="D3094">
        <v>2</v>
      </c>
      <c r="E3094" t="s">
        <v>3475</v>
      </c>
      <c r="F3094" t="s">
        <v>17</v>
      </c>
    </row>
    <row r="3095" spans="1:6" x14ac:dyDescent="0.3">
      <c r="A3095" t="s">
        <v>1649</v>
      </c>
      <c r="B3095" t="s">
        <v>61</v>
      </c>
      <c r="C3095" t="str">
        <f>HYPERLINK("http://service.sap.com/sap/support/notes/1984070","1984070")</f>
        <v>1984070</v>
      </c>
      <c r="D3095">
        <v>3</v>
      </c>
      <c r="E3095" t="s">
        <v>3481</v>
      </c>
      <c r="F3095" t="s">
        <v>17</v>
      </c>
    </row>
    <row r="3096" spans="1:6" x14ac:dyDescent="0.3">
      <c r="A3096" t="s">
        <v>1649</v>
      </c>
      <c r="B3096" t="s">
        <v>61</v>
      </c>
      <c r="C3096" t="str">
        <f>HYPERLINK("http://service.sap.com/sap/support/notes/1989861","1989861")</f>
        <v>1989861</v>
      </c>
      <c r="D3096">
        <v>1</v>
      </c>
      <c r="E3096" t="s">
        <v>3482</v>
      </c>
      <c r="F3096" t="s">
        <v>17</v>
      </c>
    </row>
    <row r="3097" spans="1:6" x14ac:dyDescent="0.3">
      <c r="A3097" t="s">
        <v>1649</v>
      </c>
      <c r="B3097" t="s">
        <v>61</v>
      </c>
      <c r="C3097" t="str">
        <f>HYPERLINK("http://service.sap.com/sap/support/notes/1994164","1994164")</f>
        <v>1994164</v>
      </c>
      <c r="D3097">
        <v>1</v>
      </c>
      <c r="E3097" t="s">
        <v>3483</v>
      </c>
      <c r="F3097" t="s">
        <v>17</v>
      </c>
    </row>
    <row r="3098" spans="1:6" x14ac:dyDescent="0.3">
      <c r="A3098" t="s">
        <v>1664</v>
      </c>
      <c r="B3098" t="s">
        <v>63</v>
      </c>
      <c r="C3098" t="str">
        <f>HYPERLINK("http://service.sap.com/sap/support/notes/1796364","1796364")</f>
        <v>1796364</v>
      </c>
      <c r="D3098">
        <v>21</v>
      </c>
      <c r="E3098" t="s">
        <v>3484</v>
      </c>
      <c r="F3098" t="s">
        <v>17</v>
      </c>
    </row>
    <row r="3099" spans="1:6" x14ac:dyDescent="0.3">
      <c r="A3099" t="s">
        <v>1664</v>
      </c>
      <c r="B3099" t="s">
        <v>63</v>
      </c>
      <c r="C3099" t="str">
        <f>HYPERLINK("http://service.sap.com/sap/support/notes/1965460","1965460")</f>
        <v>1965460</v>
      </c>
      <c r="D3099">
        <v>3</v>
      </c>
      <c r="E3099" t="s">
        <v>3485</v>
      </c>
      <c r="F3099" t="s">
        <v>17</v>
      </c>
    </row>
    <row r="3100" spans="1:6" x14ac:dyDescent="0.3">
      <c r="A3100" t="s">
        <v>1664</v>
      </c>
      <c r="B3100" t="s">
        <v>63</v>
      </c>
      <c r="C3100" t="str">
        <f>HYPERLINK("http://service.sap.com/sap/support/notes/1977158","1977158")</f>
        <v>1977158</v>
      </c>
      <c r="D3100">
        <v>1</v>
      </c>
      <c r="E3100" t="s">
        <v>3486</v>
      </c>
      <c r="F3100" t="s">
        <v>17</v>
      </c>
    </row>
    <row r="3101" spans="1:6" x14ac:dyDescent="0.3">
      <c r="A3101" t="s">
        <v>1664</v>
      </c>
      <c r="B3101" t="s">
        <v>63</v>
      </c>
      <c r="C3101" t="str">
        <f>HYPERLINK("http://service.sap.com/sap/support/notes/1979144","1979144")</f>
        <v>1979144</v>
      </c>
      <c r="D3101">
        <v>2</v>
      </c>
      <c r="E3101" t="s">
        <v>3487</v>
      </c>
      <c r="F3101" t="s">
        <v>17</v>
      </c>
    </row>
    <row r="3102" spans="1:6" x14ac:dyDescent="0.3">
      <c r="A3102" t="s">
        <v>1664</v>
      </c>
      <c r="B3102" t="s">
        <v>63</v>
      </c>
      <c r="C3102" t="str">
        <f>HYPERLINK("http://service.sap.com/sap/support/notes/1983549","1983549")</f>
        <v>1983549</v>
      </c>
      <c r="D3102">
        <v>2</v>
      </c>
      <c r="E3102" t="s">
        <v>3488</v>
      </c>
      <c r="F3102" t="s">
        <v>17</v>
      </c>
    </row>
    <row r="3103" spans="1:6" x14ac:dyDescent="0.3">
      <c r="A3103" t="s">
        <v>3489</v>
      </c>
      <c r="B3103" t="s">
        <v>1553</v>
      </c>
      <c r="C3103" t="str">
        <f>HYPERLINK("http://service.sap.com/sap/support/notes/1875540","1875540")</f>
        <v>1875540</v>
      </c>
      <c r="D3103">
        <v>5</v>
      </c>
      <c r="E3103" t="s">
        <v>3490</v>
      </c>
      <c r="F3103" t="s">
        <v>17</v>
      </c>
    </row>
    <row r="3104" spans="1:6" x14ac:dyDescent="0.3">
      <c r="A3104" t="s">
        <v>1678</v>
      </c>
      <c r="B3104" t="s">
        <v>1679</v>
      </c>
      <c r="C3104" t="str">
        <f>HYPERLINK("http://service.sap.com/sap/support/notes/1933578","1933578")</f>
        <v>1933578</v>
      </c>
      <c r="D3104">
        <v>3</v>
      </c>
      <c r="E3104" t="s">
        <v>3491</v>
      </c>
      <c r="F3104" t="s">
        <v>17</v>
      </c>
    </row>
    <row r="3105" spans="1:6" x14ac:dyDescent="0.3">
      <c r="A3105" t="s">
        <v>1681</v>
      </c>
      <c r="B3105" t="s">
        <v>61</v>
      </c>
      <c r="C3105" t="str">
        <f>HYPERLINK("http://service.sap.com/sap/support/notes/1886074","1886074")</f>
        <v>1886074</v>
      </c>
      <c r="D3105">
        <v>24</v>
      </c>
      <c r="E3105" t="s">
        <v>3492</v>
      </c>
      <c r="F3105" t="s">
        <v>11</v>
      </c>
    </row>
    <row r="3106" spans="1:6" x14ac:dyDescent="0.3">
      <c r="A3106" t="s">
        <v>1681</v>
      </c>
      <c r="B3106" t="s">
        <v>61</v>
      </c>
      <c r="C3106" t="str">
        <f>HYPERLINK("http://service.sap.com/sap/support/notes/1901318","1901318")</f>
        <v>1901318</v>
      </c>
      <c r="D3106">
        <v>8</v>
      </c>
      <c r="E3106" t="s">
        <v>3493</v>
      </c>
      <c r="F3106" t="s">
        <v>17</v>
      </c>
    </row>
    <row r="3107" spans="1:6" x14ac:dyDescent="0.3">
      <c r="A3107" t="s">
        <v>1681</v>
      </c>
      <c r="B3107" t="s">
        <v>61</v>
      </c>
      <c r="C3107" t="str">
        <f>HYPERLINK("http://service.sap.com/sap/support/notes/1915884","1915884")</f>
        <v>1915884</v>
      </c>
      <c r="D3107">
        <v>7</v>
      </c>
      <c r="E3107" t="s">
        <v>3494</v>
      </c>
      <c r="F3107" t="s">
        <v>11</v>
      </c>
    </row>
    <row r="3108" spans="1:6" x14ac:dyDescent="0.3">
      <c r="A3108" t="s">
        <v>1681</v>
      </c>
      <c r="B3108" t="s">
        <v>61</v>
      </c>
      <c r="C3108" t="str">
        <f>HYPERLINK("http://service.sap.com/sap/support/notes/1925641","1925641")</f>
        <v>1925641</v>
      </c>
      <c r="D3108">
        <v>3</v>
      </c>
      <c r="E3108" t="s">
        <v>3495</v>
      </c>
      <c r="F3108" t="s">
        <v>17</v>
      </c>
    </row>
    <row r="3109" spans="1:6" x14ac:dyDescent="0.3">
      <c r="A3109" t="s">
        <v>1681</v>
      </c>
      <c r="B3109" t="s">
        <v>61</v>
      </c>
      <c r="C3109" t="str">
        <f>HYPERLINK("http://service.sap.com/sap/support/notes/1926160","1926160")</f>
        <v>1926160</v>
      </c>
      <c r="D3109">
        <v>4</v>
      </c>
      <c r="E3109" t="s">
        <v>3496</v>
      </c>
      <c r="F3109" t="s">
        <v>17</v>
      </c>
    </row>
    <row r="3110" spans="1:6" x14ac:dyDescent="0.3">
      <c r="A3110" t="s">
        <v>1681</v>
      </c>
      <c r="B3110" t="s">
        <v>61</v>
      </c>
      <c r="C3110" t="str">
        <f>HYPERLINK("http://service.sap.com/sap/support/notes/1932487","1932487")</f>
        <v>1932487</v>
      </c>
      <c r="D3110">
        <v>12</v>
      </c>
      <c r="E3110" t="s">
        <v>3497</v>
      </c>
      <c r="F3110" t="s">
        <v>11</v>
      </c>
    </row>
    <row r="3111" spans="1:6" x14ac:dyDescent="0.3">
      <c r="A3111" t="s">
        <v>1681</v>
      </c>
      <c r="B3111" t="s">
        <v>61</v>
      </c>
      <c r="C3111" t="str">
        <f>HYPERLINK("http://service.sap.com/sap/support/notes/1937068","1937068")</f>
        <v>1937068</v>
      </c>
      <c r="D3111">
        <v>3</v>
      </c>
      <c r="E3111" t="s">
        <v>3498</v>
      </c>
      <c r="F3111" t="s">
        <v>17</v>
      </c>
    </row>
    <row r="3112" spans="1:6" x14ac:dyDescent="0.3">
      <c r="A3112" t="s">
        <v>1681</v>
      </c>
      <c r="B3112" t="s">
        <v>61</v>
      </c>
      <c r="C3112" t="str">
        <f>HYPERLINK("http://service.sap.com/sap/support/notes/1939522","1939522")</f>
        <v>1939522</v>
      </c>
      <c r="D3112">
        <v>2</v>
      </c>
      <c r="E3112" t="s">
        <v>3499</v>
      </c>
      <c r="F3112" t="s">
        <v>17</v>
      </c>
    </row>
    <row r="3113" spans="1:6" x14ac:dyDescent="0.3">
      <c r="A3113" t="s">
        <v>1681</v>
      </c>
      <c r="B3113" t="s">
        <v>61</v>
      </c>
      <c r="C3113" t="str">
        <f>HYPERLINK("http://service.sap.com/sap/support/notes/1940932","1940932")</f>
        <v>1940932</v>
      </c>
      <c r="D3113">
        <v>2</v>
      </c>
      <c r="E3113" t="s">
        <v>3500</v>
      </c>
      <c r="F3113" t="s">
        <v>17</v>
      </c>
    </row>
    <row r="3114" spans="1:6" x14ac:dyDescent="0.3">
      <c r="A3114" t="s">
        <v>1681</v>
      </c>
      <c r="B3114" t="s">
        <v>61</v>
      </c>
      <c r="C3114" t="str">
        <f>HYPERLINK("http://service.sap.com/sap/support/notes/1943455","1943455")</f>
        <v>1943455</v>
      </c>
      <c r="D3114">
        <v>2</v>
      </c>
      <c r="E3114" t="s">
        <v>3501</v>
      </c>
      <c r="F3114" t="s">
        <v>17</v>
      </c>
    </row>
    <row r="3115" spans="1:6" x14ac:dyDescent="0.3">
      <c r="A3115" t="s">
        <v>1681</v>
      </c>
      <c r="B3115" t="s">
        <v>61</v>
      </c>
      <c r="C3115" t="str">
        <f>HYPERLINK("http://service.sap.com/sap/support/notes/1943587","1943587")</f>
        <v>1943587</v>
      </c>
      <c r="D3115">
        <v>2</v>
      </c>
      <c r="E3115" t="s">
        <v>3502</v>
      </c>
      <c r="F3115" t="s">
        <v>17</v>
      </c>
    </row>
    <row r="3116" spans="1:6" x14ac:dyDescent="0.3">
      <c r="A3116" t="s">
        <v>1681</v>
      </c>
      <c r="B3116" t="s">
        <v>61</v>
      </c>
      <c r="C3116" t="str">
        <f>HYPERLINK("http://service.sap.com/sap/support/notes/1944243","1944243")</f>
        <v>1944243</v>
      </c>
      <c r="D3116">
        <v>3</v>
      </c>
      <c r="E3116" t="s">
        <v>3503</v>
      </c>
      <c r="F3116" t="s">
        <v>17</v>
      </c>
    </row>
    <row r="3117" spans="1:6" x14ac:dyDescent="0.3">
      <c r="A3117" t="s">
        <v>1681</v>
      </c>
      <c r="B3117" t="s">
        <v>61</v>
      </c>
      <c r="C3117" t="str">
        <f>HYPERLINK("http://service.sap.com/sap/support/notes/1945740","1945740")</f>
        <v>1945740</v>
      </c>
      <c r="D3117">
        <v>3</v>
      </c>
      <c r="E3117" t="s">
        <v>3504</v>
      </c>
      <c r="F3117" t="s">
        <v>17</v>
      </c>
    </row>
    <row r="3118" spans="1:6" x14ac:dyDescent="0.3">
      <c r="A3118" t="s">
        <v>1681</v>
      </c>
      <c r="B3118" t="s">
        <v>61</v>
      </c>
      <c r="C3118" t="str">
        <f>HYPERLINK("http://service.sap.com/sap/support/notes/1945989","1945989")</f>
        <v>1945989</v>
      </c>
      <c r="D3118">
        <v>5</v>
      </c>
      <c r="E3118" t="s">
        <v>3505</v>
      </c>
      <c r="F3118" t="s">
        <v>11</v>
      </c>
    </row>
    <row r="3119" spans="1:6" x14ac:dyDescent="0.3">
      <c r="A3119" t="s">
        <v>1681</v>
      </c>
      <c r="B3119" t="s">
        <v>61</v>
      </c>
      <c r="C3119" t="str">
        <f>HYPERLINK("http://service.sap.com/sap/support/notes/1950633","1950633")</f>
        <v>1950633</v>
      </c>
      <c r="D3119">
        <v>1</v>
      </c>
      <c r="E3119" t="s">
        <v>3506</v>
      </c>
      <c r="F3119" t="s">
        <v>17</v>
      </c>
    </row>
    <row r="3120" spans="1:6" x14ac:dyDescent="0.3">
      <c r="A3120" t="s">
        <v>1681</v>
      </c>
      <c r="B3120" t="s">
        <v>61</v>
      </c>
      <c r="C3120" t="str">
        <f>HYPERLINK("http://service.sap.com/sap/support/notes/1951319","1951319")</f>
        <v>1951319</v>
      </c>
      <c r="D3120">
        <v>11</v>
      </c>
      <c r="E3120" t="s">
        <v>3507</v>
      </c>
      <c r="F3120" t="s">
        <v>17</v>
      </c>
    </row>
    <row r="3121" spans="1:6" x14ac:dyDescent="0.3">
      <c r="A3121" t="s">
        <v>1681</v>
      </c>
      <c r="B3121" t="s">
        <v>61</v>
      </c>
      <c r="C3121" t="str">
        <f>HYPERLINK("http://service.sap.com/sap/support/notes/1952594","1952594")</f>
        <v>1952594</v>
      </c>
      <c r="D3121">
        <v>3</v>
      </c>
      <c r="E3121" t="s">
        <v>3508</v>
      </c>
      <c r="F3121" t="s">
        <v>17</v>
      </c>
    </row>
    <row r="3122" spans="1:6" x14ac:dyDescent="0.3">
      <c r="A3122" t="s">
        <v>1681</v>
      </c>
      <c r="B3122" t="s">
        <v>61</v>
      </c>
      <c r="C3122" t="str">
        <f>HYPERLINK("http://service.sap.com/sap/support/notes/1953213","1953213")</f>
        <v>1953213</v>
      </c>
      <c r="D3122">
        <v>1</v>
      </c>
      <c r="E3122" t="s">
        <v>3509</v>
      </c>
      <c r="F3122" t="s">
        <v>17</v>
      </c>
    </row>
    <row r="3123" spans="1:6" x14ac:dyDescent="0.3">
      <c r="A3123" t="s">
        <v>1681</v>
      </c>
      <c r="B3123" t="s">
        <v>61</v>
      </c>
      <c r="C3123" t="str">
        <f>HYPERLINK("http://service.sap.com/sap/support/notes/1953214","1953214")</f>
        <v>1953214</v>
      </c>
      <c r="D3123">
        <v>1</v>
      </c>
      <c r="E3123" t="s">
        <v>3510</v>
      </c>
      <c r="F3123" t="s">
        <v>17</v>
      </c>
    </row>
    <row r="3124" spans="1:6" x14ac:dyDescent="0.3">
      <c r="A3124" t="s">
        <v>1681</v>
      </c>
      <c r="B3124" t="s">
        <v>61</v>
      </c>
      <c r="C3124" t="str">
        <f>HYPERLINK("http://service.sap.com/sap/support/notes/1953385","1953385")</f>
        <v>1953385</v>
      </c>
      <c r="D3124">
        <v>1</v>
      </c>
      <c r="E3124" t="s">
        <v>3511</v>
      </c>
      <c r="F3124" t="s">
        <v>17</v>
      </c>
    </row>
    <row r="3125" spans="1:6" x14ac:dyDescent="0.3">
      <c r="A3125" t="s">
        <v>1681</v>
      </c>
      <c r="B3125" t="s">
        <v>61</v>
      </c>
      <c r="C3125" t="str">
        <f>HYPERLINK("http://service.sap.com/sap/support/notes/1953456","1953456")</f>
        <v>1953456</v>
      </c>
      <c r="D3125">
        <v>3</v>
      </c>
      <c r="E3125" t="s">
        <v>3512</v>
      </c>
      <c r="F3125" t="s">
        <v>17</v>
      </c>
    </row>
    <row r="3126" spans="1:6" x14ac:dyDescent="0.3">
      <c r="A3126" t="s">
        <v>1681</v>
      </c>
      <c r="B3126" t="s">
        <v>61</v>
      </c>
      <c r="C3126" t="str">
        <f>HYPERLINK("http://service.sap.com/sap/support/notes/1954510","1954510")</f>
        <v>1954510</v>
      </c>
      <c r="D3126">
        <v>2</v>
      </c>
      <c r="E3126" t="s">
        <v>3513</v>
      </c>
      <c r="F3126" t="s">
        <v>17</v>
      </c>
    </row>
    <row r="3127" spans="1:6" x14ac:dyDescent="0.3">
      <c r="A3127" t="s">
        <v>1681</v>
      </c>
      <c r="B3127" t="s">
        <v>61</v>
      </c>
      <c r="C3127" t="str">
        <f>HYPERLINK("http://service.sap.com/sap/support/notes/1954809","1954809")</f>
        <v>1954809</v>
      </c>
      <c r="D3127">
        <v>6</v>
      </c>
      <c r="E3127" t="s">
        <v>3514</v>
      </c>
      <c r="F3127" t="s">
        <v>17</v>
      </c>
    </row>
    <row r="3128" spans="1:6" x14ac:dyDescent="0.3">
      <c r="A3128" t="s">
        <v>1681</v>
      </c>
      <c r="B3128" t="s">
        <v>61</v>
      </c>
      <c r="C3128" t="str">
        <f>HYPERLINK("http://service.sap.com/sap/support/notes/1954842","1954842")</f>
        <v>1954842</v>
      </c>
      <c r="D3128">
        <v>3</v>
      </c>
      <c r="E3128" t="s">
        <v>3515</v>
      </c>
      <c r="F3128" t="s">
        <v>17</v>
      </c>
    </row>
    <row r="3129" spans="1:6" x14ac:dyDescent="0.3">
      <c r="A3129" t="s">
        <v>1681</v>
      </c>
      <c r="B3129" t="s">
        <v>61</v>
      </c>
      <c r="C3129" t="str">
        <f>HYPERLINK("http://service.sap.com/sap/support/notes/1955356","1955356")</f>
        <v>1955356</v>
      </c>
      <c r="D3129">
        <v>2</v>
      </c>
      <c r="E3129" t="s">
        <v>3516</v>
      </c>
      <c r="F3129" t="s">
        <v>17</v>
      </c>
    </row>
    <row r="3130" spans="1:6" x14ac:dyDescent="0.3">
      <c r="A3130" t="s">
        <v>1681</v>
      </c>
      <c r="B3130" t="s">
        <v>61</v>
      </c>
      <c r="C3130" t="str">
        <f>HYPERLINK("http://service.sap.com/sap/support/notes/1955368","1955368")</f>
        <v>1955368</v>
      </c>
      <c r="D3130">
        <v>2</v>
      </c>
      <c r="E3130" t="s">
        <v>3517</v>
      </c>
      <c r="F3130" t="s">
        <v>17</v>
      </c>
    </row>
    <row r="3131" spans="1:6" x14ac:dyDescent="0.3">
      <c r="A3131" t="s">
        <v>1681</v>
      </c>
      <c r="B3131" t="s">
        <v>61</v>
      </c>
      <c r="C3131" t="str">
        <f>HYPERLINK("http://service.sap.com/sap/support/notes/1955737","1955737")</f>
        <v>1955737</v>
      </c>
      <c r="D3131">
        <v>4</v>
      </c>
      <c r="E3131" t="s">
        <v>3518</v>
      </c>
      <c r="F3131" t="s">
        <v>17</v>
      </c>
    </row>
    <row r="3132" spans="1:6" x14ac:dyDescent="0.3">
      <c r="A3132" t="s">
        <v>1681</v>
      </c>
      <c r="B3132" t="s">
        <v>61</v>
      </c>
      <c r="C3132" t="str">
        <f>HYPERLINK("http://service.sap.com/sap/support/notes/1955777","1955777")</f>
        <v>1955777</v>
      </c>
      <c r="D3132">
        <v>3</v>
      </c>
      <c r="E3132" t="s">
        <v>3519</v>
      </c>
      <c r="F3132" t="s">
        <v>11</v>
      </c>
    </row>
    <row r="3133" spans="1:6" x14ac:dyDescent="0.3">
      <c r="A3133" t="s">
        <v>1681</v>
      </c>
      <c r="B3133" t="s">
        <v>61</v>
      </c>
      <c r="C3133" t="str">
        <f>HYPERLINK("http://service.sap.com/sap/support/notes/1955890","1955890")</f>
        <v>1955890</v>
      </c>
      <c r="D3133">
        <v>1</v>
      </c>
      <c r="E3133" t="s">
        <v>3520</v>
      </c>
      <c r="F3133" t="s">
        <v>17</v>
      </c>
    </row>
    <row r="3134" spans="1:6" x14ac:dyDescent="0.3">
      <c r="A3134" t="s">
        <v>1681</v>
      </c>
      <c r="B3134" t="s">
        <v>61</v>
      </c>
      <c r="C3134" t="str">
        <f>HYPERLINK("http://service.sap.com/sap/support/notes/1956825","1956825")</f>
        <v>1956825</v>
      </c>
      <c r="D3134">
        <v>6</v>
      </c>
      <c r="E3134" t="s">
        <v>3521</v>
      </c>
      <c r="F3134" t="s">
        <v>17</v>
      </c>
    </row>
    <row r="3135" spans="1:6" x14ac:dyDescent="0.3">
      <c r="A3135" t="s">
        <v>1681</v>
      </c>
      <c r="B3135" t="s">
        <v>61</v>
      </c>
      <c r="C3135" t="str">
        <f>HYPERLINK("http://service.sap.com/sap/support/notes/1957032","1957032")</f>
        <v>1957032</v>
      </c>
      <c r="D3135">
        <v>9</v>
      </c>
      <c r="E3135" t="s">
        <v>3522</v>
      </c>
      <c r="F3135" t="s">
        <v>17</v>
      </c>
    </row>
    <row r="3136" spans="1:6" x14ac:dyDescent="0.3">
      <c r="A3136" t="s">
        <v>1681</v>
      </c>
      <c r="B3136" t="s">
        <v>61</v>
      </c>
      <c r="C3136" t="str">
        <f>HYPERLINK("http://service.sap.com/sap/support/notes/1958146","1958146")</f>
        <v>1958146</v>
      </c>
      <c r="D3136">
        <v>1</v>
      </c>
      <c r="E3136" t="s">
        <v>3523</v>
      </c>
      <c r="F3136" t="s">
        <v>11</v>
      </c>
    </row>
    <row r="3137" spans="1:6" x14ac:dyDescent="0.3">
      <c r="A3137" t="s">
        <v>1681</v>
      </c>
      <c r="B3137" t="s">
        <v>61</v>
      </c>
      <c r="C3137" t="str">
        <f>HYPERLINK("http://service.sap.com/sap/support/notes/1958195","1958195")</f>
        <v>1958195</v>
      </c>
      <c r="D3137">
        <v>5</v>
      </c>
      <c r="E3137" t="s">
        <v>3524</v>
      </c>
      <c r="F3137" t="s">
        <v>17</v>
      </c>
    </row>
    <row r="3138" spans="1:6" x14ac:dyDescent="0.3">
      <c r="A3138" t="s">
        <v>1681</v>
      </c>
      <c r="B3138" t="s">
        <v>61</v>
      </c>
      <c r="C3138" t="str">
        <f>HYPERLINK("http://service.sap.com/sap/support/notes/1958937","1958937")</f>
        <v>1958937</v>
      </c>
      <c r="D3138">
        <v>5</v>
      </c>
      <c r="E3138" t="s">
        <v>3525</v>
      </c>
      <c r="F3138" t="s">
        <v>17</v>
      </c>
    </row>
    <row r="3139" spans="1:6" x14ac:dyDescent="0.3">
      <c r="A3139" t="s">
        <v>1681</v>
      </c>
      <c r="B3139" t="s">
        <v>61</v>
      </c>
      <c r="C3139" t="str">
        <f>HYPERLINK("http://service.sap.com/sap/support/notes/1959152","1959152")</f>
        <v>1959152</v>
      </c>
      <c r="D3139">
        <v>1</v>
      </c>
      <c r="E3139" t="s">
        <v>3526</v>
      </c>
      <c r="F3139" t="s">
        <v>13</v>
      </c>
    </row>
    <row r="3140" spans="1:6" x14ac:dyDescent="0.3">
      <c r="A3140" t="s">
        <v>1681</v>
      </c>
      <c r="B3140" t="s">
        <v>61</v>
      </c>
      <c r="C3140" t="str">
        <f>HYPERLINK("http://service.sap.com/sap/support/notes/1959251","1959251")</f>
        <v>1959251</v>
      </c>
      <c r="D3140">
        <v>1</v>
      </c>
      <c r="E3140" t="s">
        <v>3527</v>
      </c>
      <c r="F3140" t="s">
        <v>17</v>
      </c>
    </row>
    <row r="3141" spans="1:6" x14ac:dyDescent="0.3">
      <c r="A3141" t="s">
        <v>1681</v>
      </c>
      <c r="B3141" t="s">
        <v>61</v>
      </c>
      <c r="C3141" t="str">
        <f>HYPERLINK("http://service.sap.com/sap/support/notes/1959668","1959668")</f>
        <v>1959668</v>
      </c>
      <c r="D3141">
        <v>2</v>
      </c>
      <c r="E3141" t="s">
        <v>3528</v>
      </c>
      <c r="F3141" t="s">
        <v>17</v>
      </c>
    </row>
    <row r="3142" spans="1:6" x14ac:dyDescent="0.3">
      <c r="A3142" t="s">
        <v>1681</v>
      </c>
      <c r="B3142" t="s">
        <v>61</v>
      </c>
      <c r="C3142" t="str">
        <f>HYPERLINK("http://service.sap.com/sap/support/notes/1959669","1959669")</f>
        <v>1959669</v>
      </c>
      <c r="D3142">
        <v>3</v>
      </c>
      <c r="E3142" t="s">
        <v>3529</v>
      </c>
      <c r="F3142" t="s">
        <v>17</v>
      </c>
    </row>
    <row r="3143" spans="1:6" x14ac:dyDescent="0.3">
      <c r="A3143" t="s">
        <v>1681</v>
      </c>
      <c r="B3143" t="s">
        <v>61</v>
      </c>
      <c r="C3143" t="str">
        <f>HYPERLINK("http://service.sap.com/sap/support/notes/1959718","1959718")</f>
        <v>1959718</v>
      </c>
      <c r="D3143">
        <v>8</v>
      </c>
      <c r="E3143" t="s">
        <v>3530</v>
      </c>
      <c r="F3143" t="s">
        <v>17</v>
      </c>
    </row>
    <row r="3144" spans="1:6" x14ac:dyDescent="0.3">
      <c r="A3144" t="s">
        <v>1681</v>
      </c>
      <c r="B3144" t="s">
        <v>61</v>
      </c>
      <c r="C3144" t="str">
        <f>HYPERLINK("http://service.sap.com/sap/support/notes/1959730","1959730")</f>
        <v>1959730</v>
      </c>
      <c r="D3144">
        <v>2</v>
      </c>
      <c r="E3144" t="s">
        <v>3531</v>
      </c>
      <c r="F3144" t="s">
        <v>17</v>
      </c>
    </row>
    <row r="3145" spans="1:6" x14ac:dyDescent="0.3">
      <c r="A3145" t="s">
        <v>1681</v>
      </c>
      <c r="B3145" t="s">
        <v>61</v>
      </c>
      <c r="C3145" t="str">
        <f>HYPERLINK("http://service.sap.com/sap/support/notes/1959806","1959806")</f>
        <v>1959806</v>
      </c>
      <c r="D3145">
        <v>4</v>
      </c>
      <c r="E3145" t="s">
        <v>3532</v>
      </c>
      <c r="F3145" t="s">
        <v>17</v>
      </c>
    </row>
    <row r="3146" spans="1:6" x14ac:dyDescent="0.3">
      <c r="A3146" t="s">
        <v>1681</v>
      </c>
      <c r="B3146" t="s">
        <v>61</v>
      </c>
      <c r="C3146" t="str">
        <f>HYPERLINK("http://service.sap.com/sap/support/notes/1960251","1960251")</f>
        <v>1960251</v>
      </c>
      <c r="D3146">
        <v>2</v>
      </c>
      <c r="E3146" t="s">
        <v>3533</v>
      </c>
      <c r="F3146" t="s">
        <v>13</v>
      </c>
    </row>
    <row r="3147" spans="1:6" x14ac:dyDescent="0.3">
      <c r="A3147" t="s">
        <v>1681</v>
      </c>
      <c r="B3147" t="s">
        <v>61</v>
      </c>
      <c r="C3147" t="str">
        <f>HYPERLINK("http://service.sap.com/sap/support/notes/1960585","1960585")</f>
        <v>1960585</v>
      </c>
      <c r="D3147">
        <v>3</v>
      </c>
      <c r="E3147" t="s">
        <v>3534</v>
      </c>
      <c r="F3147" t="s">
        <v>17</v>
      </c>
    </row>
    <row r="3148" spans="1:6" x14ac:dyDescent="0.3">
      <c r="A3148" t="s">
        <v>1681</v>
      </c>
      <c r="B3148" t="s">
        <v>61</v>
      </c>
      <c r="C3148" t="str">
        <f>HYPERLINK("http://service.sap.com/sap/support/notes/1964034","1964034")</f>
        <v>1964034</v>
      </c>
      <c r="D3148">
        <v>6</v>
      </c>
      <c r="E3148" t="s">
        <v>3535</v>
      </c>
      <c r="F3148" t="s">
        <v>17</v>
      </c>
    </row>
    <row r="3149" spans="1:6" x14ac:dyDescent="0.3">
      <c r="A3149" t="s">
        <v>1681</v>
      </c>
      <c r="B3149" t="s">
        <v>61</v>
      </c>
      <c r="C3149" t="str">
        <f>HYPERLINK("http://service.sap.com/sap/support/notes/1964613","1964613")</f>
        <v>1964613</v>
      </c>
      <c r="D3149">
        <v>3</v>
      </c>
      <c r="E3149" t="s">
        <v>3536</v>
      </c>
      <c r="F3149" t="s">
        <v>17</v>
      </c>
    </row>
    <row r="3150" spans="1:6" x14ac:dyDescent="0.3">
      <c r="A3150" t="s">
        <v>1681</v>
      </c>
      <c r="B3150" t="s">
        <v>61</v>
      </c>
      <c r="C3150" t="str">
        <f>HYPERLINK("http://service.sap.com/sap/support/notes/1964916","1964916")</f>
        <v>1964916</v>
      </c>
      <c r="D3150">
        <v>4</v>
      </c>
      <c r="E3150" t="s">
        <v>3537</v>
      </c>
      <c r="F3150" t="s">
        <v>17</v>
      </c>
    </row>
    <row r="3151" spans="1:6" x14ac:dyDescent="0.3">
      <c r="A3151" t="s">
        <v>1681</v>
      </c>
      <c r="B3151" t="s">
        <v>61</v>
      </c>
      <c r="C3151" t="str">
        <f>HYPERLINK("http://service.sap.com/sap/support/notes/1965134","1965134")</f>
        <v>1965134</v>
      </c>
      <c r="D3151">
        <v>2</v>
      </c>
      <c r="E3151" t="s">
        <v>3538</v>
      </c>
      <c r="F3151" t="s">
        <v>17</v>
      </c>
    </row>
    <row r="3152" spans="1:6" x14ac:dyDescent="0.3">
      <c r="A3152" t="s">
        <v>1681</v>
      </c>
      <c r="B3152" t="s">
        <v>61</v>
      </c>
      <c r="C3152" t="str">
        <f>HYPERLINK("http://service.sap.com/sap/support/notes/1965296","1965296")</f>
        <v>1965296</v>
      </c>
      <c r="D3152">
        <v>1</v>
      </c>
      <c r="E3152" t="s">
        <v>3539</v>
      </c>
      <c r="F3152" t="s">
        <v>17</v>
      </c>
    </row>
    <row r="3153" spans="1:6" x14ac:dyDescent="0.3">
      <c r="A3153" t="s">
        <v>1681</v>
      </c>
      <c r="B3153" t="s">
        <v>61</v>
      </c>
      <c r="C3153" t="str">
        <f>HYPERLINK("http://service.sap.com/sap/support/notes/1965805","1965805")</f>
        <v>1965805</v>
      </c>
      <c r="D3153">
        <v>3</v>
      </c>
      <c r="E3153" t="s">
        <v>3540</v>
      </c>
      <c r="F3153" t="s">
        <v>17</v>
      </c>
    </row>
    <row r="3154" spans="1:6" x14ac:dyDescent="0.3">
      <c r="A3154" t="s">
        <v>1681</v>
      </c>
      <c r="B3154" t="s">
        <v>61</v>
      </c>
      <c r="C3154" t="str">
        <f>HYPERLINK("http://service.sap.com/sap/support/notes/1967071","1967071")</f>
        <v>1967071</v>
      </c>
      <c r="D3154">
        <v>5</v>
      </c>
      <c r="E3154" t="s">
        <v>3541</v>
      </c>
      <c r="F3154" t="s">
        <v>17</v>
      </c>
    </row>
    <row r="3155" spans="1:6" x14ac:dyDescent="0.3">
      <c r="A3155" t="s">
        <v>1681</v>
      </c>
      <c r="B3155" t="s">
        <v>61</v>
      </c>
      <c r="C3155" t="str">
        <f>HYPERLINK("http://service.sap.com/sap/support/notes/1967088","1967088")</f>
        <v>1967088</v>
      </c>
      <c r="D3155">
        <v>3</v>
      </c>
      <c r="E3155" t="s">
        <v>3542</v>
      </c>
      <c r="F3155" t="s">
        <v>17</v>
      </c>
    </row>
    <row r="3156" spans="1:6" x14ac:dyDescent="0.3">
      <c r="A3156" t="s">
        <v>1681</v>
      </c>
      <c r="B3156" t="s">
        <v>61</v>
      </c>
      <c r="C3156" t="str">
        <f>HYPERLINK("http://service.sap.com/sap/support/notes/1967232","1967232")</f>
        <v>1967232</v>
      </c>
      <c r="D3156">
        <v>5</v>
      </c>
      <c r="E3156" t="s">
        <v>3543</v>
      </c>
      <c r="F3156" t="s">
        <v>17</v>
      </c>
    </row>
    <row r="3157" spans="1:6" x14ac:dyDescent="0.3">
      <c r="A3157" t="s">
        <v>1681</v>
      </c>
      <c r="B3157" t="s">
        <v>61</v>
      </c>
      <c r="C3157" t="str">
        <f>HYPERLINK("http://service.sap.com/sap/support/notes/1967743","1967743")</f>
        <v>1967743</v>
      </c>
      <c r="D3157">
        <v>2</v>
      </c>
      <c r="E3157" t="s">
        <v>3544</v>
      </c>
      <c r="F3157" t="s">
        <v>17</v>
      </c>
    </row>
    <row r="3158" spans="1:6" x14ac:dyDescent="0.3">
      <c r="A3158" t="s">
        <v>1681</v>
      </c>
      <c r="B3158" t="s">
        <v>61</v>
      </c>
      <c r="C3158" t="str">
        <f>HYPERLINK("http://service.sap.com/sap/support/notes/1967765","1967765")</f>
        <v>1967765</v>
      </c>
      <c r="D3158">
        <v>2</v>
      </c>
      <c r="E3158" t="s">
        <v>3545</v>
      </c>
      <c r="F3158" t="s">
        <v>17</v>
      </c>
    </row>
    <row r="3159" spans="1:6" x14ac:dyDescent="0.3">
      <c r="A3159" t="s">
        <v>1681</v>
      </c>
      <c r="B3159" t="s">
        <v>61</v>
      </c>
      <c r="C3159" t="str">
        <f>HYPERLINK("http://service.sap.com/sap/support/notes/1968193","1968193")</f>
        <v>1968193</v>
      </c>
      <c r="D3159">
        <v>10</v>
      </c>
      <c r="E3159" t="s">
        <v>3546</v>
      </c>
      <c r="F3159" t="s">
        <v>17</v>
      </c>
    </row>
    <row r="3160" spans="1:6" x14ac:dyDescent="0.3">
      <c r="A3160" t="s">
        <v>1681</v>
      </c>
      <c r="B3160" t="s">
        <v>61</v>
      </c>
      <c r="C3160" t="str">
        <f>HYPERLINK("http://service.sap.com/sap/support/notes/1968319","1968319")</f>
        <v>1968319</v>
      </c>
      <c r="D3160">
        <v>5</v>
      </c>
      <c r="E3160" t="s">
        <v>3547</v>
      </c>
      <c r="F3160" t="s">
        <v>17</v>
      </c>
    </row>
    <row r="3161" spans="1:6" x14ac:dyDescent="0.3">
      <c r="A3161" t="s">
        <v>1681</v>
      </c>
      <c r="B3161" t="s">
        <v>61</v>
      </c>
      <c r="C3161" t="str">
        <f>HYPERLINK("http://service.sap.com/sap/support/notes/1968522","1968522")</f>
        <v>1968522</v>
      </c>
      <c r="D3161">
        <v>4</v>
      </c>
      <c r="E3161" t="s">
        <v>3548</v>
      </c>
      <c r="F3161" t="s">
        <v>17</v>
      </c>
    </row>
    <row r="3162" spans="1:6" x14ac:dyDescent="0.3">
      <c r="A3162" t="s">
        <v>1681</v>
      </c>
      <c r="B3162" t="s">
        <v>61</v>
      </c>
      <c r="C3162" t="str">
        <f>HYPERLINK("http://service.sap.com/sap/support/notes/1968782","1968782")</f>
        <v>1968782</v>
      </c>
      <c r="D3162">
        <v>3</v>
      </c>
      <c r="E3162" t="s">
        <v>3549</v>
      </c>
      <c r="F3162" t="s">
        <v>17</v>
      </c>
    </row>
    <row r="3163" spans="1:6" x14ac:dyDescent="0.3">
      <c r="A3163" t="s">
        <v>1681</v>
      </c>
      <c r="B3163" t="s">
        <v>61</v>
      </c>
      <c r="C3163" t="str">
        <f>HYPERLINK("http://service.sap.com/sap/support/notes/1969427","1969427")</f>
        <v>1969427</v>
      </c>
      <c r="D3163">
        <v>4</v>
      </c>
      <c r="E3163" t="s">
        <v>3550</v>
      </c>
      <c r="F3163" t="s">
        <v>17</v>
      </c>
    </row>
    <row r="3164" spans="1:6" x14ac:dyDescent="0.3">
      <c r="A3164" t="s">
        <v>1681</v>
      </c>
      <c r="B3164" t="s">
        <v>61</v>
      </c>
      <c r="C3164" t="str">
        <f>HYPERLINK("http://service.sap.com/sap/support/notes/1969695","1969695")</f>
        <v>1969695</v>
      </c>
      <c r="D3164">
        <v>4</v>
      </c>
      <c r="E3164" t="s">
        <v>3551</v>
      </c>
      <c r="F3164" t="s">
        <v>17</v>
      </c>
    </row>
    <row r="3165" spans="1:6" x14ac:dyDescent="0.3">
      <c r="A3165" t="s">
        <v>1681</v>
      </c>
      <c r="B3165" t="s">
        <v>61</v>
      </c>
      <c r="C3165" t="str">
        <f>HYPERLINK("http://service.sap.com/sap/support/notes/1969939","1969939")</f>
        <v>1969939</v>
      </c>
      <c r="D3165">
        <v>3</v>
      </c>
      <c r="E3165" t="s">
        <v>3552</v>
      </c>
      <c r="F3165" t="s">
        <v>17</v>
      </c>
    </row>
    <row r="3166" spans="1:6" x14ac:dyDescent="0.3">
      <c r="A3166" t="s">
        <v>1681</v>
      </c>
      <c r="B3166" t="s">
        <v>61</v>
      </c>
      <c r="C3166" t="str">
        <f>HYPERLINK("http://service.sap.com/sap/support/notes/1970142","1970142")</f>
        <v>1970142</v>
      </c>
      <c r="D3166">
        <v>6</v>
      </c>
      <c r="E3166" t="s">
        <v>3553</v>
      </c>
      <c r="F3166" t="s">
        <v>17</v>
      </c>
    </row>
    <row r="3167" spans="1:6" x14ac:dyDescent="0.3">
      <c r="A3167" t="s">
        <v>1681</v>
      </c>
      <c r="B3167" t="s">
        <v>61</v>
      </c>
      <c r="C3167" t="str">
        <f>HYPERLINK("http://service.sap.com/sap/support/notes/1970372","1970372")</f>
        <v>1970372</v>
      </c>
      <c r="D3167">
        <v>2</v>
      </c>
      <c r="E3167" t="s">
        <v>3554</v>
      </c>
      <c r="F3167" t="s">
        <v>17</v>
      </c>
    </row>
    <row r="3168" spans="1:6" x14ac:dyDescent="0.3">
      <c r="A3168" t="s">
        <v>1681</v>
      </c>
      <c r="B3168" t="s">
        <v>61</v>
      </c>
      <c r="C3168" t="str">
        <f>HYPERLINK("http://service.sap.com/sap/support/notes/1971673","1971673")</f>
        <v>1971673</v>
      </c>
      <c r="D3168">
        <v>7</v>
      </c>
      <c r="E3168" t="s">
        <v>3555</v>
      </c>
      <c r="F3168" t="s">
        <v>17</v>
      </c>
    </row>
    <row r="3169" spans="1:6" x14ac:dyDescent="0.3">
      <c r="A3169" t="s">
        <v>1681</v>
      </c>
      <c r="B3169" t="s">
        <v>61</v>
      </c>
      <c r="C3169" t="str">
        <f>HYPERLINK("http://service.sap.com/sap/support/notes/1973238","1973238")</f>
        <v>1973238</v>
      </c>
      <c r="D3169">
        <v>4</v>
      </c>
      <c r="E3169" t="s">
        <v>3556</v>
      </c>
      <c r="F3169" t="s">
        <v>17</v>
      </c>
    </row>
    <row r="3170" spans="1:6" x14ac:dyDescent="0.3">
      <c r="A3170" t="s">
        <v>1681</v>
      </c>
      <c r="B3170" t="s">
        <v>61</v>
      </c>
      <c r="C3170" t="str">
        <f>HYPERLINK("http://service.sap.com/sap/support/notes/1973902","1973902")</f>
        <v>1973902</v>
      </c>
      <c r="D3170">
        <v>1</v>
      </c>
      <c r="E3170" t="s">
        <v>3506</v>
      </c>
      <c r="F3170" t="s">
        <v>17</v>
      </c>
    </row>
    <row r="3171" spans="1:6" x14ac:dyDescent="0.3">
      <c r="A3171" t="s">
        <v>1681</v>
      </c>
      <c r="B3171" t="s">
        <v>61</v>
      </c>
      <c r="C3171" t="str">
        <f>HYPERLINK("http://service.sap.com/sap/support/notes/1974027","1974027")</f>
        <v>1974027</v>
      </c>
      <c r="D3171">
        <v>1</v>
      </c>
      <c r="E3171" t="s">
        <v>3506</v>
      </c>
      <c r="F3171" t="s">
        <v>17</v>
      </c>
    </row>
    <row r="3172" spans="1:6" x14ac:dyDescent="0.3">
      <c r="A3172" t="s">
        <v>1681</v>
      </c>
      <c r="B3172" t="s">
        <v>61</v>
      </c>
      <c r="C3172" t="str">
        <f>HYPERLINK("http://service.sap.com/sap/support/notes/1974275","1974275")</f>
        <v>1974275</v>
      </c>
      <c r="D3172">
        <v>1</v>
      </c>
      <c r="E3172" t="s">
        <v>3557</v>
      </c>
      <c r="F3172" t="s">
        <v>17</v>
      </c>
    </row>
    <row r="3173" spans="1:6" x14ac:dyDescent="0.3">
      <c r="A3173" t="s">
        <v>1681</v>
      </c>
      <c r="B3173" t="s">
        <v>61</v>
      </c>
      <c r="C3173" t="str">
        <f>HYPERLINK("http://service.sap.com/sap/support/notes/1974375","1974375")</f>
        <v>1974375</v>
      </c>
      <c r="D3173">
        <v>1</v>
      </c>
      <c r="E3173" t="s">
        <v>3558</v>
      </c>
      <c r="F3173" t="s">
        <v>17</v>
      </c>
    </row>
    <row r="3174" spans="1:6" x14ac:dyDescent="0.3">
      <c r="A3174" t="s">
        <v>1681</v>
      </c>
      <c r="B3174" t="s">
        <v>61</v>
      </c>
      <c r="C3174" t="str">
        <f>HYPERLINK("http://service.sap.com/sap/support/notes/1975237","1975237")</f>
        <v>1975237</v>
      </c>
      <c r="D3174">
        <v>1</v>
      </c>
      <c r="E3174" t="s">
        <v>3559</v>
      </c>
      <c r="F3174" t="s">
        <v>17</v>
      </c>
    </row>
    <row r="3175" spans="1:6" x14ac:dyDescent="0.3">
      <c r="A3175" t="s">
        <v>1681</v>
      </c>
      <c r="B3175" t="s">
        <v>61</v>
      </c>
      <c r="C3175" t="str">
        <f>HYPERLINK("http://service.sap.com/sap/support/notes/1975596","1975596")</f>
        <v>1975596</v>
      </c>
      <c r="D3175">
        <v>3</v>
      </c>
      <c r="E3175" t="s">
        <v>3560</v>
      </c>
      <c r="F3175" t="s">
        <v>17</v>
      </c>
    </row>
    <row r="3176" spans="1:6" x14ac:dyDescent="0.3">
      <c r="A3176" t="s">
        <v>1681</v>
      </c>
      <c r="B3176" t="s">
        <v>61</v>
      </c>
      <c r="C3176" t="str">
        <f>HYPERLINK("http://service.sap.com/sap/support/notes/1975607","1975607")</f>
        <v>1975607</v>
      </c>
      <c r="D3176">
        <v>1</v>
      </c>
      <c r="E3176" t="s">
        <v>3561</v>
      </c>
      <c r="F3176" t="s">
        <v>17</v>
      </c>
    </row>
    <row r="3177" spans="1:6" x14ac:dyDescent="0.3">
      <c r="A3177" t="s">
        <v>1681</v>
      </c>
      <c r="B3177" t="s">
        <v>61</v>
      </c>
      <c r="C3177" t="str">
        <f>HYPERLINK("http://service.sap.com/sap/support/notes/1975760","1975760")</f>
        <v>1975760</v>
      </c>
      <c r="D3177">
        <v>4</v>
      </c>
      <c r="E3177" t="s">
        <v>3562</v>
      </c>
      <c r="F3177" t="s">
        <v>17</v>
      </c>
    </row>
    <row r="3178" spans="1:6" x14ac:dyDescent="0.3">
      <c r="A3178" t="s">
        <v>1681</v>
      </c>
      <c r="B3178" t="s">
        <v>61</v>
      </c>
      <c r="C3178" t="str">
        <f>HYPERLINK("http://service.sap.com/sap/support/notes/1976130","1976130")</f>
        <v>1976130</v>
      </c>
      <c r="D3178">
        <v>5</v>
      </c>
      <c r="E3178" t="s">
        <v>3563</v>
      </c>
      <c r="F3178" t="s">
        <v>17</v>
      </c>
    </row>
    <row r="3179" spans="1:6" x14ac:dyDescent="0.3">
      <c r="A3179" t="s">
        <v>1681</v>
      </c>
      <c r="B3179" t="s">
        <v>61</v>
      </c>
      <c r="C3179" t="str">
        <f>HYPERLINK("http://service.sap.com/sap/support/notes/1977950","1977950")</f>
        <v>1977950</v>
      </c>
      <c r="D3179">
        <v>1</v>
      </c>
      <c r="E3179" t="s">
        <v>3564</v>
      </c>
      <c r="F3179" t="s">
        <v>17</v>
      </c>
    </row>
    <row r="3180" spans="1:6" x14ac:dyDescent="0.3">
      <c r="A3180" t="s">
        <v>1681</v>
      </c>
      <c r="B3180" t="s">
        <v>61</v>
      </c>
      <c r="C3180" t="str">
        <f>HYPERLINK("http://service.sap.com/sap/support/notes/1978382","1978382")</f>
        <v>1978382</v>
      </c>
      <c r="D3180">
        <v>1</v>
      </c>
      <c r="E3180" t="s">
        <v>3565</v>
      </c>
      <c r="F3180" t="s">
        <v>17</v>
      </c>
    </row>
    <row r="3181" spans="1:6" x14ac:dyDescent="0.3">
      <c r="A3181" t="s">
        <v>1681</v>
      </c>
      <c r="B3181" t="s">
        <v>61</v>
      </c>
      <c r="C3181" t="str">
        <f>HYPERLINK("http://service.sap.com/sap/support/notes/1978508","1978508")</f>
        <v>1978508</v>
      </c>
      <c r="D3181">
        <v>4</v>
      </c>
      <c r="E3181" t="s">
        <v>3566</v>
      </c>
      <c r="F3181" t="s">
        <v>17</v>
      </c>
    </row>
    <row r="3182" spans="1:6" x14ac:dyDescent="0.3">
      <c r="A3182" t="s">
        <v>1681</v>
      </c>
      <c r="B3182" t="s">
        <v>61</v>
      </c>
      <c r="C3182" t="str">
        <f>HYPERLINK("http://service.sap.com/sap/support/notes/1979049","1979049")</f>
        <v>1979049</v>
      </c>
      <c r="D3182">
        <v>1</v>
      </c>
      <c r="E3182" t="s">
        <v>3567</v>
      </c>
      <c r="F3182" t="s">
        <v>17</v>
      </c>
    </row>
    <row r="3183" spans="1:6" x14ac:dyDescent="0.3">
      <c r="A3183" t="s">
        <v>1681</v>
      </c>
      <c r="B3183" t="s">
        <v>61</v>
      </c>
      <c r="C3183" t="str">
        <f>HYPERLINK("http://service.sap.com/sap/support/notes/1979076","1979076")</f>
        <v>1979076</v>
      </c>
      <c r="D3183">
        <v>16</v>
      </c>
      <c r="E3183" t="s">
        <v>3568</v>
      </c>
      <c r="F3183" t="s">
        <v>17</v>
      </c>
    </row>
    <row r="3184" spans="1:6" x14ac:dyDescent="0.3">
      <c r="A3184" t="s">
        <v>1681</v>
      </c>
      <c r="B3184" t="s">
        <v>61</v>
      </c>
      <c r="C3184" t="str">
        <f>HYPERLINK("http://service.sap.com/sap/support/notes/1979091","1979091")</f>
        <v>1979091</v>
      </c>
      <c r="D3184">
        <v>2</v>
      </c>
      <c r="E3184" t="s">
        <v>3569</v>
      </c>
      <c r="F3184" t="s">
        <v>17</v>
      </c>
    </row>
    <row r="3185" spans="1:6" x14ac:dyDescent="0.3">
      <c r="A3185" t="s">
        <v>1681</v>
      </c>
      <c r="B3185" t="s">
        <v>61</v>
      </c>
      <c r="C3185" t="str">
        <f>HYPERLINK("http://service.sap.com/sap/support/notes/1979697","1979697")</f>
        <v>1979697</v>
      </c>
      <c r="D3185">
        <v>3</v>
      </c>
      <c r="E3185" t="s">
        <v>3570</v>
      </c>
      <c r="F3185" t="s">
        <v>17</v>
      </c>
    </row>
    <row r="3186" spans="1:6" x14ac:dyDescent="0.3">
      <c r="A3186" t="s">
        <v>1681</v>
      </c>
      <c r="B3186" t="s">
        <v>61</v>
      </c>
      <c r="C3186" t="str">
        <f>HYPERLINK("http://service.sap.com/sap/support/notes/1980083","1980083")</f>
        <v>1980083</v>
      </c>
      <c r="D3186">
        <v>1</v>
      </c>
      <c r="E3186" t="s">
        <v>3571</v>
      </c>
      <c r="F3186" t="s">
        <v>17</v>
      </c>
    </row>
    <row r="3187" spans="1:6" x14ac:dyDescent="0.3">
      <c r="A3187" t="s">
        <v>1681</v>
      </c>
      <c r="B3187" t="s">
        <v>61</v>
      </c>
      <c r="C3187" t="str">
        <f>HYPERLINK("http://service.sap.com/sap/support/notes/1982152","1982152")</f>
        <v>1982152</v>
      </c>
      <c r="D3187">
        <v>1</v>
      </c>
      <c r="E3187" t="s">
        <v>3572</v>
      </c>
      <c r="F3187" t="s">
        <v>17</v>
      </c>
    </row>
    <row r="3188" spans="1:6" x14ac:dyDescent="0.3">
      <c r="A3188" t="s">
        <v>1681</v>
      </c>
      <c r="B3188" t="s">
        <v>61</v>
      </c>
      <c r="C3188" t="str">
        <f>HYPERLINK("http://service.sap.com/sap/support/notes/1982346","1982346")</f>
        <v>1982346</v>
      </c>
      <c r="D3188">
        <v>2</v>
      </c>
      <c r="E3188" t="s">
        <v>3573</v>
      </c>
      <c r="F3188" t="s">
        <v>17</v>
      </c>
    </row>
    <row r="3189" spans="1:6" x14ac:dyDescent="0.3">
      <c r="A3189" t="s">
        <v>1681</v>
      </c>
      <c r="B3189" t="s">
        <v>61</v>
      </c>
      <c r="C3189" t="str">
        <f>HYPERLINK("http://service.sap.com/sap/support/notes/1983004","1983004")</f>
        <v>1983004</v>
      </c>
      <c r="D3189">
        <v>2</v>
      </c>
      <c r="E3189" t="s">
        <v>3574</v>
      </c>
      <c r="F3189" t="s">
        <v>17</v>
      </c>
    </row>
    <row r="3190" spans="1:6" x14ac:dyDescent="0.3">
      <c r="A3190" t="s">
        <v>1681</v>
      </c>
      <c r="B3190" t="s">
        <v>61</v>
      </c>
      <c r="C3190" t="str">
        <f>HYPERLINK("http://service.sap.com/sap/support/notes/1983304","1983304")</f>
        <v>1983304</v>
      </c>
      <c r="D3190">
        <v>1</v>
      </c>
      <c r="E3190" t="s">
        <v>3575</v>
      </c>
      <c r="F3190" t="s">
        <v>17</v>
      </c>
    </row>
    <row r="3191" spans="1:6" x14ac:dyDescent="0.3">
      <c r="A3191" t="s">
        <v>1681</v>
      </c>
      <c r="B3191" t="s">
        <v>61</v>
      </c>
      <c r="C3191" t="str">
        <f>HYPERLINK("http://service.sap.com/sap/support/notes/1983624","1983624")</f>
        <v>1983624</v>
      </c>
      <c r="D3191">
        <v>1</v>
      </c>
      <c r="E3191" t="s">
        <v>3576</v>
      </c>
      <c r="F3191" t="s">
        <v>17</v>
      </c>
    </row>
    <row r="3192" spans="1:6" x14ac:dyDescent="0.3">
      <c r="A3192" t="s">
        <v>1681</v>
      </c>
      <c r="B3192" t="s">
        <v>61</v>
      </c>
      <c r="C3192" t="str">
        <f>HYPERLINK("http://service.sap.com/sap/support/notes/1984502","1984502")</f>
        <v>1984502</v>
      </c>
      <c r="D3192">
        <v>2</v>
      </c>
      <c r="E3192" t="s">
        <v>3577</v>
      </c>
      <c r="F3192" t="s">
        <v>17</v>
      </c>
    </row>
    <row r="3193" spans="1:6" x14ac:dyDescent="0.3">
      <c r="A3193" t="s">
        <v>1681</v>
      </c>
      <c r="B3193" t="s">
        <v>61</v>
      </c>
      <c r="C3193" t="str">
        <f>HYPERLINK("http://service.sap.com/sap/support/notes/1984872","1984872")</f>
        <v>1984872</v>
      </c>
      <c r="D3193">
        <v>3</v>
      </c>
      <c r="E3193" t="s">
        <v>3578</v>
      </c>
      <c r="F3193" t="s">
        <v>17</v>
      </c>
    </row>
    <row r="3194" spans="1:6" x14ac:dyDescent="0.3">
      <c r="A3194" t="s">
        <v>1681</v>
      </c>
      <c r="B3194" t="s">
        <v>61</v>
      </c>
      <c r="C3194" t="str">
        <f>HYPERLINK("http://service.sap.com/sap/support/notes/1985231","1985231")</f>
        <v>1985231</v>
      </c>
      <c r="D3194">
        <v>2</v>
      </c>
      <c r="E3194" t="s">
        <v>3579</v>
      </c>
      <c r="F3194" t="s">
        <v>17</v>
      </c>
    </row>
    <row r="3195" spans="1:6" x14ac:dyDescent="0.3">
      <c r="A3195" t="s">
        <v>1681</v>
      </c>
      <c r="B3195" t="s">
        <v>61</v>
      </c>
      <c r="C3195" t="str">
        <f>HYPERLINK("http://service.sap.com/sap/support/notes/1986510","1986510")</f>
        <v>1986510</v>
      </c>
      <c r="D3195">
        <v>2</v>
      </c>
      <c r="E3195" t="s">
        <v>3580</v>
      </c>
      <c r="F3195" t="s">
        <v>17</v>
      </c>
    </row>
    <row r="3196" spans="1:6" x14ac:dyDescent="0.3">
      <c r="A3196" t="s">
        <v>1681</v>
      </c>
      <c r="B3196" t="s">
        <v>61</v>
      </c>
      <c r="C3196" t="str">
        <f>HYPERLINK("http://service.sap.com/sap/support/notes/1987000","1987000")</f>
        <v>1987000</v>
      </c>
      <c r="D3196">
        <v>2</v>
      </c>
      <c r="E3196" t="s">
        <v>3581</v>
      </c>
      <c r="F3196" t="s">
        <v>17</v>
      </c>
    </row>
    <row r="3197" spans="1:6" x14ac:dyDescent="0.3">
      <c r="A3197" t="s">
        <v>1681</v>
      </c>
      <c r="B3197" t="s">
        <v>61</v>
      </c>
      <c r="C3197" t="str">
        <f>HYPERLINK("http://service.sap.com/sap/support/notes/1987923","1987923")</f>
        <v>1987923</v>
      </c>
      <c r="D3197">
        <v>1</v>
      </c>
      <c r="E3197" t="s">
        <v>3582</v>
      </c>
      <c r="F3197" t="s">
        <v>17</v>
      </c>
    </row>
    <row r="3198" spans="1:6" x14ac:dyDescent="0.3">
      <c r="A3198" t="s">
        <v>1681</v>
      </c>
      <c r="B3198" t="s">
        <v>61</v>
      </c>
      <c r="C3198" t="str">
        <f>HYPERLINK("http://service.sap.com/sap/support/notes/1988499","1988499")</f>
        <v>1988499</v>
      </c>
      <c r="D3198">
        <v>1</v>
      </c>
      <c r="E3198" t="s">
        <v>3574</v>
      </c>
      <c r="F3198" t="s">
        <v>17</v>
      </c>
    </row>
    <row r="3199" spans="1:6" x14ac:dyDescent="0.3">
      <c r="A3199" t="s">
        <v>1681</v>
      </c>
      <c r="B3199" t="s">
        <v>61</v>
      </c>
      <c r="C3199" t="str">
        <f>HYPERLINK("http://service.sap.com/sap/support/notes/1988756","1988756")</f>
        <v>1988756</v>
      </c>
      <c r="D3199">
        <v>4</v>
      </c>
      <c r="E3199" t="s">
        <v>3583</v>
      </c>
      <c r="F3199" t="s">
        <v>17</v>
      </c>
    </row>
    <row r="3200" spans="1:6" x14ac:dyDescent="0.3">
      <c r="A3200" t="s">
        <v>1681</v>
      </c>
      <c r="B3200" t="s">
        <v>61</v>
      </c>
      <c r="C3200" t="str">
        <f>HYPERLINK("http://service.sap.com/sap/support/notes/1989709","1989709")</f>
        <v>1989709</v>
      </c>
      <c r="D3200">
        <v>1</v>
      </c>
      <c r="E3200" t="s">
        <v>3584</v>
      </c>
      <c r="F3200" t="s">
        <v>17</v>
      </c>
    </row>
    <row r="3201" spans="1:6" x14ac:dyDescent="0.3">
      <c r="A3201" t="s">
        <v>1681</v>
      </c>
      <c r="B3201" t="s">
        <v>61</v>
      </c>
      <c r="C3201" t="str">
        <f>HYPERLINK("http://service.sap.com/sap/support/notes/1991444","1991444")</f>
        <v>1991444</v>
      </c>
      <c r="D3201">
        <v>1</v>
      </c>
      <c r="E3201" t="s">
        <v>3585</v>
      </c>
      <c r="F3201" t="s">
        <v>17</v>
      </c>
    </row>
    <row r="3202" spans="1:6" x14ac:dyDescent="0.3">
      <c r="A3202" t="s">
        <v>1681</v>
      </c>
      <c r="B3202" t="s">
        <v>61</v>
      </c>
      <c r="C3202" t="str">
        <f>HYPERLINK("http://service.sap.com/sap/support/notes/1991862","1991862")</f>
        <v>1991862</v>
      </c>
      <c r="D3202">
        <v>1</v>
      </c>
      <c r="E3202" t="s">
        <v>3586</v>
      </c>
      <c r="F3202" t="s">
        <v>17</v>
      </c>
    </row>
    <row r="3203" spans="1:6" x14ac:dyDescent="0.3">
      <c r="A3203" t="s">
        <v>1681</v>
      </c>
      <c r="B3203" t="s">
        <v>61</v>
      </c>
      <c r="C3203" t="str">
        <f>HYPERLINK("http://service.sap.com/sap/support/notes/1991954","1991954")</f>
        <v>1991954</v>
      </c>
      <c r="D3203">
        <v>2</v>
      </c>
      <c r="E3203" t="s">
        <v>3587</v>
      </c>
      <c r="F3203" t="s">
        <v>17</v>
      </c>
    </row>
    <row r="3204" spans="1:6" x14ac:dyDescent="0.3">
      <c r="A3204" t="s">
        <v>1681</v>
      </c>
      <c r="B3204" t="s">
        <v>61</v>
      </c>
      <c r="C3204" t="str">
        <f>HYPERLINK("http://service.sap.com/sap/support/notes/1991981","1991981")</f>
        <v>1991981</v>
      </c>
      <c r="D3204">
        <v>4</v>
      </c>
      <c r="E3204" t="s">
        <v>3588</v>
      </c>
      <c r="F3204" t="s">
        <v>17</v>
      </c>
    </row>
    <row r="3205" spans="1:6" x14ac:dyDescent="0.3">
      <c r="A3205" t="s">
        <v>1681</v>
      </c>
      <c r="B3205" t="s">
        <v>61</v>
      </c>
      <c r="C3205" t="str">
        <f>HYPERLINK("http://service.sap.com/sap/support/notes/1992177","1992177")</f>
        <v>1992177</v>
      </c>
      <c r="D3205">
        <v>3</v>
      </c>
      <c r="E3205" t="s">
        <v>3589</v>
      </c>
      <c r="F3205" t="s">
        <v>17</v>
      </c>
    </row>
    <row r="3206" spans="1:6" x14ac:dyDescent="0.3">
      <c r="A3206" t="s">
        <v>1681</v>
      </c>
      <c r="B3206" t="s">
        <v>61</v>
      </c>
      <c r="C3206" t="str">
        <f>HYPERLINK("http://service.sap.com/sap/support/notes/1993516","1993516")</f>
        <v>1993516</v>
      </c>
      <c r="D3206">
        <v>1</v>
      </c>
      <c r="E3206" t="s">
        <v>3590</v>
      </c>
      <c r="F3206" t="s">
        <v>17</v>
      </c>
    </row>
    <row r="3207" spans="1:6" x14ac:dyDescent="0.3">
      <c r="A3207" t="s">
        <v>2600</v>
      </c>
      <c r="B3207" t="s">
        <v>2601</v>
      </c>
    </row>
    <row r="3208" spans="1:6" x14ac:dyDescent="0.3">
      <c r="A3208" t="s">
        <v>2602</v>
      </c>
      <c r="B3208" t="s">
        <v>2603</v>
      </c>
      <c r="C3208" t="str">
        <f>HYPERLINK("http://service.sap.com/sap/support/notes/1865641","1865641")</f>
        <v>1865641</v>
      </c>
      <c r="D3208">
        <v>4</v>
      </c>
      <c r="E3208" t="s">
        <v>3591</v>
      </c>
      <c r="F3208" t="s">
        <v>17</v>
      </c>
    </row>
    <row r="3209" spans="1:6" x14ac:dyDescent="0.3">
      <c r="A3209" t="s">
        <v>2602</v>
      </c>
      <c r="B3209" t="s">
        <v>2603</v>
      </c>
      <c r="C3209" t="str">
        <f>HYPERLINK("http://service.sap.com/sap/support/notes/1869070","1869070")</f>
        <v>1869070</v>
      </c>
      <c r="D3209">
        <v>7</v>
      </c>
      <c r="E3209" t="s">
        <v>3592</v>
      </c>
      <c r="F3209" t="s">
        <v>17</v>
      </c>
    </row>
    <row r="3210" spans="1:6" x14ac:dyDescent="0.3">
      <c r="A3210" t="s">
        <v>2602</v>
      </c>
      <c r="B3210" t="s">
        <v>2603</v>
      </c>
      <c r="C3210" t="str">
        <f>HYPERLINK("http://service.sap.com/sap/support/notes/1869103","1869103")</f>
        <v>1869103</v>
      </c>
      <c r="D3210">
        <v>7</v>
      </c>
      <c r="E3210" t="s">
        <v>3593</v>
      </c>
      <c r="F3210" t="s">
        <v>17</v>
      </c>
    </row>
    <row r="3211" spans="1:6" x14ac:dyDescent="0.3">
      <c r="A3211" t="s">
        <v>2602</v>
      </c>
      <c r="B3211" t="s">
        <v>2603</v>
      </c>
      <c r="C3211" t="str">
        <f>HYPERLINK("http://service.sap.com/sap/support/notes/1953632","1953632")</f>
        <v>1953632</v>
      </c>
      <c r="D3211">
        <v>3</v>
      </c>
      <c r="E3211" t="s">
        <v>3594</v>
      </c>
      <c r="F3211" t="s">
        <v>17</v>
      </c>
    </row>
    <row r="3212" spans="1:6" x14ac:dyDescent="0.3">
      <c r="A3212" t="s">
        <v>2602</v>
      </c>
      <c r="B3212" t="s">
        <v>2603</v>
      </c>
      <c r="C3212" t="str">
        <f>HYPERLINK("http://service.sap.com/sap/support/notes/1954868","1954868")</f>
        <v>1954868</v>
      </c>
      <c r="D3212">
        <v>2</v>
      </c>
      <c r="E3212" t="s">
        <v>3595</v>
      </c>
      <c r="F3212" t="s">
        <v>17</v>
      </c>
    </row>
    <row r="3213" spans="1:6" x14ac:dyDescent="0.3">
      <c r="A3213" t="s">
        <v>2602</v>
      </c>
      <c r="B3213" t="s">
        <v>2603</v>
      </c>
      <c r="C3213" t="str">
        <f>HYPERLINK("http://service.sap.com/sap/support/notes/1968558","1968558")</f>
        <v>1968558</v>
      </c>
      <c r="D3213">
        <v>1</v>
      </c>
      <c r="E3213" t="s">
        <v>3596</v>
      </c>
      <c r="F3213" t="s">
        <v>17</v>
      </c>
    </row>
    <row r="3214" spans="1:6" x14ac:dyDescent="0.3">
      <c r="A3214" t="s">
        <v>2602</v>
      </c>
      <c r="B3214" t="s">
        <v>2603</v>
      </c>
      <c r="C3214" t="str">
        <f>HYPERLINK("http://service.sap.com/sap/support/notes/1971059","1971059")</f>
        <v>1971059</v>
      </c>
      <c r="D3214">
        <v>1</v>
      </c>
      <c r="E3214" t="s">
        <v>3597</v>
      </c>
      <c r="F3214" t="s">
        <v>13</v>
      </c>
    </row>
    <row r="3215" spans="1:6" x14ac:dyDescent="0.3">
      <c r="A3215" t="s">
        <v>2602</v>
      </c>
      <c r="B3215" t="s">
        <v>2603</v>
      </c>
      <c r="C3215" t="str">
        <f>HYPERLINK("http://service.sap.com/sap/support/notes/1972796","1972796")</f>
        <v>1972796</v>
      </c>
      <c r="D3215">
        <v>1</v>
      </c>
      <c r="E3215" t="s">
        <v>3598</v>
      </c>
      <c r="F3215" t="s">
        <v>17</v>
      </c>
    </row>
    <row r="3216" spans="1:6" x14ac:dyDescent="0.3">
      <c r="A3216" t="s">
        <v>2602</v>
      </c>
      <c r="B3216" t="s">
        <v>2603</v>
      </c>
      <c r="C3216" t="str">
        <f>HYPERLINK("http://service.sap.com/sap/support/notes/1977453","1977453")</f>
        <v>1977453</v>
      </c>
      <c r="D3216">
        <v>1</v>
      </c>
      <c r="E3216" t="s">
        <v>3599</v>
      </c>
      <c r="F3216" t="s">
        <v>17</v>
      </c>
    </row>
    <row r="3217" spans="1:6" x14ac:dyDescent="0.3">
      <c r="A3217" t="s">
        <v>2602</v>
      </c>
      <c r="B3217" t="s">
        <v>2603</v>
      </c>
      <c r="C3217" t="str">
        <f>HYPERLINK("http://service.sap.com/sap/support/notes/1978929","1978929")</f>
        <v>1978929</v>
      </c>
      <c r="D3217">
        <v>2</v>
      </c>
      <c r="E3217" t="s">
        <v>3600</v>
      </c>
      <c r="F3217" t="s">
        <v>17</v>
      </c>
    </row>
    <row r="3218" spans="1:6" x14ac:dyDescent="0.3">
      <c r="A3218" t="s">
        <v>2602</v>
      </c>
      <c r="B3218" t="s">
        <v>2603</v>
      </c>
      <c r="C3218" t="str">
        <f>HYPERLINK("http://service.sap.com/sap/support/notes/1979562","1979562")</f>
        <v>1979562</v>
      </c>
      <c r="D3218">
        <v>1</v>
      </c>
      <c r="E3218" t="s">
        <v>3601</v>
      </c>
      <c r="F3218" t="s">
        <v>17</v>
      </c>
    </row>
    <row r="3219" spans="1:6" x14ac:dyDescent="0.3">
      <c r="A3219" t="s">
        <v>2602</v>
      </c>
      <c r="B3219" t="s">
        <v>2603</v>
      </c>
      <c r="C3219" t="str">
        <f>HYPERLINK("http://service.sap.com/sap/support/notes/1979802","1979802")</f>
        <v>1979802</v>
      </c>
      <c r="D3219">
        <v>4</v>
      </c>
      <c r="E3219" t="s">
        <v>3602</v>
      </c>
      <c r="F3219" t="s">
        <v>17</v>
      </c>
    </row>
    <row r="3220" spans="1:6" x14ac:dyDescent="0.3">
      <c r="A3220" t="s">
        <v>2602</v>
      </c>
      <c r="B3220" t="s">
        <v>2603</v>
      </c>
      <c r="C3220" t="str">
        <f>HYPERLINK("http://service.sap.com/sap/support/notes/1992068","1992068")</f>
        <v>1992068</v>
      </c>
      <c r="D3220">
        <v>2</v>
      </c>
      <c r="E3220" t="s">
        <v>3603</v>
      </c>
      <c r="F3220" t="s">
        <v>17</v>
      </c>
    </row>
    <row r="3221" spans="1:6" x14ac:dyDescent="0.3">
      <c r="A3221" t="s">
        <v>2602</v>
      </c>
      <c r="B3221" t="s">
        <v>2603</v>
      </c>
      <c r="C3221" t="str">
        <f>HYPERLINK("http://service.sap.com/sap/support/notes/1992076","1992076")</f>
        <v>1992076</v>
      </c>
      <c r="D3221">
        <v>1</v>
      </c>
      <c r="E3221" t="s">
        <v>3604</v>
      </c>
      <c r="F3221" t="s">
        <v>17</v>
      </c>
    </row>
    <row r="3222" spans="1:6" x14ac:dyDescent="0.3">
      <c r="A3222" t="s">
        <v>2602</v>
      </c>
      <c r="B3222" t="s">
        <v>2603</v>
      </c>
      <c r="C3222" t="str">
        <f>HYPERLINK("http://service.sap.com/sap/support/notes/1992623","1992623")</f>
        <v>1992623</v>
      </c>
      <c r="D3222">
        <v>1</v>
      </c>
      <c r="E3222" t="s">
        <v>3605</v>
      </c>
      <c r="F3222" t="s">
        <v>17</v>
      </c>
    </row>
    <row r="3223" spans="1:6" x14ac:dyDescent="0.3">
      <c r="A3223" t="s">
        <v>1794</v>
      </c>
      <c r="B3223" t="s">
        <v>1795</v>
      </c>
    </row>
    <row r="3224" spans="1:6" x14ac:dyDescent="0.3">
      <c r="A3224" t="s">
        <v>1796</v>
      </c>
      <c r="B3224" t="s">
        <v>61</v>
      </c>
      <c r="C3224" t="str">
        <f>HYPERLINK("http://service.sap.com/sap/support/notes/1957498","1957498")</f>
        <v>1957498</v>
      </c>
      <c r="D3224">
        <v>15</v>
      </c>
      <c r="E3224" t="s">
        <v>3606</v>
      </c>
      <c r="F3224" t="s">
        <v>11</v>
      </c>
    </row>
    <row r="3225" spans="1:6" x14ac:dyDescent="0.3">
      <c r="A3225" t="s">
        <v>1796</v>
      </c>
      <c r="B3225" t="s">
        <v>61</v>
      </c>
      <c r="C3225" t="str">
        <f>HYPERLINK("http://service.sap.com/sap/support/notes/1960114","1960114")</f>
        <v>1960114</v>
      </c>
      <c r="D3225">
        <v>2</v>
      </c>
      <c r="E3225" t="s">
        <v>3607</v>
      </c>
      <c r="F3225" t="s">
        <v>17</v>
      </c>
    </row>
    <row r="3226" spans="1:6" x14ac:dyDescent="0.3">
      <c r="A3226" t="s">
        <v>1796</v>
      </c>
      <c r="B3226" t="s">
        <v>61</v>
      </c>
      <c r="C3226" t="str">
        <f>HYPERLINK("http://service.sap.com/sap/support/notes/1973384","1973384")</f>
        <v>1973384</v>
      </c>
      <c r="D3226">
        <v>3</v>
      </c>
      <c r="E3226" t="s">
        <v>3608</v>
      </c>
      <c r="F3226" t="s">
        <v>17</v>
      </c>
    </row>
    <row r="3227" spans="1:6" x14ac:dyDescent="0.3">
      <c r="A3227" t="s">
        <v>1796</v>
      </c>
      <c r="B3227" t="s">
        <v>61</v>
      </c>
      <c r="C3227" t="str">
        <f>HYPERLINK("http://service.sap.com/sap/support/notes/1976154","1976154")</f>
        <v>1976154</v>
      </c>
      <c r="D3227">
        <v>1</v>
      </c>
      <c r="E3227" t="s">
        <v>3609</v>
      </c>
      <c r="F3227" t="s">
        <v>17</v>
      </c>
    </row>
    <row r="3228" spans="1:6" x14ac:dyDescent="0.3">
      <c r="A3228" t="s">
        <v>1796</v>
      </c>
      <c r="B3228" t="s">
        <v>61</v>
      </c>
      <c r="C3228" t="str">
        <f>HYPERLINK("http://service.sap.com/sap/support/notes/1980630","1980630")</f>
        <v>1980630</v>
      </c>
      <c r="D3228">
        <v>2</v>
      </c>
      <c r="E3228" t="s">
        <v>3610</v>
      </c>
      <c r="F3228" t="s">
        <v>11</v>
      </c>
    </row>
    <row r="3229" spans="1:6" x14ac:dyDescent="0.3">
      <c r="A3229" t="s">
        <v>1796</v>
      </c>
      <c r="B3229" t="s">
        <v>61</v>
      </c>
      <c r="C3229" t="str">
        <f>HYPERLINK("http://service.sap.com/sap/support/notes/1982140","1982140")</f>
        <v>1982140</v>
      </c>
      <c r="D3229">
        <v>1</v>
      </c>
      <c r="E3229" t="s">
        <v>3611</v>
      </c>
      <c r="F3229" t="s">
        <v>11</v>
      </c>
    </row>
    <row r="3230" spans="1:6" x14ac:dyDescent="0.3">
      <c r="A3230" t="s">
        <v>1796</v>
      </c>
      <c r="B3230" t="s">
        <v>61</v>
      </c>
      <c r="C3230" t="str">
        <f>HYPERLINK("http://service.sap.com/sap/support/notes/1983928","1983928")</f>
        <v>1983928</v>
      </c>
      <c r="D3230">
        <v>4</v>
      </c>
      <c r="E3230" t="s">
        <v>3612</v>
      </c>
      <c r="F3230" t="s">
        <v>11</v>
      </c>
    </row>
    <row r="3231" spans="1:6" x14ac:dyDescent="0.3">
      <c r="A3231" t="s">
        <v>1796</v>
      </c>
      <c r="B3231" t="s">
        <v>61</v>
      </c>
      <c r="C3231" t="str">
        <f>HYPERLINK("http://service.sap.com/sap/support/notes/1988092","1988092")</f>
        <v>1988092</v>
      </c>
      <c r="D3231">
        <v>4</v>
      </c>
      <c r="E3231" t="s">
        <v>3613</v>
      </c>
      <c r="F3231" t="s">
        <v>11</v>
      </c>
    </row>
    <row r="3232" spans="1:6" x14ac:dyDescent="0.3">
      <c r="A3232" t="s">
        <v>1798</v>
      </c>
      <c r="B3232" t="s">
        <v>1799</v>
      </c>
    </row>
    <row r="3233" spans="1:6" x14ac:dyDescent="0.3">
      <c r="A3233" t="s">
        <v>1800</v>
      </c>
      <c r="B3233" t="s">
        <v>1801</v>
      </c>
      <c r="C3233" t="str">
        <f>HYPERLINK("http://service.sap.com/sap/support/notes/1926010","1926010")</f>
        <v>1926010</v>
      </c>
      <c r="D3233">
        <v>4</v>
      </c>
      <c r="E3233" t="s">
        <v>3614</v>
      </c>
      <c r="F3233" t="s">
        <v>11</v>
      </c>
    </row>
    <row r="3234" spans="1:6" x14ac:dyDescent="0.3">
      <c r="A3234" t="s">
        <v>1800</v>
      </c>
      <c r="B3234" t="s">
        <v>1801</v>
      </c>
      <c r="C3234" t="str">
        <f>HYPERLINK("http://service.sap.com/sap/support/notes/1930162","1930162")</f>
        <v>1930162</v>
      </c>
      <c r="D3234">
        <v>1</v>
      </c>
      <c r="E3234" t="s">
        <v>3615</v>
      </c>
      <c r="F3234" t="s">
        <v>11</v>
      </c>
    </row>
    <row r="3235" spans="1:6" x14ac:dyDescent="0.3">
      <c r="A3235" t="s">
        <v>1800</v>
      </c>
      <c r="B3235" t="s">
        <v>1801</v>
      </c>
      <c r="C3235" t="str">
        <f>HYPERLINK("http://service.sap.com/sap/support/notes/1942472","1942472")</f>
        <v>1942472</v>
      </c>
      <c r="D3235">
        <v>4</v>
      </c>
      <c r="E3235" t="s">
        <v>3616</v>
      </c>
      <c r="F3235" t="s">
        <v>11</v>
      </c>
    </row>
    <row r="3236" spans="1:6" x14ac:dyDescent="0.3">
      <c r="A3236" t="s">
        <v>1800</v>
      </c>
      <c r="B3236" t="s">
        <v>1801</v>
      </c>
      <c r="C3236" t="str">
        <f>HYPERLINK("http://service.sap.com/sap/support/notes/1956695","1956695")</f>
        <v>1956695</v>
      </c>
      <c r="D3236">
        <v>4</v>
      </c>
      <c r="E3236" t="s">
        <v>3617</v>
      </c>
      <c r="F3236" t="s">
        <v>17</v>
      </c>
    </row>
    <row r="3237" spans="1:6" x14ac:dyDescent="0.3">
      <c r="A3237" t="s">
        <v>1800</v>
      </c>
      <c r="B3237" t="s">
        <v>1801</v>
      </c>
      <c r="C3237" t="str">
        <f>HYPERLINK("http://service.sap.com/sap/support/notes/1958213","1958213")</f>
        <v>1958213</v>
      </c>
      <c r="D3237">
        <v>4</v>
      </c>
      <c r="E3237" t="s">
        <v>3618</v>
      </c>
      <c r="F3237" t="s">
        <v>11</v>
      </c>
    </row>
    <row r="3238" spans="1:6" x14ac:dyDescent="0.3">
      <c r="A3238" t="s">
        <v>1800</v>
      </c>
      <c r="B3238" t="s">
        <v>1801</v>
      </c>
      <c r="C3238" t="str">
        <f>HYPERLINK("http://service.sap.com/sap/support/notes/1966513","1966513")</f>
        <v>1966513</v>
      </c>
      <c r="D3238">
        <v>1</v>
      </c>
      <c r="E3238" t="s">
        <v>3619</v>
      </c>
      <c r="F3238" t="s">
        <v>17</v>
      </c>
    </row>
    <row r="3239" spans="1:6" x14ac:dyDescent="0.3">
      <c r="A3239" t="s">
        <v>1805</v>
      </c>
      <c r="B3239" t="s">
        <v>1806</v>
      </c>
    </row>
    <row r="3240" spans="1:6" x14ac:dyDescent="0.3">
      <c r="A3240" t="s">
        <v>1807</v>
      </c>
      <c r="B3240" t="s">
        <v>61</v>
      </c>
      <c r="C3240" t="str">
        <f>HYPERLINK("http://service.sap.com/sap/support/notes/1888813","1888813")</f>
        <v>1888813</v>
      </c>
      <c r="D3240">
        <v>2</v>
      </c>
      <c r="E3240" t="s">
        <v>3620</v>
      </c>
      <c r="F3240" t="s">
        <v>17</v>
      </c>
    </row>
    <row r="3241" spans="1:6" x14ac:dyDescent="0.3">
      <c r="A3241" t="s">
        <v>1807</v>
      </c>
      <c r="B3241" t="s">
        <v>61</v>
      </c>
      <c r="C3241" t="str">
        <f>HYPERLINK("http://service.sap.com/sap/support/notes/1958055","1958055")</f>
        <v>1958055</v>
      </c>
      <c r="D3241">
        <v>2</v>
      </c>
      <c r="E3241" t="s">
        <v>3621</v>
      </c>
      <c r="F3241" t="s">
        <v>17</v>
      </c>
    </row>
    <row r="3242" spans="1:6" x14ac:dyDescent="0.3">
      <c r="A3242" t="s">
        <v>1807</v>
      </c>
      <c r="B3242" t="s">
        <v>61</v>
      </c>
      <c r="C3242" t="str">
        <f>HYPERLINK("http://service.sap.com/sap/support/notes/1965457","1965457")</f>
        <v>1965457</v>
      </c>
      <c r="D3242">
        <v>1</v>
      </c>
      <c r="E3242" t="s">
        <v>3622</v>
      </c>
      <c r="F3242" t="s">
        <v>17</v>
      </c>
    </row>
    <row r="3243" spans="1:6" x14ac:dyDescent="0.3">
      <c r="A3243" t="s">
        <v>1807</v>
      </c>
      <c r="B3243" t="s">
        <v>61</v>
      </c>
      <c r="C3243" t="str">
        <f>HYPERLINK("http://service.sap.com/sap/support/notes/1980845","1980845")</f>
        <v>1980845</v>
      </c>
      <c r="D3243">
        <v>2</v>
      </c>
      <c r="E3243" t="s">
        <v>3622</v>
      </c>
      <c r="F3243" t="s">
        <v>17</v>
      </c>
    </row>
    <row r="3244" spans="1:6" x14ac:dyDescent="0.3">
      <c r="A3244" t="s">
        <v>1810</v>
      </c>
      <c r="B3244" t="s">
        <v>1811</v>
      </c>
    </row>
    <row r="3245" spans="1:6" x14ac:dyDescent="0.3">
      <c r="A3245" t="s">
        <v>1812</v>
      </c>
      <c r="B3245" t="s">
        <v>61</v>
      </c>
      <c r="C3245" t="str">
        <f>HYPERLINK("http://service.sap.com/sap/support/notes/1674146","1674146")</f>
        <v>1674146</v>
      </c>
      <c r="D3245">
        <v>5</v>
      </c>
      <c r="E3245" t="s">
        <v>3623</v>
      </c>
      <c r="F3245" t="s">
        <v>11</v>
      </c>
    </row>
    <row r="3246" spans="1:6" x14ac:dyDescent="0.3">
      <c r="A3246" t="s">
        <v>1814</v>
      </c>
      <c r="B3246" t="s">
        <v>1815</v>
      </c>
    </row>
    <row r="3247" spans="1:6" x14ac:dyDescent="0.3">
      <c r="A3247" t="s">
        <v>1816</v>
      </c>
      <c r="B3247" t="s">
        <v>1817</v>
      </c>
      <c r="C3247" t="str">
        <f>HYPERLINK("http://service.sap.com/sap/support/notes/1966618","1966618")</f>
        <v>1966618</v>
      </c>
      <c r="D3247">
        <v>2</v>
      </c>
      <c r="E3247" t="s">
        <v>3624</v>
      </c>
      <c r="F3247" t="s">
        <v>17</v>
      </c>
    </row>
    <row r="3248" spans="1:6" x14ac:dyDescent="0.3">
      <c r="A3248" t="s">
        <v>1816</v>
      </c>
      <c r="B3248" t="s">
        <v>1817</v>
      </c>
      <c r="C3248" t="str">
        <f>HYPERLINK("http://service.sap.com/sap/support/notes/1975125","1975125")</f>
        <v>1975125</v>
      </c>
      <c r="D3248">
        <v>6</v>
      </c>
      <c r="E3248" t="s">
        <v>3625</v>
      </c>
      <c r="F3248" t="s">
        <v>17</v>
      </c>
    </row>
    <row r="3249" spans="1:6" x14ac:dyDescent="0.3">
      <c r="A3249" t="s">
        <v>1819</v>
      </c>
      <c r="B3249" t="s">
        <v>1820</v>
      </c>
    </row>
    <row r="3250" spans="1:6" x14ac:dyDescent="0.3">
      <c r="A3250" t="s">
        <v>3626</v>
      </c>
      <c r="B3250" t="s">
        <v>3627</v>
      </c>
    </row>
    <row r="3251" spans="1:6" x14ac:dyDescent="0.3">
      <c r="A3251" t="s">
        <v>3628</v>
      </c>
      <c r="B3251" t="s">
        <v>3629</v>
      </c>
      <c r="C3251" t="str">
        <f>HYPERLINK("http://service.sap.com/sap/support/notes/1974385","1974385")</f>
        <v>1974385</v>
      </c>
      <c r="D3251">
        <v>1</v>
      </c>
      <c r="E3251" t="s">
        <v>3630</v>
      </c>
      <c r="F3251" t="s">
        <v>17</v>
      </c>
    </row>
    <row r="3252" spans="1:6" x14ac:dyDescent="0.3">
      <c r="A3252" t="s">
        <v>6</v>
      </c>
      <c r="B3252" t="s">
        <v>7</v>
      </c>
    </row>
    <row r="3253" spans="1:6" x14ac:dyDescent="0.3">
      <c r="A3253" t="s">
        <v>8</v>
      </c>
      <c r="B3253" t="s">
        <v>9</v>
      </c>
      <c r="C3253" t="str">
        <f>HYPERLINK("http://service.sap.com/sap/support/notes/2013522","2013522")</f>
        <v>2013522</v>
      </c>
      <c r="D3253">
        <v>1</v>
      </c>
      <c r="E3253" t="s">
        <v>3631</v>
      </c>
      <c r="F3253" t="s">
        <v>17</v>
      </c>
    </row>
    <row r="3254" spans="1:6" x14ac:dyDescent="0.3">
      <c r="A3254" t="s">
        <v>8</v>
      </c>
      <c r="B3254" t="s">
        <v>9</v>
      </c>
      <c r="C3254" t="str">
        <f>HYPERLINK("http://service.sap.com/sap/support/notes/2018052","2018052")</f>
        <v>2018052</v>
      </c>
      <c r="D3254">
        <v>1</v>
      </c>
      <c r="E3254" t="s">
        <v>3632</v>
      </c>
      <c r="F3254" t="s">
        <v>17</v>
      </c>
    </row>
    <row r="3255" spans="1:6" x14ac:dyDescent="0.3">
      <c r="A3255" t="s">
        <v>14</v>
      </c>
      <c r="B3255" t="s">
        <v>15</v>
      </c>
      <c r="C3255" t="str">
        <f>HYPERLINK("http://service.sap.com/sap/support/notes/1999271","1999271")</f>
        <v>1999271</v>
      </c>
      <c r="D3255">
        <v>1</v>
      </c>
      <c r="E3255" t="s">
        <v>3633</v>
      </c>
      <c r="F3255" t="s">
        <v>17</v>
      </c>
    </row>
    <row r="3256" spans="1:6" x14ac:dyDescent="0.3">
      <c r="A3256" t="s">
        <v>14</v>
      </c>
      <c r="B3256" t="s">
        <v>15</v>
      </c>
      <c r="C3256" t="str">
        <f>HYPERLINK("http://service.sap.com/sap/support/notes/2000806","2000806")</f>
        <v>2000806</v>
      </c>
      <c r="D3256">
        <v>1</v>
      </c>
      <c r="E3256" t="s">
        <v>3634</v>
      </c>
      <c r="F3256" t="s">
        <v>13</v>
      </c>
    </row>
    <row r="3257" spans="1:6" x14ac:dyDescent="0.3">
      <c r="A3257" t="s">
        <v>14</v>
      </c>
      <c r="B3257" t="s">
        <v>15</v>
      </c>
      <c r="C3257" t="str">
        <f>HYPERLINK("http://service.sap.com/sap/support/notes/2003921","2003921")</f>
        <v>2003921</v>
      </c>
      <c r="D3257">
        <v>3</v>
      </c>
      <c r="E3257" t="s">
        <v>3635</v>
      </c>
      <c r="F3257" t="s">
        <v>17</v>
      </c>
    </row>
    <row r="3258" spans="1:6" x14ac:dyDescent="0.3">
      <c r="A3258" t="s">
        <v>14</v>
      </c>
      <c r="B3258" t="s">
        <v>15</v>
      </c>
      <c r="C3258" t="str">
        <f>HYPERLINK("http://service.sap.com/sap/support/notes/2008519","2008519")</f>
        <v>2008519</v>
      </c>
      <c r="D3258">
        <v>2</v>
      </c>
      <c r="E3258" t="s">
        <v>3636</v>
      </c>
      <c r="F3258" t="s">
        <v>17</v>
      </c>
    </row>
    <row r="3259" spans="1:6" x14ac:dyDescent="0.3">
      <c r="A3259" t="s">
        <v>14</v>
      </c>
      <c r="B3259" t="s">
        <v>15</v>
      </c>
      <c r="C3259" t="str">
        <f>HYPERLINK("http://service.sap.com/sap/support/notes/2026406","2026406")</f>
        <v>2026406</v>
      </c>
      <c r="D3259">
        <v>2</v>
      </c>
      <c r="E3259" t="s">
        <v>3637</v>
      </c>
      <c r="F3259" t="s">
        <v>17</v>
      </c>
    </row>
    <row r="3260" spans="1:6" x14ac:dyDescent="0.3">
      <c r="A3260" t="s">
        <v>26</v>
      </c>
      <c r="B3260" t="s">
        <v>27</v>
      </c>
      <c r="C3260" t="str">
        <f>HYPERLINK("http://service.sap.com/sap/support/notes/1629945","1629945")</f>
        <v>1629945</v>
      </c>
      <c r="D3260">
        <v>2</v>
      </c>
      <c r="E3260" t="s">
        <v>3638</v>
      </c>
      <c r="F3260" t="s">
        <v>17</v>
      </c>
    </row>
    <row r="3261" spans="1:6" x14ac:dyDescent="0.3">
      <c r="A3261" t="s">
        <v>26</v>
      </c>
      <c r="B3261" t="s">
        <v>27</v>
      </c>
      <c r="C3261" t="str">
        <f>HYPERLINK("http://service.sap.com/sap/support/notes/1994893","1994893")</f>
        <v>1994893</v>
      </c>
      <c r="D3261">
        <v>1</v>
      </c>
      <c r="E3261" t="s">
        <v>3639</v>
      </c>
      <c r="F3261" t="s">
        <v>17</v>
      </c>
    </row>
    <row r="3262" spans="1:6" x14ac:dyDescent="0.3">
      <c r="A3262" t="s">
        <v>26</v>
      </c>
      <c r="B3262" t="s">
        <v>27</v>
      </c>
      <c r="C3262" t="str">
        <f>HYPERLINK("http://service.sap.com/sap/support/notes/1996505","1996505")</f>
        <v>1996505</v>
      </c>
      <c r="D3262">
        <v>1</v>
      </c>
      <c r="E3262" t="s">
        <v>3640</v>
      </c>
      <c r="F3262" t="s">
        <v>17</v>
      </c>
    </row>
    <row r="3263" spans="1:6" x14ac:dyDescent="0.3">
      <c r="A3263" t="s">
        <v>26</v>
      </c>
      <c r="B3263" t="s">
        <v>27</v>
      </c>
      <c r="C3263" t="str">
        <f>HYPERLINK("http://service.sap.com/sap/support/notes/2016995","2016995")</f>
        <v>2016995</v>
      </c>
      <c r="D3263">
        <v>1</v>
      </c>
      <c r="E3263" t="s">
        <v>3641</v>
      </c>
      <c r="F3263" t="s">
        <v>17</v>
      </c>
    </row>
    <row r="3264" spans="1:6" x14ac:dyDescent="0.3">
      <c r="A3264" t="s">
        <v>32</v>
      </c>
      <c r="B3264" t="s">
        <v>33</v>
      </c>
    </row>
    <row r="3265" spans="1:6" x14ac:dyDescent="0.3">
      <c r="A3265" t="s">
        <v>39</v>
      </c>
      <c r="B3265" t="s">
        <v>40</v>
      </c>
    </row>
    <row r="3266" spans="1:6" x14ac:dyDescent="0.3">
      <c r="A3266" t="s">
        <v>41</v>
      </c>
      <c r="B3266" t="s">
        <v>42</v>
      </c>
    </row>
    <row r="3267" spans="1:6" x14ac:dyDescent="0.3">
      <c r="A3267" t="s">
        <v>43</v>
      </c>
      <c r="B3267" t="s">
        <v>44</v>
      </c>
      <c r="C3267" t="str">
        <f>HYPERLINK("http://service.sap.com/sap/support/notes/2000824","2000824")</f>
        <v>2000824</v>
      </c>
      <c r="D3267">
        <v>2</v>
      </c>
      <c r="E3267" t="s">
        <v>3642</v>
      </c>
      <c r="F3267" t="s">
        <v>17</v>
      </c>
    </row>
    <row r="3268" spans="1:6" x14ac:dyDescent="0.3">
      <c r="A3268" t="s">
        <v>46</v>
      </c>
      <c r="B3268" t="s">
        <v>47</v>
      </c>
    </row>
    <row r="3269" spans="1:6" x14ac:dyDescent="0.3">
      <c r="A3269" t="s">
        <v>48</v>
      </c>
      <c r="B3269" t="s">
        <v>49</v>
      </c>
    </row>
    <row r="3270" spans="1:6" x14ac:dyDescent="0.3">
      <c r="A3270" t="s">
        <v>50</v>
      </c>
      <c r="B3270" t="s">
        <v>51</v>
      </c>
    </row>
    <row r="3271" spans="1:6" x14ac:dyDescent="0.3">
      <c r="A3271" t="s">
        <v>52</v>
      </c>
      <c r="B3271" t="s">
        <v>53</v>
      </c>
      <c r="C3271" t="str">
        <f>HYPERLINK("http://service.sap.com/sap/support/notes/1686867","1686867")</f>
        <v>1686867</v>
      </c>
      <c r="D3271">
        <v>2</v>
      </c>
      <c r="E3271" t="s">
        <v>3643</v>
      </c>
      <c r="F3271" t="s">
        <v>17</v>
      </c>
    </row>
    <row r="3272" spans="1:6" x14ac:dyDescent="0.3">
      <c r="A3272" t="s">
        <v>52</v>
      </c>
      <c r="B3272" t="s">
        <v>53</v>
      </c>
      <c r="C3272" t="str">
        <f>HYPERLINK("http://service.sap.com/sap/support/notes/2016610","2016610")</f>
        <v>2016610</v>
      </c>
      <c r="D3272">
        <v>1</v>
      </c>
      <c r="E3272" t="s">
        <v>3644</v>
      </c>
      <c r="F3272" t="s">
        <v>17</v>
      </c>
    </row>
    <row r="3273" spans="1:6" x14ac:dyDescent="0.3">
      <c r="A3273" t="s">
        <v>55</v>
      </c>
      <c r="B3273" t="s">
        <v>56</v>
      </c>
      <c r="C3273" t="str">
        <f>HYPERLINK("http://service.sap.com/sap/support/notes/2000432","2000432")</f>
        <v>2000432</v>
      </c>
      <c r="D3273">
        <v>1</v>
      </c>
      <c r="E3273" t="s">
        <v>3645</v>
      </c>
      <c r="F3273" t="s">
        <v>17</v>
      </c>
    </row>
    <row r="3274" spans="1:6" x14ac:dyDescent="0.3">
      <c r="A3274" t="s">
        <v>55</v>
      </c>
      <c r="B3274" t="s">
        <v>56</v>
      </c>
      <c r="C3274" t="str">
        <f>HYPERLINK("http://service.sap.com/sap/support/notes/2003473","2003473")</f>
        <v>2003473</v>
      </c>
      <c r="D3274">
        <v>1</v>
      </c>
      <c r="E3274" t="s">
        <v>3646</v>
      </c>
      <c r="F3274" t="s">
        <v>17</v>
      </c>
    </row>
    <row r="3275" spans="1:6" x14ac:dyDescent="0.3">
      <c r="A3275" t="s">
        <v>60</v>
      </c>
      <c r="B3275" t="s">
        <v>61</v>
      </c>
    </row>
    <row r="3276" spans="1:6" x14ac:dyDescent="0.3">
      <c r="A3276" t="s">
        <v>62</v>
      </c>
      <c r="B3276" t="s">
        <v>63</v>
      </c>
      <c r="C3276" t="str">
        <f>HYPERLINK("http://service.sap.com/sap/support/notes/1977699","1977699")</f>
        <v>1977699</v>
      </c>
      <c r="D3276">
        <v>3</v>
      </c>
      <c r="E3276" t="s">
        <v>3647</v>
      </c>
      <c r="F3276" t="s">
        <v>13</v>
      </c>
    </row>
    <row r="3277" spans="1:6" x14ac:dyDescent="0.3">
      <c r="A3277" t="s">
        <v>62</v>
      </c>
      <c r="B3277" t="s">
        <v>63</v>
      </c>
      <c r="C3277" t="str">
        <f>HYPERLINK("http://service.sap.com/sap/support/notes/2008800","2008800")</f>
        <v>2008800</v>
      </c>
      <c r="D3277">
        <v>1</v>
      </c>
      <c r="E3277" t="s">
        <v>3648</v>
      </c>
      <c r="F3277" t="s">
        <v>17</v>
      </c>
    </row>
    <row r="3278" spans="1:6" x14ac:dyDescent="0.3">
      <c r="A3278" t="s">
        <v>66</v>
      </c>
      <c r="B3278" t="s">
        <v>67</v>
      </c>
      <c r="C3278" t="str">
        <f>HYPERLINK("http://service.sap.com/sap/support/notes/1525027","1525027")</f>
        <v>1525027</v>
      </c>
      <c r="D3278">
        <v>6</v>
      </c>
      <c r="E3278" t="s">
        <v>3649</v>
      </c>
      <c r="F3278" t="s">
        <v>17</v>
      </c>
    </row>
    <row r="3279" spans="1:6" x14ac:dyDescent="0.3">
      <c r="A3279" t="s">
        <v>66</v>
      </c>
      <c r="B3279" t="s">
        <v>67</v>
      </c>
      <c r="C3279" t="str">
        <f>HYPERLINK("http://service.sap.com/sap/support/notes/1995835","1995835")</f>
        <v>1995835</v>
      </c>
      <c r="D3279">
        <v>1</v>
      </c>
      <c r="E3279" t="s">
        <v>3650</v>
      </c>
      <c r="F3279" t="s">
        <v>17</v>
      </c>
    </row>
    <row r="3280" spans="1:6" x14ac:dyDescent="0.3">
      <c r="A3280" t="s">
        <v>66</v>
      </c>
      <c r="B3280" t="s">
        <v>67</v>
      </c>
      <c r="C3280" t="str">
        <f>HYPERLINK("http://service.sap.com/sap/support/notes/2004745","2004745")</f>
        <v>2004745</v>
      </c>
      <c r="D3280">
        <v>1</v>
      </c>
      <c r="E3280" t="s">
        <v>3651</v>
      </c>
      <c r="F3280" t="s">
        <v>17</v>
      </c>
    </row>
    <row r="3281" spans="1:6" x14ac:dyDescent="0.3">
      <c r="A3281" t="s">
        <v>66</v>
      </c>
      <c r="B3281" t="s">
        <v>67</v>
      </c>
      <c r="C3281" t="str">
        <f>HYPERLINK("http://service.sap.com/sap/support/notes/2009904","2009904")</f>
        <v>2009904</v>
      </c>
      <c r="D3281">
        <v>1</v>
      </c>
      <c r="E3281" t="s">
        <v>3652</v>
      </c>
      <c r="F3281" t="s">
        <v>17</v>
      </c>
    </row>
    <row r="3282" spans="1:6" x14ac:dyDescent="0.3">
      <c r="A3282" t="s">
        <v>66</v>
      </c>
      <c r="B3282" t="s">
        <v>67</v>
      </c>
      <c r="C3282" t="str">
        <f>HYPERLINK("http://service.sap.com/sap/support/notes/2019482","2019482")</f>
        <v>2019482</v>
      </c>
      <c r="D3282">
        <v>2</v>
      </c>
      <c r="E3282" t="s">
        <v>3653</v>
      </c>
      <c r="F3282" t="s">
        <v>17</v>
      </c>
    </row>
    <row r="3283" spans="1:6" x14ac:dyDescent="0.3">
      <c r="A3283" t="s">
        <v>79</v>
      </c>
      <c r="B3283" t="s">
        <v>80</v>
      </c>
    </row>
    <row r="3284" spans="1:6" x14ac:dyDescent="0.3">
      <c r="A3284" t="s">
        <v>1865</v>
      </c>
      <c r="B3284" t="s">
        <v>1866</v>
      </c>
    </row>
    <row r="3285" spans="1:6" x14ac:dyDescent="0.3">
      <c r="A3285" t="s">
        <v>1867</v>
      </c>
      <c r="B3285" t="s">
        <v>1868</v>
      </c>
    </row>
    <row r="3286" spans="1:6" x14ac:dyDescent="0.3">
      <c r="A3286" t="s">
        <v>1872</v>
      </c>
      <c r="B3286" t="s">
        <v>61</v>
      </c>
      <c r="C3286" t="str">
        <f>HYPERLINK("http://service.sap.com/sap/support/notes/1972279","1972279")</f>
        <v>1972279</v>
      </c>
      <c r="D3286">
        <v>3</v>
      </c>
      <c r="E3286" t="s">
        <v>3654</v>
      </c>
      <c r="F3286" t="s">
        <v>17</v>
      </c>
    </row>
    <row r="3287" spans="1:6" x14ac:dyDescent="0.3">
      <c r="A3287" t="s">
        <v>1872</v>
      </c>
      <c r="B3287" t="s">
        <v>61</v>
      </c>
      <c r="C3287" t="str">
        <f>HYPERLINK("http://service.sap.com/sap/support/notes/2022780","2022780")</f>
        <v>2022780</v>
      </c>
      <c r="D3287">
        <v>3</v>
      </c>
      <c r="E3287" t="s">
        <v>3655</v>
      </c>
      <c r="F3287" t="s">
        <v>17</v>
      </c>
    </row>
    <row r="3288" spans="1:6" x14ac:dyDescent="0.3">
      <c r="A3288" t="s">
        <v>1872</v>
      </c>
      <c r="B3288" t="s">
        <v>61</v>
      </c>
      <c r="C3288" t="str">
        <f>HYPERLINK("http://service.sap.com/sap/support/notes/2023023","2023023")</f>
        <v>2023023</v>
      </c>
      <c r="D3288">
        <v>1</v>
      </c>
      <c r="E3288" t="s">
        <v>3656</v>
      </c>
      <c r="F3288" t="s">
        <v>17</v>
      </c>
    </row>
    <row r="3289" spans="1:6" x14ac:dyDescent="0.3">
      <c r="A3289" t="s">
        <v>84</v>
      </c>
      <c r="B3289" t="s">
        <v>85</v>
      </c>
    </row>
    <row r="3290" spans="1:6" x14ac:dyDescent="0.3">
      <c r="A3290" t="s">
        <v>86</v>
      </c>
      <c r="B3290" t="s">
        <v>87</v>
      </c>
    </row>
    <row r="3291" spans="1:6" x14ac:dyDescent="0.3">
      <c r="A3291" t="s">
        <v>88</v>
      </c>
      <c r="B3291" t="s">
        <v>89</v>
      </c>
      <c r="C3291" t="str">
        <f>HYPERLINK("http://service.sap.com/sap/support/notes/1969066","1969066")</f>
        <v>1969066</v>
      </c>
      <c r="D3291">
        <v>1</v>
      </c>
      <c r="E3291" t="s">
        <v>3657</v>
      </c>
      <c r="F3291" t="s">
        <v>17</v>
      </c>
    </row>
    <row r="3292" spans="1:6" x14ac:dyDescent="0.3">
      <c r="A3292" t="s">
        <v>91</v>
      </c>
      <c r="B3292" t="s">
        <v>92</v>
      </c>
      <c r="C3292" t="str">
        <f>HYPERLINK("http://service.sap.com/sap/support/notes/1451682","1451682")</f>
        <v>1451682</v>
      </c>
      <c r="D3292">
        <v>4</v>
      </c>
      <c r="E3292" t="s">
        <v>3658</v>
      </c>
      <c r="F3292" t="s">
        <v>17</v>
      </c>
    </row>
    <row r="3293" spans="1:6" x14ac:dyDescent="0.3">
      <c r="A3293" t="s">
        <v>91</v>
      </c>
      <c r="B3293" t="s">
        <v>92</v>
      </c>
      <c r="C3293" t="str">
        <f>HYPERLINK("http://service.sap.com/sap/support/notes/1977183","1977183")</f>
        <v>1977183</v>
      </c>
      <c r="D3293">
        <v>2</v>
      </c>
      <c r="E3293" t="s">
        <v>3659</v>
      </c>
      <c r="F3293" t="s">
        <v>17</v>
      </c>
    </row>
    <row r="3294" spans="1:6" x14ac:dyDescent="0.3">
      <c r="A3294" t="s">
        <v>91</v>
      </c>
      <c r="B3294" t="s">
        <v>92</v>
      </c>
      <c r="C3294" t="str">
        <f>HYPERLINK("http://service.sap.com/sap/support/notes/1993348","1993348")</f>
        <v>1993348</v>
      </c>
      <c r="D3294">
        <v>1</v>
      </c>
      <c r="E3294" t="s">
        <v>3660</v>
      </c>
      <c r="F3294" t="s">
        <v>13</v>
      </c>
    </row>
    <row r="3295" spans="1:6" x14ac:dyDescent="0.3">
      <c r="A3295" t="s">
        <v>91</v>
      </c>
      <c r="B3295" t="s">
        <v>92</v>
      </c>
      <c r="C3295" t="str">
        <f>HYPERLINK("http://service.sap.com/sap/support/notes/1996350","1996350")</f>
        <v>1996350</v>
      </c>
      <c r="D3295">
        <v>1</v>
      </c>
      <c r="E3295" t="s">
        <v>3661</v>
      </c>
      <c r="F3295" t="s">
        <v>13</v>
      </c>
    </row>
    <row r="3296" spans="1:6" x14ac:dyDescent="0.3">
      <c r="A3296" t="s">
        <v>91</v>
      </c>
      <c r="B3296" t="s">
        <v>92</v>
      </c>
      <c r="C3296" t="str">
        <f>HYPERLINK("http://service.sap.com/sap/support/notes/2002469","2002469")</f>
        <v>2002469</v>
      </c>
      <c r="D3296">
        <v>5</v>
      </c>
      <c r="E3296" t="s">
        <v>3662</v>
      </c>
      <c r="F3296" t="s">
        <v>13</v>
      </c>
    </row>
    <row r="3297" spans="1:6" x14ac:dyDescent="0.3">
      <c r="A3297" t="s">
        <v>91</v>
      </c>
      <c r="B3297" t="s">
        <v>92</v>
      </c>
      <c r="C3297" t="str">
        <f>HYPERLINK("http://service.sap.com/sap/support/notes/2006898","2006898")</f>
        <v>2006898</v>
      </c>
      <c r="D3297">
        <v>1</v>
      </c>
      <c r="E3297" t="s">
        <v>3663</v>
      </c>
      <c r="F3297" t="s">
        <v>13</v>
      </c>
    </row>
    <row r="3298" spans="1:6" x14ac:dyDescent="0.3">
      <c r="A3298" t="s">
        <v>91</v>
      </c>
      <c r="B3298" t="s">
        <v>92</v>
      </c>
      <c r="C3298" t="str">
        <f>HYPERLINK("http://service.sap.com/sap/support/notes/2010701","2010701")</f>
        <v>2010701</v>
      </c>
      <c r="D3298">
        <v>1</v>
      </c>
      <c r="E3298" t="s">
        <v>3664</v>
      </c>
      <c r="F3298" t="s">
        <v>13</v>
      </c>
    </row>
    <row r="3299" spans="1:6" x14ac:dyDescent="0.3">
      <c r="A3299" t="s">
        <v>91</v>
      </c>
      <c r="B3299" t="s">
        <v>92</v>
      </c>
      <c r="C3299" t="str">
        <f>HYPERLINK("http://service.sap.com/sap/support/notes/2012802","2012802")</f>
        <v>2012802</v>
      </c>
      <c r="D3299">
        <v>1</v>
      </c>
      <c r="E3299" t="s">
        <v>3665</v>
      </c>
      <c r="F3299" t="s">
        <v>13</v>
      </c>
    </row>
    <row r="3300" spans="1:6" x14ac:dyDescent="0.3">
      <c r="A3300" t="s">
        <v>91</v>
      </c>
      <c r="B3300" t="s">
        <v>92</v>
      </c>
      <c r="C3300" t="str">
        <f>HYPERLINK("http://service.sap.com/sap/support/notes/2015671","2015671")</f>
        <v>2015671</v>
      </c>
      <c r="D3300">
        <v>1</v>
      </c>
      <c r="E3300" t="s">
        <v>3666</v>
      </c>
      <c r="F3300" t="s">
        <v>11</v>
      </c>
    </row>
    <row r="3301" spans="1:6" x14ac:dyDescent="0.3">
      <c r="A3301" t="s">
        <v>91</v>
      </c>
      <c r="B3301" t="s">
        <v>92</v>
      </c>
      <c r="C3301" t="str">
        <f>HYPERLINK("http://service.sap.com/sap/support/notes/2019365","2019365")</f>
        <v>2019365</v>
      </c>
      <c r="D3301">
        <v>3</v>
      </c>
      <c r="E3301" t="s">
        <v>3667</v>
      </c>
      <c r="F3301" t="s">
        <v>17</v>
      </c>
    </row>
    <row r="3302" spans="1:6" x14ac:dyDescent="0.3">
      <c r="A3302" t="s">
        <v>91</v>
      </c>
      <c r="B3302" t="s">
        <v>92</v>
      </c>
      <c r="C3302" t="str">
        <f>HYPERLINK("http://service.sap.com/sap/support/notes/2019801","2019801")</f>
        <v>2019801</v>
      </c>
      <c r="D3302">
        <v>1</v>
      </c>
      <c r="E3302" t="s">
        <v>3668</v>
      </c>
      <c r="F3302" t="s">
        <v>13</v>
      </c>
    </row>
    <row r="3303" spans="1:6" x14ac:dyDescent="0.3">
      <c r="A3303" t="s">
        <v>91</v>
      </c>
      <c r="B3303" t="s">
        <v>92</v>
      </c>
      <c r="C3303" t="str">
        <f>HYPERLINK("http://service.sap.com/sap/support/notes/2020062","2020062")</f>
        <v>2020062</v>
      </c>
      <c r="D3303">
        <v>2</v>
      </c>
      <c r="E3303" t="s">
        <v>3669</v>
      </c>
      <c r="F3303" t="s">
        <v>17</v>
      </c>
    </row>
    <row r="3304" spans="1:6" x14ac:dyDescent="0.3">
      <c r="A3304" t="s">
        <v>91</v>
      </c>
      <c r="B3304" t="s">
        <v>92</v>
      </c>
      <c r="C3304" t="str">
        <f>HYPERLINK("http://service.sap.com/sap/support/notes/2024255","2024255")</f>
        <v>2024255</v>
      </c>
      <c r="D3304">
        <v>2</v>
      </c>
      <c r="E3304" t="s">
        <v>3670</v>
      </c>
      <c r="F3304" t="s">
        <v>13</v>
      </c>
    </row>
    <row r="3305" spans="1:6" x14ac:dyDescent="0.3">
      <c r="A3305" t="s">
        <v>1883</v>
      </c>
      <c r="B3305" t="s">
        <v>3671</v>
      </c>
      <c r="C3305" t="str">
        <f>HYPERLINK("http://service.sap.com/sap/support/notes/1797916","1797916")</f>
        <v>1797916</v>
      </c>
      <c r="D3305">
        <v>2</v>
      </c>
      <c r="E3305" t="s">
        <v>3672</v>
      </c>
      <c r="F3305" t="s">
        <v>11</v>
      </c>
    </row>
    <row r="3306" spans="1:6" x14ac:dyDescent="0.3">
      <c r="A3306" t="s">
        <v>103</v>
      </c>
      <c r="B3306" t="s">
        <v>104</v>
      </c>
    </row>
    <row r="3307" spans="1:6" x14ac:dyDescent="0.3">
      <c r="A3307" t="s">
        <v>105</v>
      </c>
      <c r="B3307" t="s">
        <v>106</v>
      </c>
    </row>
    <row r="3308" spans="1:6" x14ac:dyDescent="0.3">
      <c r="A3308" t="s">
        <v>107</v>
      </c>
      <c r="B3308" t="s">
        <v>108</v>
      </c>
      <c r="C3308" t="str">
        <f>HYPERLINK("http://service.sap.com/sap/support/notes/1997488","1997488")</f>
        <v>1997488</v>
      </c>
      <c r="D3308">
        <v>3</v>
      </c>
      <c r="E3308" t="s">
        <v>3673</v>
      </c>
      <c r="F3308" t="s">
        <v>11</v>
      </c>
    </row>
    <row r="3309" spans="1:6" x14ac:dyDescent="0.3">
      <c r="A3309" t="s">
        <v>112</v>
      </c>
      <c r="B3309" t="s">
        <v>113</v>
      </c>
      <c r="C3309" t="str">
        <f>HYPERLINK("http://service.sap.com/sap/support/notes/1293811","1293811")</f>
        <v>1293811</v>
      </c>
      <c r="D3309">
        <v>1</v>
      </c>
      <c r="E3309" t="s">
        <v>114</v>
      </c>
      <c r="F3309" t="s">
        <v>13</v>
      </c>
    </row>
    <row r="3310" spans="1:6" x14ac:dyDescent="0.3">
      <c r="A3310" t="s">
        <v>115</v>
      </c>
      <c r="B3310" t="s">
        <v>51</v>
      </c>
    </row>
    <row r="3311" spans="1:6" x14ac:dyDescent="0.3">
      <c r="A3311" t="s">
        <v>117</v>
      </c>
      <c r="B3311" t="s">
        <v>53</v>
      </c>
      <c r="C3311" t="str">
        <f>HYPERLINK("http://service.sap.com/sap/support/notes/1956132","1956132")</f>
        <v>1956132</v>
      </c>
      <c r="D3311">
        <v>2</v>
      </c>
      <c r="E3311" t="s">
        <v>2672</v>
      </c>
      <c r="F3311" t="s">
        <v>94</v>
      </c>
    </row>
    <row r="3312" spans="1:6" x14ac:dyDescent="0.3">
      <c r="A3312" t="s">
        <v>117</v>
      </c>
      <c r="B3312" t="s">
        <v>53</v>
      </c>
      <c r="C3312" t="str">
        <f>HYPERLINK("http://service.sap.com/sap/support/notes/1963424","1963424")</f>
        <v>1963424</v>
      </c>
      <c r="D3312">
        <v>1</v>
      </c>
      <c r="E3312" t="s">
        <v>3674</v>
      </c>
      <c r="F3312" t="s">
        <v>17</v>
      </c>
    </row>
    <row r="3313" spans="1:6" x14ac:dyDescent="0.3">
      <c r="A3313" t="s">
        <v>117</v>
      </c>
      <c r="B3313" t="s">
        <v>53</v>
      </c>
      <c r="C3313" t="str">
        <f>HYPERLINK("http://service.sap.com/sap/support/notes/1996187","1996187")</f>
        <v>1996187</v>
      </c>
      <c r="D3313">
        <v>1</v>
      </c>
      <c r="E3313" t="s">
        <v>3675</v>
      </c>
      <c r="F3313" t="s">
        <v>94</v>
      </c>
    </row>
    <row r="3314" spans="1:6" x14ac:dyDescent="0.3">
      <c r="A3314" t="s">
        <v>117</v>
      </c>
      <c r="B3314" t="s">
        <v>53</v>
      </c>
      <c r="C3314" t="str">
        <f>HYPERLINK("http://service.sap.com/sap/support/notes/2001465","2001465")</f>
        <v>2001465</v>
      </c>
      <c r="D3314">
        <v>1</v>
      </c>
      <c r="E3314" t="s">
        <v>3676</v>
      </c>
      <c r="F3314" t="s">
        <v>13</v>
      </c>
    </row>
    <row r="3315" spans="1:6" x14ac:dyDescent="0.3">
      <c r="A3315" t="s">
        <v>117</v>
      </c>
      <c r="B3315" t="s">
        <v>53</v>
      </c>
      <c r="C3315" t="str">
        <f>HYPERLINK("http://service.sap.com/sap/support/notes/2001467","2001467")</f>
        <v>2001467</v>
      </c>
      <c r="D3315">
        <v>1</v>
      </c>
      <c r="E3315" t="s">
        <v>3677</v>
      </c>
      <c r="F3315" t="s">
        <v>13</v>
      </c>
    </row>
    <row r="3316" spans="1:6" x14ac:dyDescent="0.3">
      <c r="A3316" t="s">
        <v>117</v>
      </c>
      <c r="B3316" t="s">
        <v>53</v>
      </c>
      <c r="C3316" t="str">
        <f>HYPERLINK("http://service.sap.com/sap/support/notes/2004531","2004531")</f>
        <v>2004531</v>
      </c>
      <c r="D3316">
        <v>1</v>
      </c>
      <c r="E3316" t="s">
        <v>3678</v>
      </c>
      <c r="F3316" t="s">
        <v>94</v>
      </c>
    </row>
    <row r="3317" spans="1:6" x14ac:dyDescent="0.3">
      <c r="A3317" t="s">
        <v>117</v>
      </c>
      <c r="B3317" t="s">
        <v>53</v>
      </c>
      <c r="C3317" t="str">
        <f>HYPERLINK("http://service.sap.com/sap/support/notes/2005827","2005827")</f>
        <v>2005827</v>
      </c>
      <c r="D3317">
        <v>1</v>
      </c>
      <c r="E3317" t="s">
        <v>3679</v>
      </c>
      <c r="F3317" t="s">
        <v>13</v>
      </c>
    </row>
    <row r="3318" spans="1:6" x14ac:dyDescent="0.3">
      <c r="A3318" t="s">
        <v>117</v>
      </c>
      <c r="B3318" t="s">
        <v>53</v>
      </c>
      <c r="C3318" t="str">
        <f>HYPERLINK("http://service.sap.com/sap/support/notes/2009766","2009766")</f>
        <v>2009766</v>
      </c>
      <c r="D3318">
        <v>4</v>
      </c>
      <c r="E3318" t="s">
        <v>3680</v>
      </c>
      <c r="F3318" t="s">
        <v>94</v>
      </c>
    </row>
    <row r="3319" spans="1:6" x14ac:dyDescent="0.3">
      <c r="A3319" t="s">
        <v>117</v>
      </c>
      <c r="B3319" t="s">
        <v>53</v>
      </c>
      <c r="C3319" t="str">
        <f>HYPERLINK("http://service.sap.com/sap/support/notes/2012834","2012834")</f>
        <v>2012834</v>
      </c>
      <c r="D3319">
        <v>7</v>
      </c>
      <c r="E3319" t="s">
        <v>3681</v>
      </c>
      <c r="F3319" t="s">
        <v>94</v>
      </c>
    </row>
    <row r="3320" spans="1:6" x14ac:dyDescent="0.3">
      <c r="A3320" t="s">
        <v>117</v>
      </c>
      <c r="B3320" t="s">
        <v>53</v>
      </c>
      <c r="C3320" t="str">
        <f>HYPERLINK("http://service.sap.com/sap/support/notes/2019862","2019862")</f>
        <v>2019862</v>
      </c>
      <c r="D3320">
        <v>1</v>
      </c>
      <c r="E3320" t="s">
        <v>3682</v>
      </c>
      <c r="F3320" t="s">
        <v>13</v>
      </c>
    </row>
    <row r="3321" spans="1:6" x14ac:dyDescent="0.3">
      <c r="A3321" t="s">
        <v>117</v>
      </c>
      <c r="B3321" t="s">
        <v>53</v>
      </c>
      <c r="C3321" t="str">
        <f>HYPERLINK("http://service.sap.com/sap/support/notes/2024435","2024435")</f>
        <v>2024435</v>
      </c>
      <c r="D3321">
        <v>1</v>
      </c>
      <c r="E3321" t="s">
        <v>3683</v>
      </c>
      <c r="F3321" t="s">
        <v>17</v>
      </c>
    </row>
    <row r="3322" spans="1:6" x14ac:dyDescent="0.3">
      <c r="A3322" t="s">
        <v>117</v>
      </c>
      <c r="B3322" t="s">
        <v>53</v>
      </c>
      <c r="C3322" t="str">
        <f>HYPERLINK("http://service.sap.com/sap/support/notes/2025708","2025708")</f>
        <v>2025708</v>
      </c>
      <c r="D3322">
        <v>1</v>
      </c>
      <c r="E3322" t="s">
        <v>3684</v>
      </c>
      <c r="F3322" t="s">
        <v>17</v>
      </c>
    </row>
    <row r="3323" spans="1:6" x14ac:dyDescent="0.3">
      <c r="A3323" t="s">
        <v>128</v>
      </c>
      <c r="B3323" t="s">
        <v>1904</v>
      </c>
      <c r="C3323" t="str">
        <f>HYPERLINK("http://service.sap.com/sap/support/notes/1962247","1962247")</f>
        <v>1962247</v>
      </c>
      <c r="D3323">
        <v>2</v>
      </c>
      <c r="E3323" t="s">
        <v>3685</v>
      </c>
      <c r="F3323" t="s">
        <v>17</v>
      </c>
    </row>
    <row r="3324" spans="1:6" x14ac:dyDescent="0.3">
      <c r="A3324" t="s">
        <v>128</v>
      </c>
      <c r="B3324" t="s">
        <v>1904</v>
      </c>
      <c r="C3324" t="str">
        <f>HYPERLINK("http://service.sap.com/sap/support/notes/2002525","2002525")</f>
        <v>2002525</v>
      </c>
      <c r="D3324">
        <v>1</v>
      </c>
      <c r="E3324" t="s">
        <v>3686</v>
      </c>
      <c r="F3324" t="s">
        <v>17</v>
      </c>
    </row>
    <row r="3325" spans="1:6" x14ac:dyDescent="0.3">
      <c r="A3325" t="s">
        <v>135</v>
      </c>
      <c r="B3325" t="s">
        <v>136</v>
      </c>
    </row>
    <row r="3326" spans="1:6" x14ac:dyDescent="0.3">
      <c r="A3326" t="s">
        <v>140</v>
      </c>
      <c r="B3326" t="s">
        <v>131</v>
      </c>
      <c r="C3326" t="str">
        <f>HYPERLINK("http://service.sap.com/sap/support/notes/2003964","2003964")</f>
        <v>2003964</v>
      </c>
      <c r="D3326">
        <v>1</v>
      </c>
      <c r="E3326" t="s">
        <v>3687</v>
      </c>
      <c r="F3326" t="s">
        <v>13</v>
      </c>
    </row>
    <row r="3327" spans="1:6" x14ac:dyDescent="0.3">
      <c r="A3327" t="s">
        <v>140</v>
      </c>
      <c r="B3327" t="s">
        <v>131</v>
      </c>
      <c r="C3327" t="str">
        <f>HYPERLINK("http://service.sap.com/sap/support/notes/2010975","2010975")</f>
        <v>2010975</v>
      </c>
      <c r="D3327">
        <v>1</v>
      </c>
      <c r="E3327" t="s">
        <v>3688</v>
      </c>
      <c r="F3327" t="s">
        <v>17</v>
      </c>
    </row>
    <row r="3328" spans="1:6" x14ac:dyDescent="0.3">
      <c r="A3328" t="s">
        <v>147</v>
      </c>
      <c r="B3328" t="s">
        <v>148</v>
      </c>
    </row>
    <row r="3329" spans="1:6" x14ac:dyDescent="0.3">
      <c r="A3329" t="s">
        <v>149</v>
      </c>
      <c r="B3329" t="s">
        <v>138</v>
      </c>
      <c r="C3329" t="str">
        <f>HYPERLINK("http://service.sap.com/sap/support/notes/1991598","1991598")</f>
        <v>1991598</v>
      </c>
      <c r="D3329">
        <v>1</v>
      </c>
      <c r="E3329" t="s">
        <v>3689</v>
      </c>
      <c r="F3329" t="s">
        <v>17</v>
      </c>
    </row>
    <row r="3330" spans="1:6" x14ac:dyDescent="0.3">
      <c r="A3330" t="s">
        <v>149</v>
      </c>
      <c r="B3330" t="s">
        <v>138</v>
      </c>
      <c r="C3330" t="str">
        <f>HYPERLINK("http://service.sap.com/sap/support/notes/2004800","2004800")</f>
        <v>2004800</v>
      </c>
      <c r="D3330">
        <v>3</v>
      </c>
      <c r="E3330" t="s">
        <v>3690</v>
      </c>
      <c r="F3330" t="s">
        <v>17</v>
      </c>
    </row>
    <row r="3331" spans="1:6" x14ac:dyDescent="0.3">
      <c r="A3331" t="s">
        <v>149</v>
      </c>
      <c r="B3331" t="s">
        <v>138</v>
      </c>
      <c r="C3331" t="str">
        <f>HYPERLINK("http://service.sap.com/sap/support/notes/2008385","2008385")</f>
        <v>2008385</v>
      </c>
      <c r="D3331">
        <v>1</v>
      </c>
      <c r="E3331" t="s">
        <v>3691</v>
      </c>
      <c r="F3331" t="s">
        <v>11</v>
      </c>
    </row>
    <row r="3332" spans="1:6" x14ac:dyDescent="0.3">
      <c r="A3332" t="s">
        <v>152</v>
      </c>
      <c r="B3332" t="s">
        <v>153</v>
      </c>
      <c r="C3332" t="str">
        <f>HYPERLINK("http://service.sap.com/sap/support/notes/1848539","1848539")</f>
        <v>1848539</v>
      </c>
      <c r="D3332">
        <v>3</v>
      </c>
      <c r="E3332" t="s">
        <v>3692</v>
      </c>
      <c r="F3332" t="s">
        <v>11</v>
      </c>
    </row>
    <row r="3333" spans="1:6" x14ac:dyDescent="0.3">
      <c r="A3333" t="s">
        <v>152</v>
      </c>
      <c r="B3333" t="s">
        <v>153</v>
      </c>
      <c r="C3333" t="str">
        <f>HYPERLINK("http://service.sap.com/sap/support/notes/1937119","1937119")</f>
        <v>1937119</v>
      </c>
      <c r="D3333">
        <v>3</v>
      </c>
      <c r="E3333" t="s">
        <v>3693</v>
      </c>
      <c r="F3333" t="s">
        <v>17</v>
      </c>
    </row>
    <row r="3334" spans="1:6" x14ac:dyDescent="0.3">
      <c r="A3334" t="s">
        <v>152</v>
      </c>
      <c r="B3334" t="s">
        <v>153</v>
      </c>
      <c r="C3334" t="str">
        <f>HYPERLINK("http://service.sap.com/sap/support/notes/1990210","1990210")</f>
        <v>1990210</v>
      </c>
      <c r="D3334">
        <v>2</v>
      </c>
      <c r="E3334" t="s">
        <v>2697</v>
      </c>
      <c r="F3334" t="s">
        <v>17</v>
      </c>
    </row>
    <row r="3335" spans="1:6" x14ac:dyDescent="0.3">
      <c r="A3335" t="s">
        <v>165</v>
      </c>
      <c r="B3335" t="s">
        <v>131</v>
      </c>
      <c r="C3335" t="str">
        <f>HYPERLINK("http://service.sap.com/sap/support/notes/370287","370287")</f>
        <v>370287</v>
      </c>
      <c r="D3335">
        <v>1</v>
      </c>
      <c r="E3335" t="s">
        <v>2702</v>
      </c>
      <c r="F3335" t="s">
        <v>94</v>
      </c>
    </row>
    <row r="3336" spans="1:6" x14ac:dyDescent="0.3">
      <c r="A3336" t="s">
        <v>165</v>
      </c>
      <c r="B3336" t="s">
        <v>131</v>
      </c>
      <c r="C3336" t="str">
        <f>HYPERLINK("http://service.sap.com/sap/support/notes/1998304","1998304")</f>
        <v>1998304</v>
      </c>
      <c r="D3336">
        <v>3</v>
      </c>
      <c r="E3336" t="s">
        <v>3694</v>
      </c>
      <c r="F3336" t="s">
        <v>13</v>
      </c>
    </row>
    <row r="3337" spans="1:6" x14ac:dyDescent="0.3">
      <c r="A3337" t="s">
        <v>165</v>
      </c>
      <c r="B3337" t="s">
        <v>131</v>
      </c>
      <c r="C3337" t="str">
        <f>HYPERLINK("http://service.sap.com/sap/support/notes/2000131","2000131")</f>
        <v>2000131</v>
      </c>
      <c r="D3337">
        <v>1</v>
      </c>
      <c r="E3337" t="s">
        <v>3695</v>
      </c>
      <c r="F3337" t="s">
        <v>13</v>
      </c>
    </row>
    <row r="3338" spans="1:6" x14ac:dyDescent="0.3">
      <c r="A3338" t="s">
        <v>172</v>
      </c>
      <c r="B3338" t="s">
        <v>173</v>
      </c>
      <c r="C3338" t="str">
        <f>HYPERLINK("http://service.sap.com/sap/support/notes/1998789","1998789")</f>
        <v>1998789</v>
      </c>
      <c r="D3338">
        <v>2</v>
      </c>
      <c r="E3338" t="s">
        <v>3696</v>
      </c>
      <c r="F3338" t="s">
        <v>13</v>
      </c>
    </row>
    <row r="3339" spans="1:6" x14ac:dyDescent="0.3">
      <c r="A3339" t="s">
        <v>172</v>
      </c>
      <c r="B3339" t="s">
        <v>173</v>
      </c>
      <c r="C3339" t="str">
        <f>HYPERLINK("http://service.sap.com/sap/support/notes/2002439","2002439")</f>
        <v>2002439</v>
      </c>
      <c r="D3339">
        <v>1</v>
      </c>
      <c r="E3339" t="s">
        <v>3697</v>
      </c>
      <c r="F3339" t="s">
        <v>17</v>
      </c>
    </row>
    <row r="3340" spans="1:6" x14ac:dyDescent="0.3">
      <c r="A3340" t="s">
        <v>175</v>
      </c>
      <c r="B3340" t="s">
        <v>176</v>
      </c>
    </row>
    <row r="3341" spans="1:6" x14ac:dyDescent="0.3">
      <c r="A3341" t="s">
        <v>179</v>
      </c>
      <c r="B3341" t="s">
        <v>160</v>
      </c>
      <c r="C3341" t="str">
        <f>HYPERLINK("http://service.sap.com/sap/support/notes/2005162","2005162")</f>
        <v>2005162</v>
      </c>
      <c r="D3341">
        <v>1</v>
      </c>
      <c r="E3341" t="s">
        <v>3698</v>
      </c>
      <c r="F3341" t="s">
        <v>17</v>
      </c>
    </row>
    <row r="3342" spans="1:6" x14ac:dyDescent="0.3">
      <c r="A3342" t="s">
        <v>179</v>
      </c>
      <c r="B3342" t="s">
        <v>160</v>
      </c>
      <c r="C3342" t="str">
        <f>HYPERLINK("http://service.sap.com/sap/support/notes/2019380","2019380")</f>
        <v>2019380</v>
      </c>
      <c r="D3342">
        <v>1</v>
      </c>
      <c r="E3342" t="s">
        <v>3699</v>
      </c>
      <c r="F3342" t="s">
        <v>17</v>
      </c>
    </row>
    <row r="3343" spans="1:6" x14ac:dyDescent="0.3">
      <c r="A3343" t="s">
        <v>181</v>
      </c>
      <c r="B3343" t="s">
        <v>182</v>
      </c>
      <c r="C3343" t="str">
        <f>HYPERLINK("http://service.sap.com/sap/support/notes/2000879","2000879")</f>
        <v>2000879</v>
      </c>
      <c r="D3343">
        <v>1</v>
      </c>
      <c r="E3343" t="s">
        <v>3700</v>
      </c>
      <c r="F3343" t="s">
        <v>17</v>
      </c>
    </row>
    <row r="3344" spans="1:6" x14ac:dyDescent="0.3">
      <c r="A3344" t="s">
        <v>187</v>
      </c>
      <c r="B3344" t="s">
        <v>188</v>
      </c>
    </row>
    <row r="3345" spans="1:6" x14ac:dyDescent="0.3">
      <c r="A3345" t="s">
        <v>189</v>
      </c>
      <c r="B3345" t="s">
        <v>138</v>
      </c>
      <c r="C3345" t="str">
        <f>HYPERLINK("http://service.sap.com/sap/support/notes/1952337","1952337")</f>
        <v>1952337</v>
      </c>
      <c r="D3345">
        <v>4</v>
      </c>
      <c r="E3345" t="s">
        <v>3701</v>
      </c>
      <c r="F3345" t="s">
        <v>13</v>
      </c>
    </row>
    <row r="3346" spans="1:6" x14ac:dyDescent="0.3">
      <c r="A3346" t="s">
        <v>189</v>
      </c>
      <c r="B3346" t="s">
        <v>138</v>
      </c>
      <c r="C3346" t="str">
        <f>HYPERLINK("http://service.sap.com/sap/support/notes/2000290","2000290")</f>
        <v>2000290</v>
      </c>
      <c r="D3346">
        <v>2</v>
      </c>
      <c r="E3346" t="s">
        <v>3702</v>
      </c>
      <c r="F3346" t="s">
        <v>13</v>
      </c>
    </row>
    <row r="3347" spans="1:6" x14ac:dyDescent="0.3">
      <c r="A3347" t="s">
        <v>189</v>
      </c>
      <c r="B3347" t="s">
        <v>138</v>
      </c>
      <c r="C3347" t="str">
        <f>HYPERLINK("http://service.sap.com/sap/support/notes/2003237","2003237")</f>
        <v>2003237</v>
      </c>
      <c r="D3347">
        <v>1</v>
      </c>
      <c r="E3347" t="s">
        <v>3703</v>
      </c>
      <c r="F3347" t="s">
        <v>13</v>
      </c>
    </row>
    <row r="3348" spans="1:6" x14ac:dyDescent="0.3">
      <c r="A3348" t="s">
        <v>189</v>
      </c>
      <c r="B3348" t="s">
        <v>138</v>
      </c>
      <c r="C3348" t="str">
        <f>HYPERLINK("http://service.sap.com/sap/support/notes/2014325","2014325")</f>
        <v>2014325</v>
      </c>
      <c r="D3348">
        <v>2</v>
      </c>
      <c r="E3348" t="s">
        <v>3704</v>
      </c>
      <c r="F3348" t="s">
        <v>13</v>
      </c>
    </row>
    <row r="3349" spans="1:6" x14ac:dyDescent="0.3">
      <c r="A3349" t="s">
        <v>189</v>
      </c>
      <c r="B3349" t="s">
        <v>138</v>
      </c>
      <c r="C3349" t="str">
        <f>HYPERLINK("http://service.sap.com/sap/support/notes/2022881","2022881")</f>
        <v>2022881</v>
      </c>
      <c r="D3349">
        <v>1</v>
      </c>
      <c r="E3349" t="s">
        <v>3705</v>
      </c>
      <c r="F3349" t="s">
        <v>13</v>
      </c>
    </row>
    <row r="3350" spans="1:6" x14ac:dyDescent="0.3">
      <c r="A3350" t="s">
        <v>195</v>
      </c>
      <c r="B3350" t="s">
        <v>153</v>
      </c>
      <c r="C3350" t="str">
        <f>HYPERLINK("http://service.sap.com/sap/support/notes/1979366","1979366")</f>
        <v>1979366</v>
      </c>
      <c r="D3350">
        <v>1</v>
      </c>
      <c r="E3350" t="s">
        <v>2720</v>
      </c>
      <c r="F3350" t="s">
        <v>17</v>
      </c>
    </row>
    <row r="3351" spans="1:6" x14ac:dyDescent="0.3">
      <c r="A3351" t="s">
        <v>197</v>
      </c>
      <c r="B3351" t="s">
        <v>198</v>
      </c>
      <c r="C3351" t="str">
        <f>HYPERLINK("http://service.sap.com/sap/support/notes/1992679","1992679")</f>
        <v>1992679</v>
      </c>
      <c r="D3351">
        <v>1</v>
      </c>
      <c r="E3351" t="s">
        <v>3706</v>
      </c>
      <c r="F3351" t="s">
        <v>17</v>
      </c>
    </row>
    <row r="3352" spans="1:6" x14ac:dyDescent="0.3">
      <c r="A3352" t="s">
        <v>208</v>
      </c>
      <c r="B3352" t="s">
        <v>131</v>
      </c>
      <c r="C3352" t="str">
        <f>HYPERLINK("http://service.sap.com/sap/support/notes/1853037","1853037")</f>
        <v>1853037</v>
      </c>
      <c r="D3352">
        <v>4</v>
      </c>
      <c r="E3352" t="s">
        <v>216</v>
      </c>
      <c r="F3352" t="s">
        <v>17</v>
      </c>
    </row>
    <row r="3353" spans="1:6" x14ac:dyDescent="0.3">
      <c r="A3353" t="s">
        <v>208</v>
      </c>
      <c r="B3353" t="s">
        <v>131</v>
      </c>
      <c r="C3353" t="str">
        <f>HYPERLINK("http://service.sap.com/sap/support/notes/1975282","1975282")</f>
        <v>1975282</v>
      </c>
      <c r="D3353">
        <v>9</v>
      </c>
      <c r="E3353" t="s">
        <v>2729</v>
      </c>
      <c r="F3353" t="s">
        <v>17</v>
      </c>
    </row>
    <row r="3354" spans="1:6" x14ac:dyDescent="0.3">
      <c r="A3354" t="s">
        <v>208</v>
      </c>
      <c r="B3354" t="s">
        <v>131</v>
      </c>
      <c r="C3354" t="str">
        <f>HYPERLINK("http://service.sap.com/sap/support/notes/2016605","2016605")</f>
        <v>2016605</v>
      </c>
      <c r="D3354">
        <v>1</v>
      </c>
      <c r="E3354" t="s">
        <v>3707</v>
      </c>
      <c r="F3354" t="s">
        <v>17</v>
      </c>
    </row>
    <row r="3355" spans="1:6" x14ac:dyDescent="0.3">
      <c r="A3355" t="s">
        <v>223</v>
      </c>
      <c r="B3355" t="s">
        <v>224</v>
      </c>
      <c r="C3355" t="str">
        <f>HYPERLINK("http://service.sap.com/sap/support/notes/1936919","1936919")</f>
        <v>1936919</v>
      </c>
      <c r="D3355">
        <v>2</v>
      </c>
      <c r="E3355" t="s">
        <v>3708</v>
      </c>
      <c r="F3355" t="s">
        <v>17</v>
      </c>
    </row>
    <row r="3356" spans="1:6" x14ac:dyDescent="0.3">
      <c r="A3356" t="s">
        <v>223</v>
      </c>
      <c r="B3356" t="s">
        <v>224</v>
      </c>
      <c r="C3356" t="str">
        <f>HYPERLINK("http://service.sap.com/sap/support/notes/2013042","2013042")</f>
        <v>2013042</v>
      </c>
      <c r="D3356">
        <v>2</v>
      </c>
      <c r="E3356" t="s">
        <v>3709</v>
      </c>
      <c r="F3356" t="s">
        <v>17</v>
      </c>
    </row>
    <row r="3357" spans="1:6" x14ac:dyDescent="0.3">
      <c r="A3357" t="s">
        <v>223</v>
      </c>
      <c r="B3357" t="s">
        <v>224</v>
      </c>
      <c r="C3357" t="str">
        <f>HYPERLINK("http://service.sap.com/sap/support/notes/2018577","2018577")</f>
        <v>2018577</v>
      </c>
      <c r="D3357">
        <v>1</v>
      </c>
      <c r="E3357" t="s">
        <v>3710</v>
      </c>
      <c r="F3357" t="s">
        <v>17</v>
      </c>
    </row>
    <row r="3358" spans="1:6" x14ac:dyDescent="0.3">
      <c r="A3358" t="s">
        <v>235</v>
      </c>
      <c r="B3358" t="s">
        <v>236</v>
      </c>
      <c r="C3358" t="str">
        <f>HYPERLINK("http://service.sap.com/sap/support/notes/2002022","2002022")</f>
        <v>2002022</v>
      </c>
      <c r="D3358">
        <v>1</v>
      </c>
      <c r="E3358" t="s">
        <v>3711</v>
      </c>
      <c r="F3358" t="s">
        <v>17</v>
      </c>
    </row>
    <row r="3359" spans="1:6" x14ac:dyDescent="0.3">
      <c r="A3359" t="s">
        <v>242</v>
      </c>
      <c r="B3359" t="s">
        <v>243</v>
      </c>
      <c r="C3359" t="str">
        <f>HYPERLINK("http://service.sap.com/sap/support/notes/1999651","1999651")</f>
        <v>1999651</v>
      </c>
      <c r="D3359">
        <v>2</v>
      </c>
      <c r="E3359" t="s">
        <v>3712</v>
      </c>
      <c r="F3359" t="s">
        <v>13</v>
      </c>
    </row>
    <row r="3360" spans="1:6" x14ac:dyDescent="0.3">
      <c r="A3360" t="s">
        <v>242</v>
      </c>
      <c r="B3360" t="s">
        <v>243</v>
      </c>
      <c r="C3360" t="str">
        <f>HYPERLINK("http://service.sap.com/sap/support/notes/2006784","2006784")</f>
        <v>2006784</v>
      </c>
      <c r="D3360">
        <v>1</v>
      </c>
      <c r="E3360" t="s">
        <v>3713</v>
      </c>
      <c r="F3360" t="s">
        <v>13</v>
      </c>
    </row>
    <row r="3361" spans="1:6" x14ac:dyDescent="0.3">
      <c r="A3361" t="s">
        <v>249</v>
      </c>
      <c r="B3361" t="s">
        <v>250</v>
      </c>
      <c r="C3361" t="str">
        <f>HYPERLINK("http://service.sap.com/sap/support/notes/1960920","1960920")</f>
        <v>1960920</v>
      </c>
      <c r="D3361">
        <v>2</v>
      </c>
      <c r="E3361" t="s">
        <v>3714</v>
      </c>
      <c r="F3361" t="s">
        <v>17</v>
      </c>
    </row>
    <row r="3362" spans="1:6" x14ac:dyDescent="0.3">
      <c r="A3362" t="s">
        <v>249</v>
      </c>
      <c r="B3362" t="s">
        <v>250</v>
      </c>
      <c r="C3362" t="str">
        <f>HYPERLINK("http://service.sap.com/sap/support/notes/1979988","1979988")</f>
        <v>1979988</v>
      </c>
      <c r="D3362">
        <v>2</v>
      </c>
      <c r="E3362" t="s">
        <v>3715</v>
      </c>
      <c r="F3362" t="s">
        <v>17</v>
      </c>
    </row>
    <row r="3363" spans="1:6" x14ac:dyDescent="0.3">
      <c r="A3363" t="s">
        <v>249</v>
      </c>
      <c r="B3363" t="s">
        <v>250</v>
      </c>
      <c r="C3363" t="str">
        <f>HYPERLINK("http://service.sap.com/sap/support/notes/1991027","1991027")</f>
        <v>1991027</v>
      </c>
      <c r="D3363">
        <v>1</v>
      </c>
      <c r="E3363" t="s">
        <v>3716</v>
      </c>
      <c r="F3363" t="s">
        <v>13</v>
      </c>
    </row>
    <row r="3364" spans="1:6" x14ac:dyDescent="0.3">
      <c r="A3364" t="s">
        <v>254</v>
      </c>
      <c r="B3364" t="s">
        <v>255</v>
      </c>
      <c r="C3364" t="str">
        <f>HYPERLINK("http://service.sap.com/sap/support/notes/1991269","1991269")</f>
        <v>1991269</v>
      </c>
      <c r="D3364">
        <v>2</v>
      </c>
      <c r="E3364" t="s">
        <v>3717</v>
      </c>
      <c r="F3364" t="s">
        <v>17</v>
      </c>
    </row>
    <row r="3365" spans="1:6" x14ac:dyDescent="0.3">
      <c r="A3365" t="s">
        <v>254</v>
      </c>
      <c r="B3365" t="s">
        <v>255</v>
      </c>
      <c r="C3365" t="str">
        <f>HYPERLINK("http://service.sap.com/sap/support/notes/2007122","2007122")</f>
        <v>2007122</v>
      </c>
      <c r="D3365">
        <v>1</v>
      </c>
      <c r="E3365" t="s">
        <v>3718</v>
      </c>
      <c r="F3365" t="s">
        <v>17</v>
      </c>
    </row>
    <row r="3366" spans="1:6" x14ac:dyDescent="0.3">
      <c r="A3366" t="s">
        <v>262</v>
      </c>
      <c r="B3366" t="s">
        <v>263</v>
      </c>
    </row>
    <row r="3367" spans="1:6" x14ac:dyDescent="0.3">
      <c r="A3367" t="s">
        <v>264</v>
      </c>
      <c r="B3367" t="s">
        <v>265</v>
      </c>
      <c r="C3367" t="str">
        <f>HYPERLINK("http://service.sap.com/sap/support/notes/1809696","1809696")</f>
        <v>1809696</v>
      </c>
      <c r="D3367">
        <v>5</v>
      </c>
      <c r="E3367" t="s">
        <v>3719</v>
      </c>
      <c r="F3367" t="s">
        <v>17</v>
      </c>
    </row>
    <row r="3368" spans="1:6" x14ac:dyDescent="0.3">
      <c r="A3368" t="s">
        <v>264</v>
      </c>
      <c r="B3368" t="s">
        <v>265</v>
      </c>
      <c r="C3368" t="str">
        <f>HYPERLINK("http://service.sap.com/sap/support/notes/1891997","1891997")</f>
        <v>1891997</v>
      </c>
      <c r="D3368">
        <v>3</v>
      </c>
      <c r="E3368" t="s">
        <v>3720</v>
      </c>
      <c r="F3368" t="s">
        <v>17</v>
      </c>
    </row>
    <row r="3369" spans="1:6" x14ac:dyDescent="0.3">
      <c r="A3369" t="s">
        <v>264</v>
      </c>
      <c r="B3369" t="s">
        <v>265</v>
      </c>
      <c r="C3369" t="str">
        <f>HYPERLINK("http://service.sap.com/sap/support/notes/1920524","1920524")</f>
        <v>1920524</v>
      </c>
      <c r="D3369">
        <v>5</v>
      </c>
      <c r="E3369" t="s">
        <v>3721</v>
      </c>
      <c r="F3369" t="s">
        <v>13</v>
      </c>
    </row>
    <row r="3370" spans="1:6" x14ac:dyDescent="0.3">
      <c r="A3370" t="s">
        <v>264</v>
      </c>
      <c r="B3370" t="s">
        <v>265</v>
      </c>
      <c r="C3370" t="str">
        <f>HYPERLINK("http://service.sap.com/sap/support/notes/1965988","1965988")</f>
        <v>1965988</v>
      </c>
      <c r="D3370">
        <v>1</v>
      </c>
      <c r="E3370" t="s">
        <v>3722</v>
      </c>
      <c r="F3370" t="s">
        <v>17</v>
      </c>
    </row>
    <row r="3371" spans="1:6" x14ac:dyDescent="0.3">
      <c r="A3371" t="s">
        <v>264</v>
      </c>
      <c r="B3371" t="s">
        <v>265</v>
      </c>
      <c r="C3371" t="str">
        <f>HYPERLINK("http://service.sap.com/sap/support/notes/1979449","1979449")</f>
        <v>1979449</v>
      </c>
      <c r="D3371">
        <v>2</v>
      </c>
      <c r="E3371" t="s">
        <v>3723</v>
      </c>
      <c r="F3371" t="s">
        <v>17</v>
      </c>
    </row>
    <row r="3372" spans="1:6" x14ac:dyDescent="0.3">
      <c r="A3372" t="s">
        <v>264</v>
      </c>
      <c r="B3372" t="s">
        <v>265</v>
      </c>
      <c r="C3372" t="str">
        <f>HYPERLINK("http://service.sap.com/sap/support/notes/1981708","1981708")</f>
        <v>1981708</v>
      </c>
      <c r="D3372">
        <v>3</v>
      </c>
      <c r="E3372" t="s">
        <v>3724</v>
      </c>
      <c r="F3372" t="s">
        <v>17</v>
      </c>
    </row>
    <row r="3373" spans="1:6" x14ac:dyDescent="0.3">
      <c r="A3373" t="s">
        <v>264</v>
      </c>
      <c r="B3373" t="s">
        <v>265</v>
      </c>
      <c r="C3373" t="str">
        <f>HYPERLINK("http://service.sap.com/sap/support/notes/1982198","1982198")</f>
        <v>1982198</v>
      </c>
      <c r="D3373">
        <v>4</v>
      </c>
      <c r="E3373" t="s">
        <v>3725</v>
      </c>
      <c r="F3373" t="s">
        <v>17</v>
      </c>
    </row>
    <row r="3374" spans="1:6" x14ac:dyDescent="0.3">
      <c r="A3374" t="s">
        <v>264</v>
      </c>
      <c r="B3374" t="s">
        <v>265</v>
      </c>
      <c r="C3374" t="str">
        <f>HYPERLINK("http://service.sap.com/sap/support/notes/1987704","1987704")</f>
        <v>1987704</v>
      </c>
      <c r="D3374">
        <v>2</v>
      </c>
      <c r="E3374" t="s">
        <v>3726</v>
      </c>
      <c r="F3374" t="s">
        <v>17</v>
      </c>
    </row>
    <row r="3375" spans="1:6" x14ac:dyDescent="0.3">
      <c r="A3375" t="s">
        <v>264</v>
      </c>
      <c r="B3375" t="s">
        <v>265</v>
      </c>
      <c r="C3375" t="str">
        <f>HYPERLINK("http://service.sap.com/sap/support/notes/1990311","1990311")</f>
        <v>1990311</v>
      </c>
      <c r="D3375">
        <v>2</v>
      </c>
      <c r="E3375" t="s">
        <v>3727</v>
      </c>
      <c r="F3375" t="s">
        <v>17</v>
      </c>
    </row>
    <row r="3376" spans="1:6" x14ac:dyDescent="0.3">
      <c r="A3376" t="s">
        <v>264</v>
      </c>
      <c r="B3376" t="s">
        <v>265</v>
      </c>
      <c r="C3376" t="str">
        <f>HYPERLINK("http://service.sap.com/sap/support/notes/1990801","1990801")</f>
        <v>1990801</v>
      </c>
      <c r="D3376">
        <v>2</v>
      </c>
      <c r="E3376" t="s">
        <v>3728</v>
      </c>
      <c r="F3376" t="s">
        <v>17</v>
      </c>
    </row>
    <row r="3377" spans="1:6" x14ac:dyDescent="0.3">
      <c r="A3377" t="s">
        <v>264</v>
      </c>
      <c r="B3377" t="s">
        <v>265</v>
      </c>
      <c r="C3377" t="str">
        <f>HYPERLINK("http://service.sap.com/sap/support/notes/1993142","1993142")</f>
        <v>1993142</v>
      </c>
      <c r="D3377">
        <v>2</v>
      </c>
      <c r="E3377" t="s">
        <v>3729</v>
      </c>
      <c r="F3377" t="s">
        <v>17</v>
      </c>
    </row>
    <row r="3378" spans="1:6" x14ac:dyDescent="0.3">
      <c r="A3378" t="s">
        <v>264</v>
      </c>
      <c r="B3378" t="s">
        <v>265</v>
      </c>
      <c r="C3378" t="str">
        <f>HYPERLINK("http://service.sap.com/sap/support/notes/1993246","1993246")</f>
        <v>1993246</v>
      </c>
      <c r="D3378">
        <v>1</v>
      </c>
      <c r="E3378" t="s">
        <v>3730</v>
      </c>
      <c r="F3378" t="s">
        <v>17</v>
      </c>
    </row>
    <row r="3379" spans="1:6" x14ac:dyDescent="0.3">
      <c r="A3379" t="s">
        <v>264</v>
      </c>
      <c r="B3379" t="s">
        <v>265</v>
      </c>
      <c r="C3379" t="str">
        <f>HYPERLINK("http://service.sap.com/sap/support/notes/1993535","1993535")</f>
        <v>1993535</v>
      </c>
      <c r="D3379">
        <v>7</v>
      </c>
      <c r="E3379" t="s">
        <v>3731</v>
      </c>
      <c r="F3379" t="s">
        <v>17</v>
      </c>
    </row>
    <row r="3380" spans="1:6" x14ac:dyDescent="0.3">
      <c r="A3380" t="s">
        <v>264</v>
      </c>
      <c r="B3380" t="s">
        <v>265</v>
      </c>
      <c r="C3380" t="str">
        <f>HYPERLINK("http://service.sap.com/sap/support/notes/1994390","1994390")</f>
        <v>1994390</v>
      </c>
      <c r="D3380">
        <v>3</v>
      </c>
      <c r="E3380" t="s">
        <v>3732</v>
      </c>
      <c r="F3380" t="s">
        <v>17</v>
      </c>
    </row>
    <row r="3381" spans="1:6" x14ac:dyDescent="0.3">
      <c r="A3381" t="s">
        <v>264</v>
      </c>
      <c r="B3381" t="s">
        <v>265</v>
      </c>
      <c r="C3381" t="str">
        <f>HYPERLINK("http://service.sap.com/sap/support/notes/1995102","1995102")</f>
        <v>1995102</v>
      </c>
      <c r="D3381">
        <v>2</v>
      </c>
      <c r="E3381" t="s">
        <v>3733</v>
      </c>
      <c r="F3381" t="s">
        <v>17</v>
      </c>
    </row>
    <row r="3382" spans="1:6" x14ac:dyDescent="0.3">
      <c r="A3382" t="s">
        <v>264</v>
      </c>
      <c r="B3382" t="s">
        <v>265</v>
      </c>
      <c r="C3382" t="str">
        <f>HYPERLINK("http://service.sap.com/sap/support/notes/1996926","1996926")</f>
        <v>1996926</v>
      </c>
      <c r="D3382">
        <v>2</v>
      </c>
      <c r="E3382" t="s">
        <v>3734</v>
      </c>
      <c r="F3382" t="s">
        <v>17</v>
      </c>
    </row>
    <row r="3383" spans="1:6" x14ac:dyDescent="0.3">
      <c r="A3383" t="s">
        <v>264</v>
      </c>
      <c r="B3383" t="s">
        <v>265</v>
      </c>
      <c r="C3383" t="str">
        <f>HYPERLINK("http://service.sap.com/sap/support/notes/1998905","1998905")</f>
        <v>1998905</v>
      </c>
      <c r="D3383">
        <v>2</v>
      </c>
      <c r="E3383" t="s">
        <v>3735</v>
      </c>
      <c r="F3383" t="s">
        <v>17</v>
      </c>
    </row>
    <row r="3384" spans="1:6" x14ac:dyDescent="0.3">
      <c r="A3384" t="s">
        <v>264</v>
      </c>
      <c r="B3384" t="s">
        <v>265</v>
      </c>
      <c r="C3384" t="str">
        <f>HYPERLINK("http://service.sap.com/sap/support/notes/2002843","2002843")</f>
        <v>2002843</v>
      </c>
      <c r="D3384">
        <v>1</v>
      </c>
      <c r="E3384" t="s">
        <v>3736</v>
      </c>
      <c r="F3384" t="s">
        <v>17</v>
      </c>
    </row>
    <row r="3385" spans="1:6" x14ac:dyDescent="0.3">
      <c r="A3385" t="s">
        <v>264</v>
      </c>
      <c r="B3385" t="s">
        <v>265</v>
      </c>
      <c r="C3385" t="str">
        <f>HYPERLINK("http://service.sap.com/sap/support/notes/2008175","2008175")</f>
        <v>2008175</v>
      </c>
      <c r="D3385">
        <v>2</v>
      </c>
      <c r="E3385" t="s">
        <v>3737</v>
      </c>
      <c r="F3385" t="s">
        <v>17</v>
      </c>
    </row>
    <row r="3386" spans="1:6" x14ac:dyDescent="0.3">
      <c r="A3386" t="s">
        <v>264</v>
      </c>
      <c r="B3386" t="s">
        <v>265</v>
      </c>
      <c r="C3386" t="str">
        <f>HYPERLINK("http://service.sap.com/sap/support/notes/2008405","2008405")</f>
        <v>2008405</v>
      </c>
      <c r="D3386">
        <v>1</v>
      </c>
      <c r="E3386" t="s">
        <v>3738</v>
      </c>
      <c r="F3386" t="s">
        <v>17</v>
      </c>
    </row>
    <row r="3387" spans="1:6" x14ac:dyDescent="0.3">
      <c r="A3387" t="s">
        <v>264</v>
      </c>
      <c r="B3387" t="s">
        <v>265</v>
      </c>
      <c r="C3387" t="str">
        <f>HYPERLINK("http://service.sap.com/sap/support/notes/2016589","2016589")</f>
        <v>2016589</v>
      </c>
      <c r="D3387">
        <v>2</v>
      </c>
      <c r="E3387" t="s">
        <v>3739</v>
      </c>
      <c r="F3387" t="s">
        <v>17</v>
      </c>
    </row>
    <row r="3388" spans="1:6" x14ac:dyDescent="0.3">
      <c r="A3388" t="s">
        <v>264</v>
      </c>
      <c r="B3388" t="s">
        <v>265</v>
      </c>
      <c r="C3388" t="str">
        <f>HYPERLINK("http://service.sap.com/sap/support/notes/2020801","2020801")</f>
        <v>2020801</v>
      </c>
      <c r="D3388">
        <v>1</v>
      </c>
      <c r="E3388" t="s">
        <v>3740</v>
      </c>
      <c r="F3388" t="s">
        <v>17</v>
      </c>
    </row>
    <row r="3389" spans="1:6" x14ac:dyDescent="0.3">
      <c r="A3389" t="s">
        <v>264</v>
      </c>
      <c r="B3389" t="s">
        <v>265</v>
      </c>
      <c r="C3389" t="str">
        <f>HYPERLINK("http://service.sap.com/sap/support/notes/2021027","2021027")</f>
        <v>2021027</v>
      </c>
      <c r="D3389">
        <v>2</v>
      </c>
      <c r="E3389" t="s">
        <v>3741</v>
      </c>
      <c r="F3389" t="s">
        <v>17</v>
      </c>
    </row>
    <row r="3390" spans="1:6" x14ac:dyDescent="0.3">
      <c r="A3390" t="s">
        <v>264</v>
      </c>
      <c r="B3390" t="s">
        <v>265</v>
      </c>
      <c r="C3390" t="str">
        <f>HYPERLINK("http://service.sap.com/sap/support/notes/2025493","2025493")</f>
        <v>2025493</v>
      </c>
      <c r="D3390">
        <v>13</v>
      </c>
      <c r="E3390" t="s">
        <v>3742</v>
      </c>
      <c r="F3390" t="s">
        <v>11</v>
      </c>
    </row>
    <row r="3391" spans="1:6" x14ac:dyDescent="0.3">
      <c r="A3391" t="s">
        <v>2778</v>
      </c>
      <c r="B3391" t="s">
        <v>2779</v>
      </c>
      <c r="C3391" t="str">
        <f>HYPERLINK("http://service.sap.com/sap/support/notes/1953576","1953576")</f>
        <v>1953576</v>
      </c>
      <c r="D3391">
        <v>2</v>
      </c>
      <c r="E3391" t="s">
        <v>3743</v>
      </c>
      <c r="F3391" t="s">
        <v>17</v>
      </c>
    </row>
    <row r="3392" spans="1:6" x14ac:dyDescent="0.3">
      <c r="A3392" t="s">
        <v>2781</v>
      </c>
      <c r="B3392" t="s">
        <v>2782</v>
      </c>
      <c r="C3392" t="str">
        <f>HYPERLINK("http://service.sap.com/sap/support/notes/2016289","2016289")</f>
        <v>2016289</v>
      </c>
      <c r="D3392">
        <v>2</v>
      </c>
      <c r="E3392" t="s">
        <v>3744</v>
      </c>
      <c r="F3392" t="s">
        <v>17</v>
      </c>
    </row>
    <row r="3393" spans="1:6" x14ac:dyDescent="0.3">
      <c r="A3393" t="s">
        <v>2784</v>
      </c>
      <c r="B3393" t="s">
        <v>2785</v>
      </c>
      <c r="C3393" t="str">
        <f>HYPERLINK("http://service.sap.com/sap/support/notes/1990171","1990171")</f>
        <v>1990171</v>
      </c>
      <c r="D3393">
        <v>2</v>
      </c>
      <c r="E3393" t="s">
        <v>3745</v>
      </c>
      <c r="F3393" t="s">
        <v>17</v>
      </c>
    </row>
    <row r="3394" spans="1:6" x14ac:dyDescent="0.3">
      <c r="A3394" t="s">
        <v>280</v>
      </c>
      <c r="B3394" t="s">
        <v>281</v>
      </c>
      <c r="C3394" t="str">
        <f>HYPERLINK("http://service.sap.com/sap/support/notes/1531796","1531796")</f>
        <v>1531796</v>
      </c>
      <c r="D3394">
        <v>5</v>
      </c>
      <c r="E3394" t="s">
        <v>3746</v>
      </c>
      <c r="F3394" t="s">
        <v>13</v>
      </c>
    </row>
    <row r="3395" spans="1:6" x14ac:dyDescent="0.3">
      <c r="A3395" t="s">
        <v>280</v>
      </c>
      <c r="B3395" t="s">
        <v>281</v>
      </c>
      <c r="C3395" t="str">
        <f>HYPERLINK("http://service.sap.com/sap/support/notes/2003369","2003369")</f>
        <v>2003369</v>
      </c>
      <c r="D3395">
        <v>1</v>
      </c>
      <c r="E3395" t="s">
        <v>3747</v>
      </c>
      <c r="F3395" t="s">
        <v>13</v>
      </c>
    </row>
    <row r="3396" spans="1:6" x14ac:dyDescent="0.3">
      <c r="A3396" t="s">
        <v>280</v>
      </c>
      <c r="B3396" t="s">
        <v>281</v>
      </c>
      <c r="C3396" t="str">
        <f>HYPERLINK("http://service.sap.com/sap/support/notes/2015790","2015790")</f>
        <v>2015790</v>
      </c>
      <c r="D3396">
        <v>1</v>
      </c>
      <c r="E3396" t="s">
        <v>3748</v>
      </c>
      <c r="F3396" t="s">
        <v>13</v>
      </c>
    </row>
    <row r="3397" spans="1:6" x14ac:dyDescent="0.3">
      <c r="A3397" t="s">
        <v>280</v>
      </c>
      <c r="B3397" t="s">
        <v>281</v>
      </c>
      <c r="C3397" t="str">
        <f>HYPERLINK("http://service.sap.com/sap/support/notes/2025288","2025288")</f>
        <v>2025288</v>
      </c>
      <c r="D3397">
        <v>1</v>
      </c>
      <c r="E3397" t="s">
        <v>3749</v>
      </c>
      <c r="F3397" t="s">
        <v>13</v>
      </c>
    </row>
    <row r="3398" spans="1:6" x14ac:dyDescent="0.3">
      <c r="A3398" t="s">
        <v>288</v>
      </c>
      <c r="B3398" t="s">
        <v>289</v>
      </c>
      <c r="C3398" t="str">
        <f>HYPERLINK("http://service.sap.com/sap/support/notes/1867196","1867196")</f>
        <v>1867196</v>
      </c>
      <c r="D3398">
        <v>3</v>
      </c>
      <c r="E3398" t="s">
        <v>3750</v>
      </c>
      <c r="F3398" t="s">
        <v>13</v>
      </c>
    </row>
    <row r="3399" spans="1:6" x14ac:dyDescent="0.3">
      <c r="A3399" t="s">
        <v>301</v>
      </c>
      <c r="B3399" t="s">
        <v>302</v>
      </c>
      <c r="C3399" t="str">
        <f>HYPERLINK("http://service.sap.com/sap/support/notes/1986671","1986671")</f>
        <v>1986671</v>
      </c>
      <c r="D3399">
        <v>2</v>
      </c>
      <c r="E3399" t="s">
        <v>3751</v>
      </c>
      <c r="F3399" t="s">
        <v>17</v>
      </c>
    </row>
    <row r="3400" spans="1:6" x14ac:dyDescent="0.3">
      <c r="A3400" t="s">
        <v>301</v>
      </c>
      <c r="B3400" t="s">
        <v>302</v>
      </c>
      <c r="C3400" t="str">
        <f>HYPERLINK("http://service.sap.com/sap/support/notes/1987816","1987816")</f>
        <v>1987816</v>
      </c>
      <c r="D3400">
        <v>2</v>
      </c>
      <c r="E3400" t="s">
        <v>3752</v>
      </c>
      <c r="F3400" t="s">
        <v>17</v>
      </c>
    </row>
    <row r="3401" spans="1:6" x14ac:dyDescent="0.3">
      <c r="A3401" t="s">
        <v>301</v>
      </c>
      <c r="B3401" t="s">
        <v>302</v>
      </c>
      <c r="C3401" t="str">
        <f>HYPERLINK("http://service.sap.com/sap/support/notes/2001305","2001305")</f>
        <v>2001305</v>
      </c>
      <c r="D3401">
        <v>2</v>
      </c>
      <c r="E3401" t="s">
        <v>3753</v>
      </c>
      <c r="F3401" t="s">
        <v>17</v>
      </c>
    </row>
    <row r="3402" spans="1:6" x14ac:dyDescent="0.3">
      <c r="A3402" t="s">
        <v>332</v>
      </c>
      <c r="B3402" t="s">
        <v>333</v>
      </c>
      <c r="C3402" t="str">
        <f>HYPERLINK("http://service.sap.com/sap/support/notes/2006288","2006288")</f>
        <v>2006288</v>
      </c>
      <c r="D3402">
        <v>1</v>
      </c>
      <c r="E3402" t="s">
        <v>3754</v>
      </c>
      <c r="F3402" t="s">
        <v>17</v>
      </c>
    </row>
    <row r="3403" spans="1:6" x14ac:dyDescent="0.3">
      <c r="A3403" t="s">
        <v>338</v>
      </c>
      <c r="B3403" t="s">
        <v>339</v>
      </c>
    </row>
    <row r="3404" spans="1:6" x14ac:dyDescent="0.3">
      <c r="A3404" t="s">
        <v>350</v>
      </c>
      <c r="B3404" t="s">
        <v>351</v>
      </c>
    </row>
    <row r="3405" spans="1:6" x14ac:dyDescent="0.3">
      <c r="A3405" t="s">
        <v>352</v>
      </c>
      <c r="B3405" t="s">
        <v>353</v>
      </c>
      <c r="C3405" t="str">
        <f>HYPERLINK("http://service.sap.com/sap/support/notes/1968346","1968346")</f>
        <v>1968346</v>
      </c>
      <c r="D3405">
        <v>5</v>
      </c>
      <c r="E3405" t="s">
        <v>3755</v>
      </c>
      <c r="F3405" t="s">
        <v>17</v>
      </c>
    </row>
    <row r="3406" spans="1:6" x14ac:dyDescent="0.3">
      <c r="A3406" t="s">
        <v>360</v>
      </c>
      <c r="B3406" t="s">
        <v>361</v>
      </c>
    </row>
    <row r="3407" spans="1:6" x14ac:dyDescent="0.3">
      <c r="A3407" t="s">
        <v>362</v>
      </c>
      <c r="B3407" t="s">
        <v>363</v>
      </c>
    </row>
    <row r="3408" spans="1:6" x14ac:dyDescent="0.3">
      <c r="A3408" t="s">
        <v>3756</v>
      </c>
      <c r="B3408" t="s">
        <v>521</v>
      </c>
      <c r="C3408" t="str">
        <f>HYPERLINK("http://service.sap.com/sap/support/notes/2005633","2005633")</f>
        <v>2005633</v>
      </c>
      <c r="D3408">
        <v>1</v>
      </c>
      <c r="E3408" t="s">
        <v>3757</v>
      </c>
      <c r="F3408" t="s">
        <v>13</v>
      </c>
    </row>
    <row r="3409" spans="1:6" x14ac:dyDescent="0.3">
      <c r="A3409" t="s">
        <v>376</v>
      </c>
      <c r="B3409" t="s">
        <v>377</v>
      </c>
    </row>
    <row r="3410" spans="1:6" x14ac:dyDescent="0.3">
      <c r="A3410" t="s">
        <v>386</v>
      </c>
      <c r="B3410" t="s">
        <v>387</v>
      </c>
      <c r="C3410" t="str">
        <f>HYPERLINK("http://service.sap.com/sap/support/notes/2009802","2009802")</f>
        <v>2009802</v>
      </c>
      <c r="D3410">
        <v>2</v>
      </c>
      <c r="E3410" t="s">
        <v>3758</v>
      </c>
      <c r="F3410" t="s">
        <v>13</v>
      </c>
    </row>
    <row r="3411" spans="1:6" x14ac:dyDescent="0.3">
      <c r="A3411" t="s">
        <v>386</v>
      </c>
      <c r="B3411" t="s">
        <v>387</v>
      </c>
      <c r="C3411" t="str">
        <f>HYPERLINK("http://service.sap.com/sap/support/notes/2010884","2010884")</f>
        <v>2010884</v>
      </c>
      <c r="D3411">
        <v>2</v>
      </c>
      <c r="E3411" t="s">
        <v>3759</v>
      </c>
      <c r="F3411" t="s">
        <v>13</v>
      </c>
    </row>
    <row r="3412" spans="1:6" x14ac:dyDescent="0.3">
      <c r="A3412" t="s">
        <v>394</v>
      </c>
      <c r="B3412" t="s">
        <v>2813</v>
      </c>
      <c r="C3412" t="str">
        <f>HYPERLINK("http://service.sap.com/sap/support/notes/2001491","2001491")</f>
        <v>2001491</v>
      </c>
      <c r="D3412">
        <v>1</v>
      </c>
      <c r="E3412" t="s">
        <v>3760</v>
      </c>
      <c r="F3412" t="s">
        <v>17</v>
      </c>
    </row>
    <row r="3413" spans="1:6" x14ac:dyDescent="0.3">
      <c r="A3413" t="s">
        <v>396</v>
      </c>
      <c r="B3413" t="s">
        <v>397</v>
      </c>
      <c r="C3413" t="str">
        <f>HYPERLINK("http://service.sap.com/sap/support/notes/728422","728422")</f>
        <v>728422</v>
      </c>
      <c r="D3413">
        <v>6</v>
      </c>
      <c r="E3413" t="s">
        <v>3761</v>
      </c>
      <c r="F3413" t="s">
        <v>17</v>
      </c>
    </row>
    <row r="3414" spans="1:6" x14ac:dyDescent="0.3">
      <c r="A3414" t="s">
        <v>396</v>
      </c>
      <c r="B3414" t="s">
        <v>397</v>
      </c>
      <c r="C3414" t="str">
        <f>HYPERLINK("http://service.sap.com/sap/support/notes/825530","825530")</f>
        <v>825530</v>
      </c>
      <c r="D3414">
        <v>5</v>
      </c>
      <c r="E3414" t="s">
        <v>3762</v>
      </c>
      <c r="F3414" t="s">
        <v>13</v>
      </c>
    </row>
    <row r="3415" spans="1:6" x14ac:dyDescent="0.3">
      <c r="A3415" t="s">
        <v>396</v>
      </c>
      <c r="B3415" t="s">
        <v>397</v>
      </c>
      <c r="C3415" t="str">
        <f>HYPERLINK("http://service.sap.com/sap/support/notes/1064198","1064198")</f>
        <v>1064198</v>
      </c>
      <c r="D3415">
        <v>7</v>
      </c>
      <c r="E3415" t="s">
        <v>3763</v>
      </c>
      <c r="F3415" t="s">
        <v>17</v>
      </c>
    </row>
    <row r="3416" spans="1:6" x14ac:dyDescent="0.3">
      <c r="A3416" t="s">
        <v>396</v>
      </c>
      <c r="B3416" t="s">
        <v>397</v>
      </c>
      <c r="C3416" t="str">
        <f>HYPERLINK("http://service.sap.com/sap/support/notes/1359195","1359195")</f>
        <v>1359195</v>
      </c>
      <c r="D3416">
        <v>3</v>
      </c>
      <c r="E3416" t="s">
        <v>3764</v>
      </c>
      <c r="F3416" t="s">
        <v>17</v>
      </c>
    </row>
    <row r="3417" spans="1:6" x14ac:dyDescent="0.3">
      <c r="A3417" t="s">
        <v>396</v>
      </c>
      <c r="B3417" t="s">
        <v>397</v>
      </c>
      <c r="C3417" t="str">
        <f>HYPERLINK("http://service.sap.com/sap/support/notes/1993980","1993980")</f>
        <v>1993980</v>
      </c>
      <c r="D3417">
        <v>3</v>
      </c>
      <c r="E3417" t="s">
        <v>3765</v>
      </c>
      <c r="F3417" t="s">
        <v>17</v>
      </c>
    </row>
    <row r="3418" spans="1:6" x14ac:dyDescent="0.3">
      <c r="A3418" t="s">
        <v>398</v>
      </c>
      <c r="B3418" t="s">
        <v>399</v>
      </c>
      <c r="C3418" t="str">
        <f>HYPERLINK("http://service.sap.com/sap/support/notes/1929086","1929086")</f>
        <v>1929086</v>
      </c>
      <c r="D3418">
        <v>3</v>
      </c>
      <c r="E3418" t="s">
        <v>3766</v>
      </c>
      <c r="F3418" t="s">
        <v>17</v>
      </c>
    </row>
    <row r="3419" spans="1:6" x14ac:dyDescent="0.3">
      <c r="A3419" t="s">
        <v>409</v>
      </c>
      <c r="B3419" t="s">
        <v>138</v>
      </c>
      <c r="C3419" t="str">
        <f>HYPERLINK("http://service.sap.com/sap/support/notes/1996546","1996546")</f>
        <v>1996546</v>
      </c>
      <c r="D3419">
        <v>1</v>
      </c>
      <c r="E3419" t="s">
        <v>3767</v>
      </c>
      <c r="F3419" t="s">
        <v>17</v>
      </c>
    </row>
    <row r="3420" spans="1:6" x14ac:dyDescent="0.3">
      <c r="A3420" t="s">
        <v>413</v>
      </c>
      <c r="B3420" t="s">
        <v>414</v>
      </c>
      <c r="C3420" t="str">
        <f>HYPERLINK("http://service.sap.com/sap/support/notes/2013976","2013976")</f>
        <v>2013976</v>
      </c>
      <c r="D3420">
        <v>2</v>
      </c>
      <c r="E3420" t="s">
        <v>3768</v>
      </c>
      <c r="F3420" t="s">
        <v>17</v>
      </c>
    </row>
    <row r="3421" spans="1:6" x14ac:dyDescent="0.3">
      <c r="A3421" t="s">
        <v>417</v>
      </c>
      <c r="B3421" t="s">
        <v>418</v>
      </c>
    </row>
    <row r="3422" spans="1:6" x14ac:dyDescent="0.3">
      <c r="A3422" t="s">
        <v>419</v>
      </c>
      <c r="B3422" t="s">
        <v>420</v>
      </c>
    </row>
    <row r="3423" spans="1:6" x14ac:dyDescent="0.3">
      <c r="A3423" t="s">
        <v>421</v>
      </c>
      <c r="B3423" t="s">
        <v>422</v>
      </c>
    </row>
    <row r="3424" spans="1:6" x14ac:dyDescent="0.3">
      <c r="A3424" t="s">
        <v>423</v>
      </c>
      <c r="B3424" t="s">
        <v>424</v>
      </c>
      <c r="C3424" t="str">
        <f>HYPERLINK("http://service.sap.com/sap/support/notes/2019531","2019531")</f>
        <v>2019531</v>
      </c>
      <c r="D3424">
        <v>2</v>
      </c>
      <c r="E3424" t="s">
        <v>3769</v>
      </c>
      <c r="F3424" t="s">
        <v>17</v>
      </c>
    </row>
    <row r="3425" spans="1:6" x14ac:dyDescent="0.3">
      <c r="A3425" t="s">
        <v>426</v>
      </c>
      <c r="B3425" t="s">
        <v>61</v>
      </c>
    </row>
    <row r="3426" spans="1:6" x14ac:dyDescent="0.3">
      <c r="A3426" t="s">
        <v>427</v>
      </c>
      <c r="B3426" t="s">
        <v>63</v>
      </c>
      <c r="C3426" t="str">
        <f>HYPERLINK("http://service.sap.com/sap/support/notes/1891236","1891236")</f>
        <v>1891236</v>
      </c>
      <c r="D3426">
        <v>1</v>
      </c>
      <c r="E3426" t="s">
        <v>430</v>
      </c>
      <c r="F3426" t="s">
        <v>13</v>
      </c>
    </row>
    <row r="3427" spans="1:6" x14ac:dyDescent="0.3">
      <c r="A3427" t="s">
        <v>427</v>
      </c>
      <c r="B3427" t="s">
        <v>63</v>
      </c>
      <c r="C3427" t="str">
        <f>HYPERLINK("http://service.sap.com/sap/support/notes/1951069","1951069")</f>
        <v>1951069</v>
      </c>
      <c r="D3427">
        <v>2</v>
      </c>
      <c r="E3427" t="s">
        <v>2011</v>
      </c>
      <c r="F3427" t="s">
        <v>17</v>
      </c>
    </row>
    <row r="3428" spans="1:6" x14ac:dyDescent="0.3">
      <c r="A3428" t="s">
        <v>427</v>
      </c>
      <c r="B3428" t="s">
        <v>63</v>
      </c>
      <c r="C3428" t="str">
        <f>HYPERLINK("http://service.sap.com/sap/support/notes/2015353","2015353")</f>
        <v>2015353</v>
      </c>
      <c r="D3428">
        <v>2</v>
      </c>
      <c r="E3428" t="s">
        <v>3770</v>
      </c>
      <c r="F3428" t="s">
        <v>17</v>
      </c>
    </row>
    <row r="3429" spans="1:6" x14ac:dyDescent="0.3">
      <c r="A3429" t="s">
        <v>427</v>
      </c>
      <c r="B3429" t="s">
        <v>63</v>
      </c>
      <c r="C3429" t="str">
        <f>HYPERLINK("http://service.sap.com/sap/support/notes/2023763","2023763")</f>
        <v>2023763</v>
      </c>
      <c r="D3429">
        <v>1</v>
      </c>
      <c r="E3429" t="s">
        <v>3771</v>
      </c>
      <c r="F3429" t="s">
        <v>17</v>
      </c>
    </row>
    <row r="3430" spans="1:6" x14ac:dyDescent="0.3">
      <c r="A3430" t="s">
        <v>441</v>
      </c>
      <c r="B3430" t="s">
        <v>346</v>
      </c>
      <c r="C3430" t="str">
        <f>HYPERLINK("http://service.sap.com/sap/support/notes/2007069","2007069")</f>
        <v>2007069</v>
      </c>
      <c r="D3430">
        <v>1</v>
      </c>
      <c r="E3430" t="s">
        <v>3772</v>
      </c>
      <c r="F3430" t="s">
        <v>17</v>
      </c>
    </row>
    <row r="3431" spans="1:6" x14ac:dyDescent="0.3">
      <c r="A3431" t="s">
        <v>441</v>
      </c>
      <c r="B3431" t="s">
        <v>346</v>
      </c>
      <c r="C3431" t="str">
        <f>HYPERLINK("http://service.sap.com/sap/support/notes/2011160","2011160")</f>
        <v>2011160</v>
      </c>
      <c r="D3431">
        <v>2</v>
      </c>
      <c r="E3431" t="s">
        <v>3773</v>
      </c>
      <c r="F3431" t="s">
        <v>17</v>
      </c>
    </row>
    <row r="3432" spans="1:6" x14ac:dyDescent="0.3">
      <c r="A3432" t="s">
        <v>441</v>
      </c>
      <c r="B3432" t="s">
        <v>346</v>
      </c>
      <c r="C3432" t="str">
        <f>HYPERLINK("http://service.sap.com/sap/support/notes/2014719","2014719")</f>
        <v>2014719</v>
      </c>
      <c r="D3432">
        <v>2</v>
      </c>
      <c r="E3432" t="s">
        <v>3774</v>
      </c>
      <c r="F3432" t="s">
        <v>17</v>
      </c>
    </row>
    <row r="3433" spans="1:6" x14ac:dyDescent="0.3">
      <c r="A3433" t="s">
        <v>451</v>
      </c>
      <c r="B3433" t="s">
        <v>138</v>
      </c>
      <c r="C3433" t="str">
        <f>HYPERLINK("http://service.sap.com/sap/support/notes/1938453","1938453")</f>
        <v>1938453</v>
      </c>
      <c r="D3433">
        <v>2</v>
      </c>
      <c r="E3433" t="s">
        <v>3775</v>
      </c>
      <c r="F3433" t="s">
        <v>17</v>
      </c>
    </row>
    <row r="3434" spans="1:6" x14ac:dyDescent="0.3">
      <c r="A3434" t="s">
        <v>451</v>
      </c>
      <c r="B3434" t="s">
        <v>138</v>
      </c>
      <c r="C3434" t="str">
        <f>HYPERLINK("http://service.sap.com/sap/support/notes/1957446","1957446")</f>
        <v>1957446</v>
      </c>
      <c r="D3434">
        <v>1</v>
      </c>
      <c r="E3434" t="s">
        <v>3776</v>
      </c>
      <c r="F3434" t="s">
        <v>17</v>
      </c>
    </row>
    <row r="3435" spans="1:6" x14ac:dyDescent="0.3">
      <c r="A3435" t="s">
        <v>451</v>
      </c>
      <c r="B3435" t="s">
        <v>138</v>
      </c>
      <c r="C3435" t="str">
        <f>HYPERLINK("http://service.sap.com/sap/support/notes/1969484","1969484")</f>
        <v>1969484</v>
      </c>
      <c r="D3435">
        <v>1</v>
      </c>
      <c r="E3435" t="s">
        <v>3777</v>
      </c>
      <c r="F3435" t="s">
        <v>17</v>
      </c>
    </row>
    <row r="3436" spans="1:6" x14ac:dyDescent="0.3">
      <c r="A3436" t="s">
        <v>451</v>
      </c>
      <c r="B3436" t="s">
        <v>138</v>
      </c>
      <c r="C3436" t="str">
        <f>HYPERLINK("http://service.sap.com/sap/support/notes/1997678","1997678")</f>
        <v>1997678</v>
      </c>
      <c r="D3436">
        <v>1</v>
      </c>
      <c r="E3436" t="s">
        <v>3778</v>
      </c>
      <c r="F3436" t="s">
        <v>17</v>
      </c>
    </row>
    <row r="3437" spans="1:6" x14ac:dyDescent="0.3">
      <c r="A3437" t="s">
        <v>451</v>
      </c>
      <c r="B3437" t="s">
        <v>138</v>
      </c>
      <c r="C3437" t="str">
        <f>HYPERLINK("http://service.sap.com/sap/support/notes/1998371","1998371")</f>
        <v>1998371</v>
      </c>
      <c r="D3437">
        <v>8</v>
      </c>
      <c r="E3437" t="s">
        <v>3779</v>
      </c>
      <c r="F3437" t="s">
        <v>11</v>
      </c>
    </row>
    <row r="3438" spans="1:6" x14ac:dyDescent="0.3">
      <c r="A3438" t="s">
        <v>451</v>
      </c>
      <c r="B3438" t="s">
        <v>138</v>
      </c>
      <c r="C3438" t="str">
        <f>HYPERLINK("http://service.sap.com/sap/support/notes/2002589","2002589")</f>
        <v>2002589</v>
      </c>
      <c r="D3438">
        <v>1</v>
      </c>
      <c r="E3438" t="s">
        <v>3780</v>
      </c>
      <c r="F3438" t="s">
        <v>17</v>
      </c>
    </row>
    <row r="3439" spans="1:6" x14ac:dyDescent="0.3">
      <c r="A3439" t="s">
        <v>451</v>
      </c>
      <c r="B3439" t="s">
        <v>138</v>
      </c>
      <c r="C3439" t="str">
        <f>HYPERLINK("http://service.sap.com/sap/support/notes/2004718","2004718")</f>
        <v>2004718</v>
      </c>
      <c r="D3439">
        <v>1</v>
      </c>
      <c r="E3439" t="s">
        <v>3781</v>
      </c>
      <c r="F3439" t="s">
        <v>17</v>
      </c>
    </row>
    <row r="3440" spans="1:6" x14ac:dyDescent="0.3">
      <c r="A3440" t="s">
        <v>451</v>
      </c>
      <c r="B3440" t="s">
        <v>138</v>
      </c>
      <c r="C3440" t="str">
        <f>HYPERLINK("http://service.sap.com/sap/support/notes/2007868","2007868")</f>
        <v>2007868</v>
      </c>
      <c r="D3440">
        <v>1</v>
      </c>
      <c r="E3440" t="s">
        <v>3782</v>
      </c>
      <c r="F3440" t="s">
        <v>17</v>
      </c>
    </row>
    <row r="3441" spans="1:6" x14ac:dyDescent="0.3">
      <c r="A3441" t="s">
        <v>451</v>
      </c>
      <c r="B3441" t="s">
        <v>138</v>
      </c>
      <c r="C3441" t="str">
        <f>HYPERLINK("http://service.sap.com/sap/support/notes/2014582","2014582")</f>
        <v>2014582</v>
      </c>
      <c r="D3441">
        <v>1</v>
      </c>
      <c r="E3441" t="s">
        <v>3783</v>
      </c>
      <c r="F3441" t="s">
        <v>17</v>
      </c>
    </row>
    <row r="3442" spans="1:6" x14ac:dyDescent="0.3">
      <c r="A3442" t="s">
        <v>451</v>
      </c>
      <c r="B3442" t="s">
        <v>138</v>
      </c>
      <c r="C3442" t="str">
        <f>HYPERLINK("http://service.sap.com/sap/support/notes/2015298","2015298")</f>
        <v>2015298</v>
      </c>
      <c r="D3442">
        <v>3</v>
      </c>
      <c r="E3442" t="s">
        <v>3784</v>
      </c>
      <c r="F3442" t="s">
        <v>17</v>
      </c>
    </row>
    <row r="3443" spans="1:6" x14ac:dyDescent="0.3">
      <c r="A3443" t="s">
        <v>466</v>
      </c>
      <c r="B3443" t="s">
        <v>467</v>
      </c>
      <c r="C3443" t="str">
        <f>HYPERLINK("http://service.sap.com/sap/support/notes/1960768","1960768")</f>
        <v>1960768</v>
      </c>
      <c r="D3443">
        <v>2</v>
      </c>
      <c r="E3443" t="s">
        <v>3785</v>
      </c>
      <c r="F3443" t="s">
        <v>17</v>
      </c>
    </row>
    <row r="3444" spans="1:6" x14ac:dyDescent="0.3">
      <c r="A3444" t="s">
        <v>466</v>
      </c>
      <c r="B3444" t="s">
        <v>467</v>
      </c>
      <c r="C3444" t="str">
        <f>HYPERLINK("http://service.sap.com/sap/support/notes/1964582","1964582")</f>
        <v>1964582</v>
      </c>
      <c r="D3444">
        <v>1</v>
      </c>
      <c r="E3444" t="s">
        <v>3786</v>
      </c>
      <c r="F3444" t="s">
        <v>17</v>
      </c>
    </row>
    <row r="3445" spans="1:6" x14ac:dyDescent="0.3">
      <c r="A3445" t="s">
        <v>466</v>
      </c>
      <c r="B3445" t="s">
        <v>467</v>
      </c>
      <c r="C3445" t="str">
        <f>HYPERLINK("http://service.sap.com/sap/support/notes/1969027","1969027")</f>
        <v>1969027</v>
      </c>
      <c r="D3445">
        <v>1</v>
      </c>
      <c r="E3445" t="s">
        <v>3787</v>
      </c>
      <c r="F3445" t="s">
        <v>13</v>
      </c>
    </row>
    <row r="3446" spans="1:6" x14ac:dyDescent="0.3">
      <c r="A3446" t="s">
        <v>466</v>
      </c>
      <c r="B3446" t="s">
        <v>467</v>
      </c>
      <c r="C3446" t="str">
        <f>HYPERLINK("http://service.sap.com/sap/support/notes/1975591","1975591")</f>
        <v>1975591</v>
      </c>
      <c r="D3446">
        <v>1</v>
      </c>
      <c r="E3446" t="s">
        <v>3788</v>
      </c>
      <c r="F3446" t="s">
        <v>17</v>
      </c>
    </row>
    <row r="3447" spans="1:6" x14ac:dyDescent="0.3">
      <c r="A3447" t="s">
        <v>466</v>
      </c>
      <c r="B3447" t="s">
        <v>467</v>
      </c>
      <c r="C3447" t="str">
        <f>HYPERLINK("http://service.sap.com/sap/support/notes/1988844","1988844")</f>
        <v>1988844</v>
      </c>
      <c r="D3447">
        <v>3</v>
      </c>
      <c r="E3447" t="s">
        <v>3789</v>
      </c>
      <c r="F3447" t="s">
        <v>17</v>
      </c>
    </row>
    <row r="3448" spans="1:6" x14ac:dyDescent="0.3">
      <c r="A3448" t="s">
        <v>466</v>
      </c>
      <c r="B3448" t="s">
        <v>467</v>
      </c>
      <c r="C3448" t="str">
        <f>HYPERLINK("http://service.sap.com/sap/support/notes/1997873","1997873")</f>
        <v>1997873</v>
      </c>
      <c r="D3448">
        <v>1</v>
      </c>
      <c r="E3448" t="s">
        <v>3790</v>
      </c>
      <c r="F3448" t="s">
        <v>17</v>
      </c>
    </row>
    <row r="3449" spans="1:6" x14ac:dyDescent="0.3">
      <c r="A3449" t="s">
        <v>466</v>
      </c>
      <c r="B3449" t="s">
        <v>467</v>
      </c>
      <c r="C3449" t="str">
        <f>HYPERLINK("http://service.sap.com/sap/support/notes/2011626","2011626")</f>
        <v>2011626</v>
      </c>
      <c r="D3449">
        <v>1</v>
      </c>
      <c r="E3449" t="s">
        <v>3791</v>
      </c>
      <c r="F3449" t="s">
        <v>17</v>
      </c>
    </row>
    <row r="3450" spans="1:6" x14ac:dyDescent="0.3">
      <c r="A3450" t="s">
        <v>466</v>
      </c>
      <c r="B3450" t="s">
        <v>467</v>
      </c>
      <c r="C3450" t="str">
        <f>HYPERLINK("http://service.sap.com/sap/support/notes/2021343","2021343")</f>
        <v>2021343</v>
      </c>
      <c r="D3450">
        <v>1</v>
      </c>
      <c r="E3450" t="s">
        <v>3792</v>
      </c>
      <c r="F3450" t="s">
        <v>17</v>
      </c>
    </row>
    <row r="3451" spans="1:6" x14ac:dyDescent="0.3">
      <c r="A3451" t="s">
        <v>481</v>
      </c>
      <c r="B3451" t="s">
        <v>482</v>
      </c>
      <c r="C3451" t="str">
        <f>HYPERLINK("http://service.sap.com/sap/support/notes/1968861","1968861")</f>
        <v>1968861</v>
      </c>
      <c r="D3451">
        <v>2</v>
      </c>
      <c r="E3451" t="s">
        <v>3793</v>
      </c>
      <c r="F3451" t="s">
        <v>17</v>
      </c>
    </row>
    <row r="3452" spans="1:6" x14ac:dyDescent="0.3">
      <c r="A3452" t="s">
        <v>481</v>
      </c>
      <c r="B3452" t="s">
        <v>482</v>
      </c>
      <c r="C3452" t="str">
        <f>HYPERLINK("http://service.sap.com/sap/support/notes/1996192","1996192")</f>
        <v>1996192</v>
      </c>
      <c r="D3452">
        <v>1</v>
      </c>
      <c r="E3452" t="s">
        <v>3794</v>
      </c>
      <c r="F3452" t="s">
        <v>17</v>
      </c>
    </row>
    <row r="3453" spans="1:6" x14ac:dyDescent="0.3">
      <c r="A3453" t="s">
        <v>489</v>
      </c>
      <c r="B3453" t="s">
        <v>490</v>
      </c>
      <c r="C3453" t="str">
        <f>HYPERLINK("http://service.sap.com/sap/support/notes/2008047","2008047")</f>
        <v>2008047</v>
      </c>
      <c r="D3453">
        <v>1</v>
      </c>
      <c r="E3453" t="s">
        <v>3795</v>
      </c>
      <c r="F3453" t="s">
        <v>17</v>
      </c>
    </row>
    <row r="3454" spans="1:6" x14ac:dyDescent="0.3">
      <c r="A3454" t="s">
        <v>489</v>
      </c>
      <c r="B3454" t="s">
        <v>490</v>
      </c>
      <c r="C3454" t="str">
        <f>HYPERLINK("http://service.sap.com/sap/support/notes/2015956","2015956")</f>
        <v>2015956</v>
      </c>
      <c r="D3454">
        <v>1</v>
      </c>
      <c r="E3454" t="s">
        <v>3796</v>
      </c>
      <c r="F3454" t="s">
        <v>17</v>
      </c>
    </row>
    <row r="3455" spans="1:6" x14ac:dyDescent="0.3">
      <c r="A3455" t="s">
        <v>3797</v>
      </c>
      <c r="B3455" t="s">
        <v>3798</v>
      </c>
      <c r="C3455" t="str">
        <f>HYPERLINK("http://service.sap.com/sap/support/notes/2005641","2005641")</f>
        <v>2005641</v>
      </c>
      <c r="D3455">
        <v>2</v>
      </c>
      <c r="E3455" t="s">
        <v>3799</v>
      </c>
      <c r="F3455" t="s">
        <v>17</v>
      </c>
    </row>
    <row r="3456" spans="1:6" x14ac:dyDescent="0.3">
      <c r="A3456" t="s">
        <v>498</v>
      </c>
      <c r="B3456" t="s">
        <v>243</v>
      </c>
      <c r="C3456" t="str">
        <f>HYPERLINK("http://service.sap.com/sap/support/notes/305951","305951")</f>
        <v>305951</v>
      </c>
      <c r="D3456">
        <v>4</v>
      </c>
      <c r="E3456" t="s">
        <v>3800</v>
      </c>
      <c r="F3456" t="s">
        <v>13</v>
      </c>
    </row>
    <row r="3457" spans="1:6" x14ac:dyDescent="0.3">
      <c r="A3457" t="s">
        <v>498</v>
      </c>
      <c r="B3457" t="s">
        <v>243</v>
      </c>
      <c r="C3457" t="str">
        <f>HYPERLINK("http://service.sap.com/sap/support/notes/1973894","1973894")</f>
        <v>1973894</v>
      </c>
      <c r="D3457">
        <v>1</v>
      </c>
      <c r="E3457" t="s">
        <v>3801</v>
      </c>
      <c r="F3457" t="s">
        <v>17</v>
      </c>
    </row>
    <row r="3458" spans="1:6" x14ac:dyDescent="0.3">
      <c r="A3458" t="s">
        <v>498</v>
      </c>
      <c r="B3458" t="s">
        <v>243</v>
      </c>
      <c r="C3458" t="str">
        <f>HYPERLINK("http://service.sap.com/sap/support/notes/1975509","1975509")</f>
        <v>1975509</v>
      </c>
      <c r="D3458">
        <v>4</v>
      </c>
      <c r="E3458" t="s">
        <v>3802</v>
      </c>
      <c r="F3458" t="s">
        <v>17</v>
      </c>
    </row>
    <row r="3459" spans="1:6" x14ac:dyDescent="0.3">
      <c r="A3459" t="s">
        <v>498</v>
      </c>
      <c r="B3459" t="s">
        <v>243</v>
      </c>
      <c r="C3459" t="str">
        <f>HYPERLINK("http://service.sap.com/sap/support/notes/1976162","1976162")</f>
        <v>1976162</v>
      </c>
      <c r="D3459">
        <v>2</v>
      </c>
      <c r="E3459" t="s">
        <v>3803</v>
      </c>
      <c r="F3459" t="s">
        <v>17</v>
      </c>
    </row>
    <row r="3460" spans="1:6" x14ac:dyDescent="0.3">
      <c r="A3460" t="s">
        <v>498</v>
      </c>
      <c r="B3460" t="s">
        <v>243</v>
      </c>
      <c r="C3460" t="str">
        <f>HYPERLINK("http://service.sap.com/sap/support/notes/1979400","1979400")</f>
        <v>1979400</v>
      </c>
      <c r="D3460">
        <v>2</v>
      </c>
      <c r="E3460" t="s">
        <v>3804</v>
      </c>
      <c r="F3460" t="s">
        <v>17</v>
      </c>
    </row>
    <row r="3461" spans="1:6" x14ac:dyDescent="0.3">
      <c r="A3461" t="s">
        <v>498</v>
      </c>
      <c r="B3461" t="s">
        <v>243</v>
      </c>
      <c r="C3461" t="str">
        <f>HYPERLINK("http://service.sap.com/sap/support/notes/1992757","1992757")</f>
        <v>1992757</v>
      </c>
      <c r="D3461">
        <v>2</v>
      </c>
      <c r="E3461" t="s">
        <v>3805</v>
      </c>
      <c r="F3461" t="s">
        <v>17</v>
      </c>
    </row>
    <row r="3462" spans="1:6" x14ac:dyDescent="0.3">
      <c r="A3462" t="s">
        <v>498</v>
      </c>
      <c r="B3462" t="s">
        <v>243</v>
      </c>
      <c r="C3462" t="str">
        <f>HYPERLINK("http://service.sap.com/sap/support/notes/2010778","2010778")</f>
        <v>2010778</v>
      </c>
      <c r="D3462">
        <v>1</v>
      </c>
      <c r="E3462" t="s">
        <v>3806</v>
      </c>
      <c r="F3462" t="s">
        <v>17</v>
      </c>
    </row>
    <row r="3463" spans="1:6" x14ac:dyDescent="0.3">
      <c r="A3463" t="s">
        <v>498</v>
      </c>
      <c r="B3463" t="s">
        <v>243</v>
      </c>
      <c r="C3463" t="str">
        <f>HYPERLINK("http://service.sap.com/sap/support/notes/2011964","2011964")</f>
        <v>2011964</v>
      </c>
      <c r="D3463">
        <v>1</v>
      </c>
      <c r="E3463" t="s">
        <v>3807</v>
      </c>
      <c r="F3463" t="s">
        <v>17</v>
      </c>
    </row>
    <row r="3464" spans="1:6" x14ac:dyDescent="0.3">
      <c r="A3464" t="s">
        <v>520</v>
      </c>
      <c r="B3464" t="s">
        <v>521</v>
      </c>
    </row>
    <row r="3465" spans="1:6" x14ac:dyDescent="0.3">
      <c r="A3465" t="s">
        <v>522</v>
      </c>
      <c r="B3465" t="s">
        <v>523</v>
      </c>
      <c r="C3465" t="str">
        <f>HYPERLINK("http://service.sap.com/sap/support/notes/2006455","2006455")</f>
        <v>2006455</v>
      </c>
      <c r="D3465">
        <v>3</v>
      </c>
      <c r="E3465" t="s">
        <v>3808</v>
      </c>
      <c r="F3465" t="s">
        <v>17</v>
      </c>
    </row>
    <row r="3466" spans="1:6" x14ac:dyDescent="0.3">
      <c r="A3466" t="s">
        <v>526</v>
      </c>
      <c r="B3466" t="s">
        <v>527</v>
      </c>
      <c r="C3466" t="str">
        <f>HYPERLINK("http://service.sap.com/sap/support/notes/1997615","1997615")</f>
        <v>1997615</v>
      </c>
      <c r="D3466">
        <v>1</v>
      </c>
      <c r="E3466" t="s">
        <v>3809</v>
      </c>
      <c r="F3466" t="s">
        <v>17</v>
      </c>
    </row>
    <row r="3467" spans="1:6" x14ac:dyDescent="0.3">
      <c r="A3467" t="s">
        <v>526</v>
      </c>
      <c r="B3467" t="s">
        <v>527</v>
      </c>
      <c r="C3467" t="str">
        <f>HYPERLINK("http://service.sap.com/sap/support/notes/2004024","2004024")</f>
        <v>2004024</v>
      </c>
      <c r="D3467">
        <v>1</v>
      </c>
      <c r="E3467" t="s">
        <v>3810</v>
      </c>
      <c r="F3467" t="s">
        <v>17</v>
      </c>
    </row>
    <row r="3468" spans="1:6" x14ac:dyDescent="0.3">
      <c r="A3468" t="s">
        <v>526</v>
      </c>
      <c r="B3468" t="s">
        <v>527</v>
      </c>
      <c r="C3468" t="str">
        <f>HYPERLINK("http://service.sap.com/sap/support/notes/2008603","2008603")</f>
        <v>2008603</v>
      </c>
      <c r="D3468">
        <v>1</v>
      </c>
      <c r="E3468" t="s">
        <v>3811</v>
      </c>
      <c r="F3468" t="s">
        <v>17</v>
      </c>
    </row>
    <row r="3469" spans="1:6" x14ac:dyDescent="0.3">
      <c r="A3469" t="s">
        <v>529</v>
      </c>
      <c r="B3469" t="s">
        <v>346</v>
      </c>
    </row>
    <row r="3470" spans="1:6" x14ac:dyDescent="0.3">
      <c r="A3470" t="s">
        <v>530</v>
      </c>
      <c r="B3470" t="s">
        <v>531</v>
      </c>
      <c r="C3470" t="str">
        <f>HYPERLINK("http://service.sap.com/sap/support/notes/1436960","1436960")</f>
        <v>1436960</v>
      </c>
      <c r="D3470">
        <v>5</v>
      </c>
      <c r="E3470" t="s">
        <v>3812</v>
      </c>
      <c r="F3470" t="s">
        <v>13</v>
      </c>
    </row>
    <row r="3471" spans="1:6" x14ac:dyDescent="0.3">
      <c r="A3471" t="s">
        <v>530</v>
      </c>
      <c r="B3471" t="s">
        <v>531</v>
      </c>
      <c r="C3471" t="str">
        <f>HYPERLINK("http://service.sap.com/sap/support/notes/1991007","1991007")</f>
        <v>1991007</v>
      </c>
      <c r="D3471">
        <v>1</v>
      </c>
      <c r="E3471" t="s">
        <v>3813</v>
      </c>
      <c r="F3471" t="s">
        <v>17</v>
      </c>
    </row>
    <row r="3472" spans="1:6" x14ac:dyDescent="0.3">
      <c r="A3472" t="s">
        <v>530</v>
      </c>
      <c r="B3472" t="s">
        <v>531</v>
      </c>
      <c r="C3472" t="str">
        <f>HYPERLINK("http://service.sap.com/sap/support/notes/1991356","1991356")</f>
        <v>1991356</v>
      </c>
      <c r="D3472">
        <v>1</v>
      </c>
      <c r="E3472" t="s">
        <v>3814</v>
      </c>
      <c r="F3472" t="s">
        <v>17</v>
      </c>
    </row>
    <row r="3473" spans="1:6" x14ac:dyDescent="0.3">
      <c r="A3473" t="s">
        <v>530</v>
      </c>
      <c r="B3473" t="s">
        <v>531</v>
      </c>
      <c r="C3473" t="str">
        <f>HYPERLINK("http://service.sap.com/sap/support/notes/2009578","2009578")</f>
        <v>2009578</v>
      </c>
      <c r="D3473">
        <v>2</v>
      </c>
      <c r="E3473" t="s">
        <v>3815</v>
      </c>
      <c r="F3473" t="s">
        <v>17</v>
      </c>
    </row>
    <row r="3474" spans="1:6" x14ac:dyDescent="0.3">
      <c r="A3474" t="s">
        <v>530</v>
      </c>
      <c r="B3474" t="s">
        <v>531</v>
      </c>
      <c r="C3474" t="str">
        <f>HYPERLINK("http://service.sap.com/sap/support/notes/2009685","2009685")</f>
        <v>2009685</v>
      </c>
      <c r="D3474">
        <v>1</v>
      </c>
      <c r="E3474" t="s">
        <v>3816</v>
      </c>
      <c r="F3474" t="s">
        <v>17</v>
      </c>
    </row>
    <row r="3475" spans="1:6" x14ac:dyDescent="0.3">
      <c r="A3475" t="s">
        <v>530</v>
      </c>
      <c r="B3475" t="s">
        <v>531</v>
      </c>
      <c r="C3475" t="str">
        <f>HYPERLINK("http://service.sap.com/sap/support/notes/2011073","2011073")</f>
        <v>2011073</v>
      </c>
      <c r="D3475">
        <v>1</v>
      </c>
      <c r="E3475" t="s">
        <v>3817</v>
      </c>
      <c r="F3475" t="s">
        <v>17</v>
      </c>
    </row>
    <row r="3476" spans="1:6" x14ac:dyDescent="0.3">
      <c r="A3476" t="s">
        <v>530</v>
      </c>
      <c r="B3476" t="s">
        <v>531</v>
      </c>
      <c r="C3476" t="str">
        <f>HYPERLINK("http://service.sap.com/sap/support/notes/2015912","2015912")</f>
        <v>2015912</v>
      </c>
      <c r="D3476">
        <v>2</v>
      </c>
      <c r="E3476" t="s">
        <v>3818</v>
      </c>
      <c r="F3476" t="s">
        <v>17</v>
      </c>
    </row>
    <row r="3477" spans="1:6" x14ac:dyDescent="0.3">
      <c r="A3477" t="s">
        <v>530</v>
      </c>
      <c r="B3477" t="s">
        <v>531</v>
      </c>
      <c r="C3477" t="str">
        <f>HYPERLINK("http://service.sap.com/sap/support/notes/2022132","2022132")</f>
        <v>2022132</v>
      </c>
      <c r="D3477">
        <v>1</v>
      </c>
      <c r="E3477" t="s">
        <v>3819</v>
      </c>
      <c r="F3477" t="s">
        <v>17</v>
      </c>
    </row>
    <row r="3478" spans="1:6" x14ac:dyDescent="0.3">
      <c r="A3478" t="s">
        <v>549</v>
      </c>
      <c r="B3478" t="s">
        <v>550</v>
      </c>
      <c r="C3478" t="str">
        <f>HYPERLINK("http://service.sap.com/sap/support/notes/1978092","1978092")</f>
        <v>1978092</v>
      </c>
      <c r="D3478">
        <v>2</v>
      </c>
      <c r="E3478" t="s">
        <v>3820</v>
      </c>
      <c r="F3478" t="s">
        <v>17</v>
      </c>
    </row>
    <row r="3479" spans="1:6" x14ac:dyDescent="0.3">
      <c r="A3479" t="s">
        <v>549</v>
      </c>
      <c r="B3479" t="s">
        <v>550</v>
      </c>
      <c r="C3479" t="str">
        <f>HYPERLINK("http://service.sap.com/sap/support/notes/1990634","1990634")</f>
        <v>1990634</v>
      </c>
      <c r="D3479">
        <v>3</v>
      </c>
      <c r="E3479" t="s">
        <v>3821</v>
      </c>
      <c r="F3479" t="s">
        <v>17</v>
      </c>
    </row>
    <row r="3480" spans="1:6" x14ac:dyDescent="0.3">
      <c r="A3480" t="s">
        <v>549</v>
      </c>
      <c r="B3480" t="s">
        <v>550</v>
      </c>
      <c r="C3480" t="str">
        <f>HYPERLINK("http://service.sap.com/sap/support/notes/1992160","1992160")</f>
        <v>1992160</v>
      </c>
      <c r="D3480">
        <v>1</v>
      </c>
      <c r="E3480" t="s">
        <v>3822</v>
      </c>
      <c r="F3480" t="s">
        <v>13</v>
      </c>
    </row>
    <row r="3481" spans="1:6" x14ac:dyDescent="0.3">
      <c r="A3481" t="s">
        <v>549</v>
      </c>
      <c r="B3481" t="s">
        <v>550</v>
      </c>
      <c r="C3481" t="str">
        <f>HYPERLINK("http://service.sap.com/sap/support/notes/1992516","1992516")</f>
        <v>1992516</v>
      </c>
      <c r="D3481">
        <v>3</v>
      </c>
      <c r="E3481" t="s">
        <v>3823</v>
      </c>
      <c r="F3481" t="s">
        <v>17</v>
      </c>
    </row>
    <row r="3482" spans="1:6" x14ac:dyDescent="0.3">
      <c r="A3482" t="s">
        <v>549</v>
      </c>
      <c r="B3482" t="s">
        <v>550</v>
      </c>
      <c r="C3482" t="str">
        <f>HYPERLINK("http://service.sap.com/sap/support/notes/1995958","1995958")</f>
        <v>1995958</v>
      </c>
      <c r="D3482">
        <v>2</v>
      </c>
      <c r="E3482" t="s">
        <v>3824</v>
      </c>
      <c r="F3482" t="s">
        <v>17</v>
      </c>
    </row>
    <row r="3483" spans="1:6" x14ac:dyDescent="0.3">
      <c r="A3483" t="s">
        <v>549</v>
      </c>
      <c r="B3483" t="s">
        <v>550</v>
      </c>
      <c r="C3483" t="str">
        <f>HYPERLINK("http://service.sap.com/sap/support/notes/1998658","1998658")</f>
        <v>1998658</v>
      </c>
      <c r="D3483">
        <v>1</v>
      </c>
      <c r="E3483" t="s">
        <v>3825</v>
      </c>
      <c r="F3483" t="s">
        <v>17</v>
      </c>
    </row>
    <row r="3484" spans="1:6" x14ac:dyDescent="0.3">
      <c r="A3484" t="s">
        <v>549</v>
      </c>
      <c r="B3484" t="s">
        <v>550</v>
      </c>
      <c r="C3484" t="str">
        <f>HYPERLINK("http://service.sap.com/sap/support/notes/2000224","2000224")</f>
        <v>2000224</v>
      </c>
      <c r="D3484">
        <v>3</v>
      </c>
      <c r="E3484" t="s">
        <v>3826</v>
      </c>
      <c r="F3484" t="s">
        <v>17</v>
      </c>
    </row>
    <row r="3485" spans="1:6" x14ac:dyDescent="0.3">
      <c r="A3485" t="s">
        <v>549</v>
      </c>
      <c r="B3485" t="s">
        <v>550</v>
      </c>
      <c r="C3485" t="str">
        <f>HYPERLINK("http://service.sap.com/sap/support/notes/2000951","2000951")</f>
        <v>2000951</v>
      </c>
      <c r="D3485">
        <v>1</v>
      </c>
      <c r="E3485" t="s">
        <v>3827</v>
      </c>
      <c r="F3485" t="s">
        <v>17</v>
      </c>
    </row>
    <row r="3486" spans="1:6" x14ac:dyDescent="0.3">
      <c r="A3486" t="s">
        <v>549</v>
      </c>
      <c r="B3486" t="s">
        <v>550</v>
      </c>
      <c r="C3486" t="str">
        <f>HYPERLINK("http://service.sap.com/sap/support/notes/2004081","2004081")</f>
        <v>2004081</v>
      </c>
      <c r="D3486">
        <v>1</v>
      </c>
      <c r="E3486" t="s">
        <v>3828</v>
      </c>
      <c r="F3486" t="s">
        <v>11</v>
      </c>
    </row>
    <row r="3487" spans="1:6" x14ac:dyDescent="0.3">
      <c r="A3487" t="s">
        <v>549</v>
      </c>
      <c r="B3487" t="s">
        <v>550</v>
      </c>
      <c r="C3487" t="str">
        <f>HYPERLINK("http://service.sap.com/sap/support/notes/2005335","2005335")</f>
        <v>2005335</v>
      </c>
      <c r="D3487">
        <v>1</v>
      </c>
      <c r="E3487" t="s">
        <v>3829</v>
      </c>
      <c r="F3487" t="s">
        <v>17</v>
      </c>
    </row>
    <row r="3488" spans="1:6" x14ac:dyDescent="0.3">
      <c r="A3488" t="s">
        <v>549</v>
      </c>
      <c r="B3488" t="s">
        <v>550</v>
      </c>
      <c r="C3488" t="str">
        <f>HYPERLINK("http://service.sap.com/sap/support/notes/2011179","2011179")</f>
        <v>2011179</v>
      </c>
      <c r="D3488">
        <v>1</v>
      </c>
      <c r="E3488" t="s">
        <v>3830</v>
      </c>
      <c r="F3488" t="s">
        <v>17</v>
      </c>
    </row>
    <row r="3489" spans="1:6" x14ac:dyDescent="0.3">
      <c r="A3489" t="s">
        <v>549</v>
      </c>
      <c r="B3489" t="s">
        <v>550</v>
      </c>
      <c r="C3489" t="str">
        <f>HYPERLINK("http://service.sap.com/sap/support/notes/2017091","2017091")</f>
        <v>2017091</v>
      </c>
      <c r="D3489">
        <v>1</v>
      </c>
      <c r="E3489" t="s">
        <v>3831</v>
      </c>
      <c r="F3489" t="s">
        <v>17</v>
      </c>
    </row>
    <row r="3490" spans="1:6" x14ac:dyDescent="0.3">
      <c r="A3490" t="s">
        <v>549</v>
      </c>
      <c r="B3490" t="s">
        <v>550</v>
      </c>
      <c r="C3490" t="str">
        <f>HYPERLINK("http://service.sap.com/sap/support/notes/2018224","2018224")</f>
        <v>2018224</v>
      </c>
      <c r="D3490">
        <v>3</v>
      </c>
      <c r="E3490" t="s">
        <v>3832</v>
      </c>
      <c r="F3490" t="s">
        <v>17</v>
      </c>
    </row>
    <row r="3491" spans="1:6" x14ac:dyDescent="0.3">
      <c r="A3491" t="s">
        <v>549</v>
      </c>
      <c r="B3491" t="s">
        <v>550</v>
      </c>
      <c r="C3491" t="str">
        <f>HYPERLINK("http://service.sap.com/sap/support/notes/2021100","2021100")</f>
        <v>2021100</v>
      </c>
      <c r="D3491">
        <v>1</v>
      </c>
      <c r="E3491" t="s">
        <v>3833</v>
      </c>
      <c r="F3491" t="s">
        <v>17</v>
      </c>
    </row>
    <row r="3492" spans="1:6" x14ac:dyDescent="0.3">
      <c r="A3492" t="s">
        <v>549</v>
      </c>
      <c r="B3492" t="s">
        <v>550</v>
      </c>
      <c r="C3492" t="str">
        <f>HYPERLINK("http://service.sap.com/sap/support/notes/2024211","2024211")</f>
        <v>2024211</v>
      </c>
      <c r="D3492">
        <v>2</v>
      </c>
      <c r="E3492" t="s">
        <v>3834</v>
      </c>
      <c r="F3492" t="s">
        <v>17</v>
      </c>
    </row>
    <row r="3493" spans="1:6" x14ac:dyDescent="0.3">
      <c r="A3493" t="s">
        <v>549</v>
      </c>
      <c r="B3493" t="s">
        <v>550</v>
      </c>
      <c r="C3493" t="str">
        <f>HYPERLINK("http://service.sap.com/sap/support/notes/2027867","2027867")</f>
        <v>2027867</v>
      </c>
      <c r="D3493">
        <v>2</v>
      </c>
      <c r="E3493" t="s">
        <v>3835</v>
      </c>
      <c r="F3493" t="s">
        <v>17</v>
      </c>
    </row>
    <row r="3494" spans="1:6" x14ac:dyDescent="0.3">
      <c r="A3494" t="s">
        <v>599</v>
      </c>
      <c r="B3494" t="s">
        <v>600</v>
      </c>
      <c r="C3494" t="str">
        <f>HYPERLINK("http://service.sap.com/sap/support/notes/1928602","1928602")</f>
        <v>1928602</v>
      </c>
      <c r="D3494">
        <v>2</v>
      </c>
      <c r="E3494" t="s">
        <v>3836</v>
      </c>
      <c r="F3494" t="s">
        <v>17</v>
      </c>
    </row>
    <row r="3495" spans="1:6" x14ac:dyDescent="0.3">
      <c r="A3495" t="s">
        <v>599</v>
      </c>
      <c r="B3495" t="s">
        <v>600</v>
      </c>
      <c r="C3495" t="str">
        <f>HYPERLINK("http://service.sap.com/sap/support/notes/1975446","1975446")</f>
        <v>1975446</v>
      </c>
      <c r="D3495">
        <v>1</v>
      </c>
      <c r="E3495" t="s">
        <v>3837</v>
      </c>
      <c r="F3495" t="s">
        <v>11</v>
      </c>
    </row>
    <row r="3496" spans="1:6" x14ac:dyDescent="0.3">
      <c r="A3496" t="s">
        <v>599</v>
      </c>
      <c r="B3496" t="s">
        <v>600</v>
      </c>
      <c r="C3496" t="str">
        <f>HYPERLINK("http://service.sap.com/sap/support/notes/1978526","1978526")</f>
        <v>1978526</v>
      </c>
      <c r="D3496">
        <v>7</v>
      </c>
      <c r="E3496" t="s">
        <v>3838</v>
      </c>
      <c r="F3496" t="s">
        <v>17</v>
      </c>
    </row>
    <row r="3497" spans="1:6" x14ac:dyDescent="0.3">
      <c r="A3497" t="s">
        <v>599</v>
      </c>
      <c r="B3497" t="s">
        <v>600</v>
      </c>
      <c r="C3497" t="str">
        <f>HYPERLINK("http://service.sap.com/sap/support/notes/1983343","1983343")</f>
        <v>1983343</v>
      </c>
      <c r="D3497">
        <v>3</v>
      </c>
      <c r="E3497" t="s">
        <v>3839</v>
      </c>
      <c r="F3497" t="s">
        <v>17</v>
      </c>
    </row>
    <row r="3498" spans="1:6" x14ac:dyDescent="0.3">
      <c r="A3498" t="s">
        <v>599</v>
      </c>
      <c r="B3498" t="s">
        <v>600</v>
      </c>
      <c r="C3498" t="str">
        <f>HYPERLINK("http://service.sap.com/sap/support/notes/1990492","1990492")</f>
        <v>1990492</v>
      </c>
      <c r="D3498">
        <v>4</v>
      </c>
      <c r="E3498" t="s">
        <v>3840</v>
      </c>
      <c r="F3498" t="s">
        <v>17</v>
      </c>
    </row>
    <row r="3499" spans="1:6" x14ac:dyDescent="0.3">
      <c r="A3499" t="s">
        <v>599</v>
      </c>
      <c r="B3499" t="s">
        <v>600</v>
      </c>
      <c r="C3499" t="str">
        <f>HYPERLINK("http://service.sap.com/sap/support/notes/1992386","1992386")</f>
        <v>1992386</v>
      </c>
      <c r="D3499">
        <v>1</v>
      </c>
      <c r="E3499" t="s">
        <v>3841</v>
      </c>
      <c r="F3499" t="s">
        <v>17</v>
      </c>
    </row>
    <row r="3500" spans="1:6" x14ac:dyDescent="0.3">
      <c r="A3500" t="s">
        <v>599</v>
      </c>
      <c r="B3500" t="s">
        <v>600</v>
      </c>
      <c r="C3500" t="str">
        <f>HYPERLINK("http://service.sap.com/sap/support/notes/1992397","1992397")</f>
        <v>1992397</v>
      </c>
      <c r="D3500">
        <v>1</v>
      </c>
      <c r="E3500" t="s">
        <v>3842</v>
      </c>
      <c r="F3500" t="s">
        <v>17</v>
      </c>
    </row>
    <row r="3501" spans="1:6" x14ac:dyDescent="0.3">
      <c r="A3501" t="s">
        <v>599</v>
      </c>
      <c r="B3501" t="s">
        <v>600</v>
      </c>
      <c r="C3501" t="str">
        <f>HYPERLINK("http://service.sap.com/sap/support/notes/1992947","1992947")</f>
        <v>1992947</v>
      </c>
      <c r="D3501">
        <v>1</v>
      </c>
      <c r="E3501" t="s">
        <v>3843</v>
      </c>
      <c r="F3501" t="s">
        <v>17</v>
      </c>
    </row>
    <row r="3502" spans="1:6" x14ac:dyDescent="0.3">
      <c r="A3502" t="s">
        <v>599</v>
      </c>
      <c r="B3502" t="s">
        <v>600</v>
      </c>
      <c r="C3502" t="str">
        <f>HYPERLINK("http://service.sap.com/sap/support/notes/1993509","1993509")</f>
        <v>1993509</v>
      </c>
      <c r="D3502">
        <v>1</v>
      </c>
      <c r="E3502" t="s">
        <v>3844</v>
      </c>
      <c r="F3502" t="s">
        <v>17</v>
      </c>
    </row>
    <row r="3503" spans="1:6" x14ac:dyDescent="0.3">
      <c r="A3503" t="s">
        <v>599</v>
      </c>
      <c r="B3503" t="s">
        <v>600</v>
      </c>
      <c r="C3503" t="str">
        <f>HYPERLINK("http://service.sap.com/sap/support/notes/1994185","1994185")</f>
        <v>1994185</v>
      </c>
      <c r="D3503">
        <v>1</v>
      </c>
      <c r="E3503" t="s">
        <v>3845</v>
      </c>
      <c r="F3503" t="s">
        <v>17</v>
      </c>
    </row>
    <row r="3504" spans="1:6" x14ac:dyDescent="0.3">
      <c r="A3504" t="s">
        <v>599</v>
      </c>
      <c r="B3504" t="s">
        <v>600</v>
      </c>
      <c r="C3504" t="str">
        <f>HYPERLINK("http://service.sap.com/sap/support/notes/1996098","1996098")</f>
        <v>1996098</v>
      </c>
      <c r="D3504">
        <v>2</v>
      </c>
      <c r="E3504" t="s">
        <v>3846</v>
      </c>
      <c r="F3504" t="s">
        <v>17</v>
      </c>
    </row>
    <row r="3505" spans="1:6" x14ac:dyDescent="0.3">
      <c r="A3505" t="s">
        <v>599</v>
      </c>
      <c r="B3505" t="s">
        <v>600</v>
      </c>
      <c r="C3505" t="str">
        <f>HYPERLINK("http://service.sap.com/sap/support/notes/1998096","1998096")</f>
        <v>1998096</v>
      </c>
      <c r="D3505">
        <v>1</v>
      </c>
      <c r="E3505" t="s">
        <v>3847</v>
      </c>
      <c r="F3505" t="s">
        <v>17</v>
      </c>
    </row>
    <row r="3506" spans="1:6" x14ac:dyDescent="0.3">
      <c r="A3506" t="s">
        <v>599</v>
      </c>
      <c r="B3506" t="s">
        <v>600</v>
      </c>
      <c r="C3506" t="str">
        <f>HYPERLINK("http://service.sap.com/sap/support/notes/1999373","1999373")</f>
        <v>1999373</v>
      </c>
      <c r="D3506">
        <v>2</v>
      </c>
      <c r="E3506" t="s">
        <v>3848</v>
      </c>
      <c r="F3506" t="s">
        <v>17</v>
      </c>
    </row>
    <row r="3507" spans="1:6" x14ac:dyDescent="0.3">
      <c r="A3507" t="s">
        <v>599</v>
      </c>
      <c r="B3507" t="s">
        <v>600</v>
      </c>
      <c r="C3507" t="str">
        <f>HYPERLINK("http://service.sap.com/sap/support/notes/2001408","2001408")</f>
        <v>2001408</v>
      </c>
      <c r="D3507">
        <v>3</v>
      </c>
      <c r="E3507" t="s">
        <v>3849</v>
      </c>
      <c r="F3507" t="s">
        <v>17</v>
      </c>
    </row>
    <row r="3508" spans="1:6" x14ac:dyDescent="0.3">
      <c r="A3508" t="s">
        <v>599</v>
      </c>
      <c r="B3508" t="s">
        <v>600</v>
      </c>
      <c r="C3508" t="str">
        <f>HYPERLINK("http://service.sap.com/sap/support/notes/2001760","2001760")</f>
        <v>2001760</v>
      </c>
      <c r="D3508">
        <v>2</v>
      </c>
      <c r="E3508" t="s">
        <v>3850</v>
      </c>
      <c r="F3508" t="s">
        <v>17</v>
      </c>
    </row>
    <row r="3509" spans="1:6" x14ac:dyDescent="0.3">
      <c r="A3509" t="s">
        <v>599</v>
      </c>
      <c r="B3509" t="s">
        <v>600</v>
      </c>
      <c r="C3509" t="str">
        <f>HYPERLINK("http://service.sap.com/sap/support/notes/2007290","2007290")</f>
        <v>2007290</v>
      </c>
      <c r="D3509">
        <v>2</v>
      </c>
      <c r="E3509" t="s">
        <v>3851</v>
      </c>
      <c r="F3509" t="s">
        <v>17</v>
      </c>
    </row>
    <row r="3510" spans="1:6" x14ac:dyDescent="0.3">
      <c r="A3510" t="s">
        <v>599</v>
      </c>
      <c r="B3510" t="s">
        <v>600</v>
      </c>
      <c r="C3510" t="str">
        <f>HYPERLINK("http://service.sap.com/sap/support/notes/2013784","2013784")</f>
        <v>2013784</v>
      </c>
      <c r="D3510">
        <v>2</v>
      </c>
      <c r="E3510" t="s">
        <v>3852</v>
      </c>
      <c r="F3510" t="s">
        <v>17</v>
      </c>
    </row>
    <row r="3511" spans="1:6" x14ac:dyDescent="0.3">
      <c r="A3511" t="s">
        <v>599</v>
      </c>
      <c r="B3511" t="s">
        <v>600</v>
      </c>
      <c r="C3511" t="str">
        <f>HYPERLINK("http://service.sap.com/sap/support/notes/2014606","2014606")</f>
        <v>2014606</v>
      </c>
      <c r="D3511">
        <v>1</v>
      </c>
      <c r="E3511" t="s">
        <v>3853</v>
      </c>
      <c r="F3511" t="s">
        <v>17</v>
      </c>
    </row>
    <row r="3512" spans="1:6" x14ac:dyDescent="0.3">
      <c r="A3512" t="s">
        <v>599</v>
      </c>
      <c r="B3512" t="s">
        <v>600</v>
      </c>
      <c r="C3512" t="str">
        <f>HYPERLINK("http://service.sap.com/sap/support/notes/2014681","2014681")</f>
        <v>2014681</v>
      </c>
      <c r="D3512">
        <v>1</v>
      </c>
      <c r="E3512" t="s">
        <v>3854</v>
      </c>
      <c r="F3512" t="s">
        <v>17</v>
      </c>
    </row>
    <row r="3513" spans="1:6" x14ac:dyDescent="0.3">
      <c r="A3513" t="s">
        <v>599</v>
      </c>
      <c r="B3513" t="s">
        <v>600</v>
      </c>
      <c r="C3513" t="str">
        <f>HYPERLINK("http://service.sap.com/sap/support/notes/2018805","2018805")</f>
        <v>2018805</v>
      </c>
      <c r="D3513">
        <v>1</v>
      </c>
      <c r="E3513" t="s">
        <v>3855</v>
      </c>
      <c r="F3513" t="s">
        <v>17</v>
      </c>
    </row>
    <row r="3514" spans="1:6" x14ac:dyDescent="0.3">
      <c r="A3514" t="s">
        <v>2935</v>
      </c>
      <c r="B3514" t="s">
        <v>733</v>
      </c>
      <c r="C3514" t="str">
        <f>HYPERLINK("http://service.sap.com/sap/support/notes/1991450","1991450")</f>
        <v>1991450</v>
      </c>
      <c r="D3514">
        <v>1</v>
      </c>
      <c r="E3514" t="s">
        <v>3856</v>
      </c>
      <c r="F3514" t="s">
        <v>17</v>
      </c>
    </row>
    <row r="3515" spans="1:6" x14ac:dyDescent="0.3">
      <c r="A3515" t="s">
        <v>634</v>
      </c>
      <c r="B3515" t="s">
        <v>635</v>
      </c>
      <c r="C3515" t="str">
        <f>HYPERLINK("http://service.sap.com/sap/support/notes/2011042","2011042")</f>
        <v>2011042</v>
      </c>
      <c r="D3515">
        <v>1</v>
      </c>
      <c r="E3515" t="s">
        <v>3857</v>
      </c>
      <c r="F3515" t="s">
        <v>17</v>
      </c>
    </row>
    <row r="3516" spans="1:6" x14ac:dyDescent="0.3">
      <c r="A3516" t="s">
        <v>634</v>
      </c>
      <c r="B3516" t="s">
        <v>635</v>
      </c>
      <c r="C3516" t="str">
        <f>HYPERLINK("http://service.sap.com/sap/support/notes/2019748","2019748")</f>
        <v>2019748</v>
      </c>
      <c r="D3516">
        <v>3</v>
      </c>
      <c r="E3516" t="s">
        <v>3858</v>
      </c>
      <c r="F3516" t="s">
        <v>94</v>
      </c>
    </row>
    <row r="3517" spans="1:6" x14ac:dyDescent="0.3">
      <c r="A3517" t="s">
        <v>645</v>
      </c>
      <c r="B3517" t="s">
        <v>646</v>
      </c>
      <c r="C3517" t="str">
        <f>HYPERLINK("http://service.sap.com/sap/support/notes/1969370","1969370")</f>
        <v>1969370</v>
      </c>
      <c r="D3517">
        <v>2</v>
      </c>
      <c r="E3517" t="s">
        <v>3859</v>
      </c>
      <c r="F3517" t="s">
        <v>17</v>
      </c>
    </row>
    <row r="3518" spans="1:6" x14ac:dyDescent="0.3">
      <c r="A3518" t="s">
        <v>648</v>
      </c>
      <c r="B3518" t="s">
        <v>138</v>
      </c>
      <c r="C3518" t="str">
        <f>HYPERLINK("http://service.sap.com/sap/support/notes/1974479","1974479")</f>
        <v>1974479</v>
      </c>
      <c r="D3518">
        <v>1</v>
      </c>
      <c r="E3518" t="s">
        <v>3860</v>
      </c>
      <c r="F3518" t="s">
        <v>17</v>
      </c>
    </row>
    <row r="3519" spans="1:6" x14ac:dyDescent="0.3">
      <c r="A3519" t="s">
        <v>648</v>
      </c>
      <c r="B3519" t="s">
        <v>138</v>
      </c>
      <c r="C3519" t="str">
        <f>HYPERLINK("http://service.sap.com/sap/support/notes/1991544","1991544")</f>
        <v>1991544</v>
      </c>
      <c r="D3519">
        <v>1</v>
      </c>
      <c r="E3519" t="s">
        <v>3861</v>
      </c>
      <c r="F3519" t="s">
        <v>13</v>
      </c>
    </row>
    <row r="3520" spans="1:6" x14ac:dyDescent="0.3">
      <c r="A3520" t="s">
        <v>655</v>
      </c>
      <c r="B3520" t="s">
        <v>656</v>
      </c>
      <c r="C3520" t="str">
        <f>HYPERLINK("http://service.sap.com/sap/support/notes/2025244","2025244")</f>
        <v>2025244</v>
      </c>
      <c r="D3520">
        <v>1</v>
      </c>
      <c r="E3520" t="s">
        <v>3862</v>
      </c>
      <c r="F3520" t="s">
        <v>13</v>
      </c>
    </row>
    <row r="3521" spans="1:6" x14ac:dyDescent="0.3">
      <c r="A3521" t="s">
        <v>660</v>
      </c>
      <c r="B3521" t="s">
        <v>661</v>
      </c>
      <c r="C3521" t="str">
        <f>HYPERLINK("http://service.sap.com/sap/support/notes/1653415","1653415")</f>
        <v>1653415</v>
      </c>
      <c r="D3521">
        <v>1</v>
      </c>
      <c r="E3521" t="s">
        <v>662</v>
      </c>
      <c r="F3521" t="s">
        <v>17</v>
      </c>
    </row>
    <row r="3522" spans="1:6" x14ac:dyDescent="0.3">
      <c r="A3522" t="s">
        <v>660</v>
      </c>
      <c r="B3522" t="s">
        <v>661</v>
      </c>
      <c r="C3522" t="str">
        <f>HYPERLINK("http://service.sap.com/sap/support/notes/1924111","1924111")</f>
        <v>1924111</v>
      </c>
      <c r="D3522">
        <v>6</v>
      </c>
      <c r="E3522" t="s">
        <v>667</v>
      </c>
      <c r="F3522" t="s">
        <v>17</v>
      </c>
    </row>
    <row r="3523" spans="1:6" x14ac:dyDescent="0.3">
      <c r="A3523" t="s">
        <v>660</v>
      </c>
      <c r="B3523" t="s">
        <v>661</v>
      </c>
      <c r="C3523" t="str">
        <f>HYPERLINK("http://service.sap.com/sap/support/notes/1940519","1940519")</f>
        <v>1940519</v>
      </c>
      <c r="D3523">
        <v>2</v>
      </c>
      <c r="E3523" t="s">
        <v>2950</v>
      </c>
      <c r="F3523" t="s">
        <v>17</v>
      </c>
    </row>
    <row r="3524" spans="1:6" x14ac:dyDescent="0.3">
      <c r="A3524" t="s">
        <v>660</v>
      </c>
      <c r="B3524" t="s">
        <v>661</v>
      </c>
      <c r="C3524" t="str">
        <f>HYPERLINK("http://service.sap.com/sap/support/notes/1943791","1943791")</f>
        <v>1943791</v>
      </c>
      <c r="D3524">
        <v>3</v>
      </c>
      <c r="E3524" t="s">
        <v>3863</v>
      </c>
      <c r="F3524" t="s">
        <v>17</v>
      </c>
    </row>
    <row r="3525" spans="1:6" x14ac:dyDescent="0.3">
      <c r="A3525" t="s">
        <v>660</v>
      </c>
      <c r="B3525" t="s">
        <v>661</v>
      </c>
      <c r="C3525" t="str">
        <f>HYPERLINK("http://service.sap.com/sap/support/notes/1959173","1959173")</f>
        <v>1959173</v>
      </c>
      <c r="D3525">
        <v>3</v>
      </c>
      <c r="E3525" t="s">
        <v>3864</v>
      </c>
      <c r="F3525" t="s">
        <v>17</v>
      </c>
    </row>
    <row r="3526" spans="1:6" x14ac:dyDescent="0.3">
      <c r="A3526" t="s">
        <v>660</v>
      </c>
      <c r="B3526" t="s">
        <v>661</v>
      </c>
      <c r="C3526" t="str">
        <f>HYPERLINK("http://service.sap.com/sap/support/notes/1968281","1968281")</f>
        <v>1968281</v>
      </c>
      <c r="D3526">
        <v>4</v>
      </c>
      <c r="E3526" t="s">
        <v>3865</v>
      </c>
      <c r="F3526" t="s">
        <v>17</v>
      </c>
    </row>
    <row r="3527" spans="1:6" x14ac:dyDescent="0.3">
      <c r="A3527" t="s">
        <v>660</v>
      </c>
      <c r="B3527" t="s">
        <v>661</v>
      </c>
      <c r="C3527" t="str">
        <f>HYPERLINK("http://service.sap.com/sap/support/notes/1980392","1980392")</f>
        <v>1980392</v>
      </c>
      <c r="D3527">
        <v>1</v>
      </c>
      <c r="E3527" t="s">
        <v>3866</v>
      </c>
      <c r="F3527" t="s">
        <v>17</v>
      </c>
    </row>
    <row r="3528" spans="1:6" x14ac:dyDescent="0.3">
      <c r="A3528" t="s">
        <v>660</v>
      </c>
      <c r="B3528" t="s">
        <v>661</v>
      </c>
      <c r="C3528" t="str">
        <f>HYPERLINK("http://service.sap.com/sap/support/notes/1982897","1982897")</f>
        <v>1982897</v>
      </c>
      <c r="D3528">
        <v>5</v>
      </c>
      <c r="E3528" t="s">
        <v>3867</v>
      </c>
      <c r="F3528" t="s">
        <v>17</v>
      </c>
    </row>
    <row r="3529" spans="1:6" x14ac:dyDescent="0.3">
      <c r="A3529" t="s">
        <v>660</v>
      </c>
      <c r="B3529" t="s">
        <v>661</v>
      </c>
      <c r="C3529" t="str">
        <f>HYPERLINK("http://service.sap.com/sap/support/notes/1999118","1999118")</f>
        <v>1999118</v>
      </c>
      <c r="D3529">
        <v>2</v>
      </c>
      <c r="E3529" t="s">
        <v>3868</v>
      </c>
      <c r="F3529" t="s">
        <v>17</v>
      </c>
    </row>
    <row r="3530" spans="1:6" x14ac:dyDescent="0.3">
      <c r="A3530" t="s">
        <v>660</v>
      </c>
      <c r="B3530" t="s">
        <v>661</v>
      </c>
      <c r="C3530" t="str">
        <f>HYPERLINK("http://service.sap.com/sap/support/notes/2000773","2000773")</f>
        <v>2000773</v>
      </c>
      <c r="D3530">
        <v>2</v>
      </c>
      <c r="E3530" t="s">
        <v>3869</v>
      </c>
      <c r="F3530" t="s">
        <v>17</v>
      </c>
    </row>
    <row r="3531" spans="1:6" x14ac:dyDescent="0.3">
      <c r="A3531" t="s">
        <v>660</v>
      </c>
      <c r="B3531" t="s">
        <v>661</v>
      </c>
      <c r="C3531" t="str">
        <f>HYPERLINK("http://service.sap.com/sap/support/notes/2001135","2001135")</f>
        <v>2001135</v>
      </c>
      <c r="D3531">
        <v>1</v>
      </c>
      <c r="E3531" t="s">
        <v>3870</v>
      </c>
      <c r="F3531" t="s">
        <v>17</v>
      </c>
    </row>
    <row r="3532" spans="1:6" x14ac:dyDescent="0.3">
      <c r="A3532" t="s">
        <v>660</v>
      </c>
      <c r="B3532" t="s">
        <v>661</v>
      </c>
      <c r="C3532" t="str">
        <f>HYPERLINK("http://service.sap.com/sap/support/notes/2007317","2007317")</f>
        <v>2007317</v>
      </c>
      <c r="D3532">
        <v>5</v>
      </c>
      <c r="E3532" t="s">
        <v>3871</v>
      </c>
      <c r="F3532" t="s">
        <v>17</v>
      </c>
    </row>
    <row r="3533" spans="1:6" x14ac:dyDescent="0.3">
      <c r="A3533" t="s">
        <v>660</v>
      </c>
      <c r="B3533" t="s">
        <v>661</v>
      </c>
      <c r="C3533" t="str">
        <f>HYPERLINK("http://service.sap.com/sap/support/notes/2012717","2012717")</f>
        <v>2012717</v>
      </c>
      <c r="D3533">
        <v>1</v>
      </c>
      <c r="E3533" t="s">
        <v>3872</v>
      </c>
      <c r="F3533" t="s">
        <v>17</v>
      </c>
    </row>
    <row r="3534" spans="1:6" x14ac:dyDescent="0.3">
      <c r="A3534" t="s">
        <v>660</v>
      </c>
      <c r="B3534" t="s">
        <v>661</v>
      </c>
      <c r="C3534" t="str">
        <f>HYPERLINK("http://service.sap.com/sap/support/notes/2015946","2015946")</f>
        <v>2015946</v>
      </c>
      <c r="D3534">
        <v>1</v>
      </c>
      <c r="E3534" t="s">
        <v>3873</v>
      </c>
      <c r="F3534" t="s">
        <v>17</v>
      </c>
    </row>
    <row r="3535" spans="1:6" x14ac:dyDescent="0.3">
      <c r="A3535" t="s">
        <v>683</v>
      </c>
      <c r="B3535" t="s">
        <v>684</v>
      </c>
      <c r="C3535" t="str">
        <f>HYPERLINK("http://service.sap.com/sap/support/notes/1976805","1976805")</f>
        <v>1976805</v>
      </c>
      <c r="D3535">
        <v>1</v>
      </c>
      <c r="E3535" t="s">
        <v>3874</v>
      </c>
      <c r="F3535" t="s">
        <v>17</v>
      </c>
    </row>
    <row r="3536" spans="1:6" x14ac:dyDescent="0.3">
      <c r="A3536" t="s">
        <v>683</v>
      </c>
      <c r="B3536" t="s">
        <v>684</v>
      </c>
      <c r="C3536" t="str">
        <f>HYPERLINK("http://service.sap.com/sap/support/notes/1989626","1989626")</f>
        <v>1989626</v>
      </c>
      <c r="D3536">
        <v>1</v>
      </c>
      <c r="E3536" t="s">
        <v>3875</v>
      </c>
      <c r="F3536" t="s">
        <v>17</v>
      </c>
    </row>
    <row r="3537" spans="1:6" x14ac:dyDescent="0.3">
      <c r="A3537" t="s">
        <v>683</v>
      </c>
      <c r="B3537" t="s">
        <v>684</v>
      </c>
      <c r="C3537" t="str">
        <f>HYPERLINK("http://service.sap.com/sap/support/notes/2010503","2010503")</f>
        <v>2010503</v>
      </c>
      <c r="D3537">
        <v>1</v>
      </c>
      <c r="E3537" t="s">
        <v>3876</v>
      </c>
      <c r="F3537" t="s">
        <v>17</v>
      </c>
    </row>
    <row r="3538" spans="1:6" x14ac:dyDescent="0.3">
      <c r="A3538" t="s">
        <v>688</v>
      </c>
      <c r="B3538" t="s">
        <v>689</v>
      </c>
      <c r="C3538" t="str">
        <f>HYPERLINK("http://service.sap.com/sap/support/notes/2026499","2026499")</f>
        <v>2026499</v>
      </c>
      <c r="D3538">
        <v>1</v>
      </c>
      <c r="E3538" t="s">
        <v>3877</v>
      </c>
      <c r="F3538" t="s">
        <v>13</v>
      </c>
    </row>
    <row r="3539" spans="1:6" x14ac:dyDescent="0.3">
      <c r="A3539" t="s">
        <v>696</v>
      </c>
      <c r="B3539" t="s">
        <v>346</v>
      </c>
      <c r="C3539" t="str">
        <f>HYPERLINK("http://service.sap.com/sap/support/notes/1972269","1972269")</f>
        <v>1972269</v>
      </c>
      <c r="D3539">
        <v>3</v>
      </c>
      <c r="E3539" t="s">
        <v>3878</v>
      </c>
      <c r="F3539" t="s">
        <v>17</v>
      </c>
    </row>
    <row r="3540" spans="1:6" x14ac:dyDescent="0.3">
      <c r="A3540" t="s">
        <v>696</v>
      </c>
      <c r="B3540" t="s">
        <v>346</v>
      </c>
      <c r="C3540" t="str">
        <f>HYPERLINK("http://service.sap.com/sap/support/notes/2023550","2023550")</f>
        <v>2023550</v>
      </c>
      <c r="D3540">
        <v>3</v>
      </c>
      <c r="E3540" t="s">
        <v>3879</v>
      </c>
      <c r="F3540" t="s">
        <v>94</v>
      </c>
    </row>
    <row r="3541" spans="1:6" x14ac:dyDescent="0.3">
      <c r="A3541" t="s">
        <v>700</v>
      </c>
      <c r="B3541" t="s">
        <v>531</v>
      </c>
      <c r="C3541" t="str">
        <f>HYPERLINK("http://service.sap.com/sap/support/notes/1979517","1979517")</f>
        <v>1979517</v>
      </c>
      <c r="D3541">
        <v>2</v>
      </c>
      <c r="E3541" t="s">
        <v>3880</v>
      </c>
      <c r="F3541" t="s">
        <v>17</v>
      </c>
    </row>
    <row r="3542" spans="1:6" x14ac:dyDescent="0.3">
      <c r="A3542" t="s">
        <v>700</v>
      </c>
      <c r="B3542" t="s">
        <v>531</v>
      </c>
      <c r="C3542" t="str">
        <f>HYPERLINK("http://service.sap.com/sap/support/notes/2003182","2003182")</f>
        <v>2003182</v>
      </c>
      <c r="D3542">
        <v>5</v>
      </c>
      <c r="E3542" t="s">
        <v>3881</v>
      </c>
      <c r="F3542" t="s">
        <v>17</v>
      </c>
    </row>
    <row r="3543" spans="1:6" x14ac:dyDescent="0.3">
      <c r="A3543" t="s">
        <v>700</v>
      </c>
      <c r="B3543" t="s">
        <v>531</v>
      </c>
      <c r="C3543" t="str">
        <f>HYPERLINK("http://service.sap.com/sap/support/notes/2021515","2021515")</f>
        <v>2021515</v>
      </c>
      <c r="D3543">
        <v>1</v>
      </c>
      <c r="E3543" t="s">
        <v>3882</v>
      </c>
      <c r="F3543" t="s">
        <v>17</v>
      </c>
    </row>
    <row r="3544" spans="1:6" x14ac:dyDescent="0.3">
      <c r="A3544" t="s">
        <v>709</v>
      </c>
      <c r="B3544" t="s">
        <v>710</v>
      </c>
      <c r="C3544" t="str">
        <f>HYPERLINK("http://service.sap.com/sap/support/notes/1128860","1128860")</f>
        <v>1128860</v>
      </c>
      <c r="D3544">
        <v>4</v>
      </c>
      <c r="E3544" t="s">
        <v>3883</v>
      </c>
      <c r="F3544" t="s">
        <v>17</v>
      </c>
    </row>
    <row r="3545" spans="1:6" x14ac:dyDescent="0.3">
      <c r="A3545" t="s">
        <v>709</v>
      </c>
      <c r="B3545" t="s">
        <v>710</v>
      </c>
      <c r="C3545" t="str">
        <f>HYPERLINK("http://service.sap.com/sap/support/notes/1997121","1997121")</f>
        <v>1997121</v>
      </c>
      <c r="D3545">
        <v>1</v>
      </c>
      <c r="E3545" t="s">
        <v>3884</v>
      </c>
      <c r="F3545" t="s">
        <v>17</v>
      </c>
    </row>
    <row r="3546" spans="1:6" x14ac:dyDescent="0.3">
      <c r="A3546" t="s">
        <v>709</v>
      </c>
      <c r="B3546" t="s">
        <v>710</v>
      </c>
      <c r="C3546" t="str">
        <f>HYPERLINK("http://service.sap.com/sap/support/notes/2001293","2001293")</f>
        <v>2001293</v>
      </c>
      <c r="D3546">
        <v>3</v>
      </c>
      <c r="E3546" t="s">
        <v>3885</v>
      </c>
      <c r="F3546" t="s">
        <v>17</v>
      </c>
    </row>
    <row r="3547" spans="1:6" x14ac:dyDescent="0.3">
      <c r="A3547" t="s">
        <v>709</v>
      </c>
      <c r="B3547" t="s">
        <v>710</v>
      </c>
      <c r="C3547" t="str">
        <f>HYPERLINK("http://service.sap.com/sap/support/notes/2005709","2005709")</f>
        <v>2005709</v>
      </c>
      <c r="D3547">
        <v>1</v>
      </c>
      <c r="E3547" t="s">
        <v>3886</v>
      </c>
      <c r="F3547" t="s">
        <v>17</v>
      </c>
    </row>
    <row r="3548" spans="1:6" x14ac:dyDescent="0.3">
      <c r="A3548" t="s">
        <v>709</v>
      </c>
      <c r="B3548" t="s">
        <v>710</v>
      </c>
      <c r="C3548" t="str">
        <f>HYPERLINK("http://service.sap.com/sap/support/notes/2010506","2010506")</f>
        <v>2010506</v>
      </c>
      <c r="D3548">
        <v>2</v>
      </c>
      <c r="E3548" t="s">
        <v>3887</v>
      </c>
      <c r="F3548" t="s">
        <v>17</v>
      </c>
    </row>
    <row r="3549" spans="1:6" x14ac:dyDescent="0.3">
      <c r="A3549" t="s">
        <v>709</v>
      </c>
      <c r="B3549" t="s">
        <v>710</v>
      </c>
      <c r="C3549" t="str">
        <f>HYPERLINK("http://service.sap.com/sap/support/notes/2011709","2011709")</f>
        <v>2011709</v>
      </c>
      <c r="D3549">
        <v>2</v>
      </c>
      <c r="E3549" t="s">
        <v>3888</v>
      </c>
      <c r="F3549" t="s">
        <v>17</v>
      </c>
    </row>
    <row r="3550" spans="1:6" x14ac:dyDescent="0.3">
      <c r="A3550" t="s">
        <v>709</v>
      </c>
      <c r="B3550" t="s">
        <v>710</v>
      </c>
      <c r="C3550" t="str">
        <f>HYPERLINK("http://service.sap.com/sap/support/notes/2013586","2013586")</f>
        <v>2013586</v>
      </c>
      <c r="D3550">
        <v>1</v>
      </c>
      <c r="E3550" t="s">
        <v>3889</v>
      </c>
      <c r="F3550" t="s">
        <v>17</v>
      </c>
    </row>
    <row r="3551" spans="1:6" x14ac:dyDescent="0.3">
      <c r="A3551" t="s">
        <v>709</v>
      </c>
      <c r="B3551" t="s">
        <v>710</v>
      </c>
      <c r="C3551" t="str">
        <f>HYPERLINK("http://service.sap.com/sap/support/notes/2030268","2030268")</f>
        <v>2030268</v>
      </c>
      <c r="D3551">
        <v>1</v>
      </c>
      <c r="E3551" t="s">
        <v>3890</v>
      </c>
      <c r="F3551" t="s">
        <v>13</v>
      </c>
    </row>
    <row r="3552" spans="1:6" x14ac:dyDescent="0.3">
      <c r="A3552" t="s">
        <v>2138</v>
      </c>
      <c r="B3552" t="s">
        <v>631</v>
      </c>
      <c r="C3552" t="str">
        <f>HYPERLINK("http://service.sap.com/sap/support/notes/1973955","1973955")</f>
        <v>1973955</v>
      </c>
      <c r="D3552">
        <v>2</v>
      </c>
      <c r="E3552" t="s">
        <v>3891</v>
      </c>
      <c r="F3552" t="s">
        <v>13</v>
      </c>
    </row>
    <row r="3553" spans="1:6" x14ac:dyDescent="0.3">
      <c r="A3553" t="s">
        <v>2138</v>
      </c>
      <c r="B3553" t="s">
        <v>631</v>
      </c>
      <c r="C3553" t="str">
        <f>HYPERLINK("http://service.sap.com/sap/support/notes/1996349","1996349")</f>
        <v>1996349</v>
      </c>
      <c r="D3553">
        <v>3</v>
      </c>
      <c r="E3553" t="s">
        <v>3892</v>
      </c>
      <c r="F3553" t="s">
        <v>17</v>
      </c>
    </row>
    <row r="3554" spans="1:6" x14ac:dyDescent="0.3">
      <c r="A3554" t="s">
        <v>740</v>
      </c>
      <c r="B3554" t="s">
        <v>635</v>
      </c>
      <c r="C3554" t="str">
        <f>HYPERLINK("http://service.sap.com/sap/support/notes/2003336","2003336")</f>
        <v>2003336</v>
      </c>
      <c r="D3554">
        <v>1</v>
      </c>
      <c r="E3554" t="s">
        <v>3893</v>
      </c>
      <c r="F3554" t="s">
        <v>17</v>
      </c>
    </row>
    <row r="3555" spans="1:6" x14ac:dyDescent="0.3">
      <c r="A3555" t="s">
        <v>740</v>
      </c>
      <c r="B3555" t="s">
        <v>635</v>
      </c>
      <c r="C3555" t="str">
        <f>HYPERLINK("http://service.sap.com/sap/support/notes/2022341","2022341")</f>
        <v>2022341</v>
      </c>
      <c r="D3555">
        <v>2</v>
      </c>
      <c r="E3555" t="s">
        <v>3894</v>
      </c>
      <c r="F3555" t="s">
        <v>17</v>
      </c>
    </row>
    <row r="3556" spans="1:6" x14ac:dyDescent="0.3">
      <c r="A3556" t="s">
        <v>743</v>
      </c>
      <c r="B3556" t="s">
        <v>138</v>
      </c>
      <c r="C3556" t="str">
        <f>HYPERLINK("http://service.sap.com/sap/support/notes/1875266","1875266")</f>
        <v>1875266</v>
      </c>
      <c r="D3556">
        <v>19</v>
      </c>
      <c r="E3556" t="s">
        <v>3895</v>
      </c>
      <c r="F3556" t="s">
        <v>13</v>
      </c>
    </row>
    <row r="3557" spans="1:6" x14ac:dyDescent="0.3">
      <c r="A3557" t="s">
        <v>743</v>
      </c>
      <c r="B3557" t="s">
        <v>138</v>
      </c>
      <c r="C3557" t="str">
        <f>HYPERLINK("http://service.sap.com/sap/support/notes/1982885","1982885")</f>
        <v>1982885</v>
      </c>
      <c r="D3557">
        <v>1</v>
      </c>
      <c r="E3557" t="s">
        <v>3896</v>
      </c>
      <c r="F3557" t="s">
        <v>17</v>
      </c>
    </row>
    <row r="3558" spans="1:6" x14ac:dyDescent="0.3">
      <c r="A3558" t="s">
        <v>743</v>
      </c>
      <c r="B3558" t="s">
        <v>138</v>
      </c>
      <c r="C3558" t="str">
        <f>HYPERLINK("http://service.sap.com/sap/support/notes/1997183","1997183")</f>
        <v>1997183</v>
      </c>
      <c r="D3558">
        <v>1</v>
      </c>
      <c r="E3558" t="s">
        <v>3897</v>
      </c>
      <c r="F3558" t="s">
        <v>17</v>
      </c>
    </row>
    <row r="3559" spans="1:6" x14ac:dyDescent="0.3">
      <c r="A3559" t="s">
        <v>743</v>
      </c>
      <c r="B3559" t="s">
        <v>138</v>
      </c>
      <c r="C3559" t="str">
        <f>HYPERLINK("http://service.sap.com/sap/support/notes/1998673","1998673")</f>
        <v>1998673</v>
      </c>
      <c r="D3559">
        <v>2</v>
      </c>
      <c r="E3559" t="s">
        <v>3898</v>
      </c>
      <c r="F3559" t="s">
        <v>17</v>
      </c>
    </row>
    <row r="3560" spans="1:6" x14ac:dyDescent="0.3">
      <c r="A3560" t="s">
        <v>743</v>
      </c>
      <c r="B3560" t="s">
        <v>138</v>
      </c>
      <c r="C3560" t="str">
        <f>HYPERLINK("http://service.sap.com/sap/support/notes/2010348","2010348")</f>
        <v>2010348</v>
      </c>
      <c r="D3560">
        <v>3</v>
      </c>
      <c r="E3560" t="s">
        <v>3899</v>
      </c>
      <c r="F3560" t="s">
        <v>17</v>
      </c>
    </row>
    <row r="3561" spans="1:6" x14ac:dyDescent="0.3">
      <c r="A3561" t="s">
        <v>760</v>
      </c>
      <c r="B3561" t="s">
        <v>761</v>
      </c>
      <c r="C3561" t="str">
        <f>HYPERLINK("http://service.sap.com/sap/support/notes/2014950","2014950")</f>
        <v>2014950</v>
      </c>
      <c r="D3561">
        <v>2</v>
      </c>
      <c r="E3561" t="s">
        <v>3900</v>
      </c>
      <c r="F3561" t="s">
        <v>17</v>
      </c>
    </row>
    <row r="3562" spans="1:6" x14ac:dyDescent="0.3">
      <c r="A3562" t="s">
        <v>764</v>
      </c>
      <c r="B3562" t="s">
        <v>243</v>
      </c>
      <c r="C3562" t="str">
        <f>HYPERLINK("http://service.sap.com/sap/support/notes/2006989","2006989")</f>
        <v>2006989</v>
      </c>
      <c r="D3562">
        <v>1</v>
      </c>
      <c r="E3562" t="s">
        <v>3901</v>
      </c>
      <c r="F3562" t="s">
        <v>17</v>
      </c>
    </row>
    <row r="3563" spans="1:6" x14ac:dyDescent="0.3">
      <c r="A3563" t="s">
        <v>768</v>
      </c>
      <c r="B3563" t="s">
        <v>769</v>
      </c>
    </row>
    <row r="3564" spans="1:6" x14ac:dyDescent="0.3">
      <c r="A3564" t="s">
        <v>770</v>
      </c>
      <c r="B3564" t="s">
        <v>138</v>
      </c>
      <c r="C3564" t="str">
        <f>HYPERLINK("http://service.sap.com/sap/support/notes/2003928","2003928")</f>
        <v>2003928</v>
      </c>
      <c r="D3564">
        <v>1</v>
      </c>
      <c r="E3564" t="s">
        <v>3902</v>
      </c>
      <c r="F3564" t="s">
        <v>17</v>
      </c>
    </row>
    <row r="3565" spans="1:6" x14ac:dyDescent="0.3">
      <c r="A3565" t="s">
        <v>775</v>
      </c>
      <c r="B3565" t="s">
        <v>776</v>
      </c>
    </row>
    <row r="3566" spans="1:6" x14ac:dyDescent="0.3">
      <c r="A3566" t="s">
        <v>777</v>
      </c>
      <c r="B3566" t="s">
        <v>778</v>
      </c>
      <c r="C3566" t="str">
        <f>HYPERLINK("http://service.sap.com/sap/support/notes/1905177","1905177")</f>
        <v>1905177</v>
      </c>
      <c r="D3566">
        <v>3</v>
      </c>
      <c r="E3566" t="s">
        <v>3903</v>
      </c>
      <c r="F3566" t="s">
        <v>11</v>
      </c>
    </row>
    <row r="3567" spans="1:6" x14ac:dyDescent="0.3">
      <c r="A3567" t="s">
        <v>777</v>
      </c>
      <c r="B3567" t="s">
        <v>778</v>
      </c>
      <c r="C3567" t="str">
        <f>HYPERLINK("http://service.sap.com/sap/support/notes/1987139","1987139")</f>
        <v>1987139</v>
      </c>
      <c r="D3567">
        <v>2</v>
      </c>
      <c r="E3567" t="s">
        <v>3904</v>
      </c>
      <c r="F3567" t="s">
        <v>17</v>
      </c>
    </row>
    <row r="3568" spans="1:6" x14ac:dyDescent="0.3">
      <c r="A3568" t="s">
        <v>777</v>
      </c>
      <c r="B3568" t="s">
        <v>778</v>
      </c>
      <c r="C3568" t="str">
        <f>HYPERLINK("http://service.sap.com/sap/support/notes/1992137","1992137")</f>
        <v>1992137</v>
      </c>
      <c r="D3568">
        <v>1</v>
      </c>
      <c r="E3568" t="s">
        <v>3905</v>
      </c>
      <c r="F3568" t="s">
        <v>17</v>
      </c>
    </row>
    <row r="3569" spans="1:6" x14ac:dyDescent="0.3">
      <c r="A3569" t="s">
        <v>777</v>
      </c>
      <c r="B3569" t="s">
        <v>778</v>
      </c>
      <c r="C3569" t="str">
        <f>HYPERLINK("http://service.sap.com/sap/support/notes/1993998","1993998")</f>
        <v>1993998</v>
      </c>
      <c r="D3569">
        <v>1</v>
      </c>
      <c r="E3569" t="s">
        <v>3906</v>
      </c>
      <c r="F3569" t="s">
        <v>17</v>
      </c>
    </row>
    <row r="3570" spans="1:6" x14ac:dyDescent="0.3">
      <c r="A3570" t="s">
        <v>777</v>
      </c>
      <c r="B3570" t="s">
        <v>778</v>
      </c>
      <c r="C3570" t="str">
        <f>HYPERLINK("http://service.sap.com/sap/support/notes/1997805","1997805")</f>
        <v>1997805</v>
      </c>
      <c r="D3570">
        <v>3</v>
      </c>
      <c r="E3570" t="s">
        <v>3907</v>
      </c>
      <c r="F3570" t="s">
        <v>17</v>
      </c>
    </row>
    <row r="3571" spans="1:6" x14ac:dyDescent="0.3">
      <c r="A3571" t="s">
        <v>777</v>
      </c>
      <c r="B3571" t="s">
        <v>778</v>
      </c>
      <c r="C3571" t="str">
        <f>HYPERLINK("http://service.sap.com/sap/support/notes/2011647","2011647")</f>
        <v>2011647</v>
      </c>
      <c r="D3571">
        <v>2</v>
      </c>
      <c r="E3571" t="s">
        <v>3908</v>
      </c>
      <c r="F3571" t="s">
        <v>17</v>
      </c>
    </row>
    <row r="3572" spans="1:6" x14ac:dyDescent="0.3">
      <c r="A3572" t="s">
        <v>796</v>
      </c>
      <c r="B3572" t="s">
        <v>797</v>
      </c>
      <c r="C3572" t="str">
        <f>HYPERLINK("http://service.sap.com/sap/support/notes/1995139","1995139")</f>
        <v>1995139</v>
      </c>
      <c r="D3572">
        <v>1</v>
      </c>
      <c r="E3572" t="s">
        <v>3909</v>
      </c>
      <c r="F3572" t="s">
        <v>17</v>
      </c>
    </row>
    <row r="3573" spans="1:6" x14ac:dyDescent="0.3">
      <c r="A3573" t="s">
        <v>796</v>
      </c>
      <c r="B3573" t="s">
        <v>797</v>
      </c>
      <c r="C3573" t="str">
        <f>HYPERLINK("http://service.sap.com/sap/support/notes/2001292","2001292")</f>
        <v>2001292</v>
      </c>
      <c r="D3573">
        <v>2</v>
      </c>
      <c r="E3573" t="s">
        <v>3910</v>
      </c>
      <c r="F3573" t="s">
        <v>17</v>
      </c>
    </row>
    <row r="3574" spans="1:6" x14ac:dyDescent="0.3">
      <c r="A3574" t="s">
        <v>796</v>
      </c>
      <c r="B3574" t="s">
        <v>797</v>
      </c>
      <c r="C3574" t="str">
        <f>HYPERLINK("http://service.sap.com/sap/support/notes/2004601","2004601")</f>
        <v>2004601</v>
      </c>
      <c r="D3574">
        <v>1</v>
      </c>
      <c r="E3574" t="s">
        <v>3911</v>
      </c>
      <c r="F3574" t="s">
        <v>17</v>
      </c>
    </row>
    <row r="3575" spans="1:6" x14ac:dyDescent="0.3">
      <c r="A3575" t="s">
        <v>796</v>
      </c>
      <c r="B3575" t="s">
        <v>797</v>
      </c>
      <c r="C3575" t="str">
        <f>HYPERLINK("http://service.sap.com/sap/support/notes/2023300","2023300")</f>
        <v>2023300</v>
      </c>
      <c r="D3575">
        <v>1</v>
      </c>
      <c r="E3575" t="s">
        <v>3912</v>
      </c>
      <c r="F3575" t="s">
        <v>17</v>
      </c>
    </row>
    <row r="3576" spans="1:6" x14ac:dyDescent="0.3">
      <c r="A3576" t="s">
        <v>812</v>
      </c>
      <c r="B3576" t="s">
        <v>813</v>
      </c>
      <c r="C3576" t="str">
        <f>HYPERLINK("http://service.sap.com/sap/support/notes/1990828","1990828")</f>
        <v>1990828</v>
      </c>
      <c r="D3576">
        <v>2</v>
      </c>
      <c r="E3576" t="s">
        <v>3913</v>
      </c>
      <c r="F3576" t="s">
        <v>17</v>
      </c>
    </row>
    <row r="3577" spans="1:6" x14ac:dyDescent="0.3">
      <c r="A3577" t="s">
        <v>812</v>
      </c>
      <c r="B3577" t="s">
        <v>813</v>
      </c>
      <c r="C3577" t="str">
        <f>HYPERLINK("http://service.sap.com/sap/support/notes/1997097","1997097")</f>
        <v>1997097</v>
      </c>
      <c r="D3577">
        <v>6</v>
      </c>
      <c r="E3577" t="s">
        <v>3914</v>
      </c>
      <c r="F3577" t="s">
        <v>17</v>
      </c>
    </row>
    <row r="3578" spans="1:6" x14ac:dyDescent="0.3">
      <c r="A3578" t="s">
        <v>812</v>
      </c>
      <c r="B3578" t="s">
        <v>813</v>
      </c>
      <c r="C3578" t="str">
        <f>HYPERLINK("http://service.sap.com/sap/support/notes/2002851","2002851")</f>
        <v>2002851</v>
      </c>
      <c r="D3578">
        <v>1</v>
      </c>
      <c r="E3578" t="s">
        <v>3915</v>
      </c>
      <c r="F3578" t="s">
        <v>17</v>
      </c>
    </row>
    <row r="3579" spans="1:6" x14ac:dyDescent="0.3">
      <c r="A3579" t="s">
        <v>812</v>
      </c>
      <c r="B3579" t="s">
        <v>813</v>
      </c>
      <c r="C3579" t="str">
        <f>HYPERLINK("http://service.sap.com/sap/support/notes/2013652","2013652")</f>
        <v>2013652</v>
      </c>
      <c r="D3579">
        <v>1</v>
      </c>
      <c r="E3579" t="s">
        <v>3916</v>
      </c>
      <c r="F3579" t="s">
        <v>17</v>
      </c>
    </row>
    <row r="3580" spans="1:6" x14ac:dyDescent="0.3">
      <c r="A3580" t="s">
        <v>812</v>
      </c>
      <c r="B3580" t="s">
        <v>813</v>
      </c>
      <c r="C3580" t="str">
        <f>HYPERLINK("http://service.sap.com/sap/support/notes/2018854","2018854")</f>
        <v>2018854</v>
      </c>
      <c r="D3580">
        <v>1</v>
      </c>
      <c r="E3580" t="s">
        <v>3917</v>
      </c>
      <c r="F3580" t="s">
        <v>17</v>
      </c>
    </row>
    <row r="3581" spans="1:6" x14ac:dyDescent="0.3">
      <c r="A3581" t="s">
        <v>812</v>
      </c>
      <c r="B3581" t="s">
        <v>813</v>
      </c>
      <c r="C3581" t="str">
        <f>HYPERLINK("http://service.sap.com/sap/support/notes/2022886","2022886")</f>
        <v>2022886</v>
      </c>
      <c r="D3581">
        <v>1</v>
      </c>
      <c r="E3581" t="s">
        <v>3918</v>
      </c>
      <c r="F3581" t="s">
        <v>17</v>
      </c>
    </row>
    <row r="3582" spans="1:6" x14ac:dyDescent="0.3">
      <c r="A3582" t="s">
        <v>825</v>
      </c>
      <c r="B3582" t="s">
        <v>826</v>
      </c>
      <c r="C3582" t="str">
        <f>HYPERLINK("http://service.sap.com/sap/support/notes/2004725","2004725")</f>
        <v>2004725</v>
      </c>
      <c r="D3582">
        <v>2</v>
      </c>
      <c r="E3582" t="s">
        <v>3919</v>
      </c>
      <c r="F3582" t="s">
        <v>17</v>
      </c>
    </row>
    <row r="3583" spans="1:6" x14ac:dyDescent="0.3">
      <c r="A3583" t="s">
        <v>825</v>
      </c>
      <c r="B3583" t="s">
        <v>826</v>
      </c>
      <c r="C3583" t="str">
        <f>HYPERLINK("http://service.sap.com/sap/support/notes/2019122","2019122")</f>
        <v>2019122</v>
      </c>
      <c r="D3583">
        <v>5</v>
      </c>
      <c r="E3583" t="s">
        <v>3920</v>
      </c>
      <c r="F3583" t="s">
        <v>17</v>
      </c>
    </row>
    <row r="3584" spans="1:6" x14ac:dyDescent="0.3">
      <c r="A3584" t="s">
        <v>825</v>
      </c>
      <c r="B3584" t="s">
        <v>826</v>
      </c>
      <c r="C3584" t="str">
        <f>HYPERLINK("http://service.sap.com/sap/support/notes/2030240","2030240")</f>
        <v>2030240</v>
      </c>
      <c r="D3584">
        <v>1</v>
      </c>
      <c r="E3584" t="s">
        <v>3921</v>
      </c>
      <c r="F3584" t="s">
        <v>17</v>
      </c>
    </row>
    <row r="3585" spans="1:6" x14ac:dyDescent="0.3">
      <c r="A3585" t="s">
        <v>839</v>
      </c>
      <c r="B3585" t="s">
        <v>840</v>
      </c>
      <c r="C3585" t="str">
        <f>HYPERLINK("http://service.sap.com/sap/support/notes/1933966","1933966")</f>
        <v>1933966</v>
      </c>
      <c r="D3585">
        <v>5</v>
      </c>
      <c r="E3585" t="s">
        <v>3922</v>
      </c>
      <c r="F3585" t="s">
        <v>17</v>
      </c>
    </row>
    <row r="3586" spans="1:6" x14ac:dyDescent="0.3">
      <c r="A3586" t="s">
        <v>844</v>
      </c>
      <c r="B3586" t="s">
        <v>845</v>
      </c>
      <c r="C3586" t="str">
        <f>HYPERLINK("http://service.sap.com/sap/support/notes/1988641","1988641")</f>
        <v>1988641</v>
      </c>
      <c r="D3586">
        <v>4</v>
      </c>
      <c r="E3586" t="s">
        <v>3060</v>
      </c>
      <c r="F3586" t="s">
        <v>17</v>
      </c>
    </row>
    <row r="3587" spans="1:6" x14ac:dyDescent="0.3">
      <c r="A3587" t="s">
        <v>844</v>
      </c>
      <c r="B3587" t="s">
        <v>845</v>
      </c>
      <c r="C3587" t="str">
        <f>HYPERLINK("http://service.sap.com/sap/support/notes/1996703","1996703")</f>
        <v>1996703</v>
      </c>
      <c r="D3587">
        <v>4</v>
      </c>
      <c r="E3587" t="s">
        <v>3923</v>
      </c>
      <c r="F3587" t="s">
        <v>17</v>
      </c>
    </row>
    <row r="3588" spans="1:6" x14ac:dyDescent="0.3">
      <c r="A3588" t="s">
        <v>848</v>
      </c>
      <c r="B3588" t="s">
        <v>849</v>
      </c>
      <c r="C3588" t="str">
        <f>HYPERLINK("http://service.sap.com/sap/support/notes/1962728","1962728")</f>
        <v>1962728</v>
      </c>
      <c r="D3588">
        <v>3</v>
      </c>
      <c r="E3588" t="s">
        <v>3924</v>
      </c>
      <c r="F3588" t="s">
        <v>17</v>
      </c>
    </row>
    <row r="3589" spans="1:6" x14ac:dyDescent="0.3">
      <c r="A3589" t="s">
        <v>848</v>
      </c>
      <c r="B3589" t="s">
        <v>849</v>
      </c>
      <c r="C3589" t="str">
        <f>HYPERLINK("http://service.sap.com/sap/support/notes/1984254","1984254")</f>
        <v>1984254</v>
      </c>
      <c r="D3589">
        <v>1</v>
      </c>
      <c r="E3589" t="s">
        <v>3925</v>
      </c>
      <c r="F3589" t="s">
        <v>11</v>
      </c>
    </row>
    <row r="3590" spans="1:6" x14ac:dyDescent="0.3">
      <c r="A3590" t="s">
        <v>848</v>
      </c>
      <c r="B3590" t="s">
        <v>849</v>
      </c>
      <c r="C3590" t="str">
        <f>HYPERLINK("http://service.sap.com/sap/support/notes/1994914","1994914")</f>
        <v>1994914</v>
      </c>
      <c r="D3590">
        <v>1</v>
      </c>
      <c r="E3590" t="s">
        <v>3926</v>
      </c>
      <c r="F3590" t="s">
        <v>17</v>
      </c>
    </row>
    <row r="3591" spans="1:6" x14ac:dyDescent="0.3">
      <c r="A3591" t="s">
        <v>848</v>
      </c>
      <c r="B3591" t="s">
        <v>849</v>
      </c>
      <c r="C3591" t="str">
        <f>HYPERLINK("http://service.sap.com/sap/support/notes/2004425","2004425")</f>
        <v>2004425</v>
      </c>
      <c r="D3591">
        <v>2</v>
      </c>
      <c r="E3591" t="s">
        <v>3927</v>
      </c>
      <c r="F3591" t="s">
        <v>17</v>
      </c>
    </row>
    <row r="3592" spans="1:6" x14ac:dyDescent="0.3">
      <c r="A3592" t="s">
        <v>848</v>
      </c>
      <c r="B3592" t="s">
        <v>849</v>
      </c>
      <c r="C3592" t="str">
        <f>HYPERLINK("http://service.sap.com/sap/support/notes/2005328","2005328")</f>
        <v>2005328</v>
      </c>
      <c r="D3592">
        <v>1</v>
      </c>
      <c r="E3592" t="s">
        <v>3928</v>
      </c>
      <c r="F3592" t="s">
        <v>17</v>
      </c>
    </row>
    <row r="3593" spans="1:6" x14ac:dyDescent="0.3">
      <c r="A3593" t="s">
        <v>848</v>
      </c>
      <c r="B3593" t="s">
        <v>849</v>
      </c>
      <c r="C3593" t="str">
        <f>HYPERLINK("http://service.sap.com/sap/support/notes/2014564","2014564")</f>
        <v>2014564</v>
      </c>
      <c r="D3593">
        <v>1</v>
      </c>
      <c r="E3593" t="s">
        <v>3929</v>
      </c>
      <c r="F3593" t="s">
        <v>17</v>
      </c>
    </row>
    <row r="3594" spans="1:6" x14ac:dyDescent="0.3">
      <c r="A3594" t="s">
        <v>848</v>
      </c>
      <c r="B3594" t="s">
        <v>849</v>
      </c>
      <c r="C3594" t="str">
        <f>HYPERLINK("http://service.sap.com/sap/support/notes/2016711","2016711")</f>
        <v>2016711</v>
      </c>
      <c r="D3594">
        <v>2</v>
      </c>
      <c r="E3594" t="s">
        <v>3930</v>
      </c>
      <c r="F3594" t="s">
        <v>17</v>
      </c>
    </row>
    <row r="3595" spans="1:6" x14ac:dyDescent="0.3">
      <c r="A3595" t="s">
        <v>848</v>
      </c>
      <c r="B3595" t="s">
        <v>849</v>
      </c>
      <c r="C3595" t="str">
        <f>HYPERLINK("http://service.sap.com/sap/support/notes/2017063","2017063")</f>
        <v>2017063</v>
      </c>
      <c r="D3595">
        <v>1</v>
      </c>
      <c r="E3595" t="s">
        <v>3931</v>
      </c>
      <c r="F3595" t="s">
        <v>17</v>
      </c>
    </row>
    <row r="3596" spans="1:6" x14ac:dyDescent="0.3">
      <c r="A3596" t="s">
        <v>848</v>
      </c>
      <c r="B3596" t="s">
        <v>849</v>
      </c>
      <c r="C3596" t="str">
        <f>HYPERLINK("http://service.sap.com/sap/support/notes/2017809","2017809")</f>
        <v>2017809</v>
      </c>
      <c r="D3596">
        <v>1</v>
      </c>
      <c r="E3596" t="s">
        <v>3932</v>
      </c>
      <c r="F3596" t="s">
        <v>17</v>
      </c>
    </row>
    <row r="3597" spans="1:6" x14ac:dyDescent="0.3">
      <c r="A3597" t="s">
        <v>848</v>
      </c>
      <c r="B3597" t="s">
        <v>849</v>
      </c>
      <c r="C3597" t="str">
        <f>HYPERLINK("http://service.sap.com/sap/support/notes/2018575","2018575")</f>
        <v>2018575</v>
      </c>
      <c r="D3597">
        <v>1</v>
      </c>
      <c r="E3597" t="s">
        <v>3933</v>
      </c>
      <c r="F3597" t="s">
        <v>94</v>
      </c>
    </row>
    <row r="3598" spans="1:6" x14ac:dyDescent="0.3">
      <c r="A3598" t="s">
        <v>861</v>
      </c>
      <c r="B3598" t="s">
        <v>862</v>
      </c>
      <c r="C3598" t="str">
        <f>HYPERLINK("http://service.sap.com/sap/support/notes/1992677","1992677")</f>
        <v>1992677</v>
      </c>
      <c r="D3598">
        <v>3</v>
      </c>
      <c r="E3598" t="s">
        <v>3934</v>
      </c>
      <c r="F3598" t="s">
        <v>17</v>
      </c>
    </row>
    <row r="3599" spans="1:6" x14ac:dyDescent="0.3">
      <c r="A3599" t="s">
        <v>871</v>
      </c>
      <c r="B3599" t="s">
        <v>872</v>
      </c>
    </row>
    <row r="3600" spans="1:6" x14ac:dyDescent="0.3">
      <c r="A3600" t="s">
        <v>873</v>
      </c>
      <c r="B3600" t="s">
        <v>874</v>
      </c>
      <c r="C3600" t="str">
        <f>HYPERLINK("http://service.sap.com/sap/support/notes/1879997","1879997")</f>
        <v>1879997</v>
      </c>
      <c r="D3600">
        <v>1</v>
      </c>
      <c r="E3600" t="s">
        <v>3935</v>
      </c>
      <c r="F3600" t="s">
        <v>13</v>
      </c>
    </row>
    <row r="3601" spans="1:6" x14ac:dyDescent="0.3">
      <c r="A3601" t="s">
        <v>873</v>
      </c>
      <c r="B3601" t="s">
        <v>874</v>
      </c>
      <c r="C3601" t="str">
        <f>HYPERLINK("http://service.sap.com/sap/support/notes/1987506","1987506")</f>
        <v>1987506</v>
      </c>
      <c r="D3601">
        <v>1</v>
      </c>
      <c r="E3601" t="s">
        <v>3936</v>
      </c>
      <c r="F3601" t="s">
        <v>17</v>
      </c>
    </row>
    <row r="3602" spans="1:6" x14ac:dyDescent="0.3">
      <c r="A3602" t="s">
        <v>873</v>
      </c>
      <c r="B3602" t="s">
        <v>874</v>
      </c>
      <c r="C3602" t="str">
        <f>HYPERLINK("http://service.sap.com/sap/support/notes/1990560","1990560")</f>
        <v>1990560</v>
      </c>
      <c r="D3602">
        <v>3</v>
      </c>
      <c r="E3602" t="s">
        <v>3937</v>
      </c>
      <c r="F3602" t="s">
        <v>17</v>
      </c>
    </row>
    <row r="3603" spans="1:6" x14ac:dyDescent="0.3">
      <c r="A3603" t="s">
        <v>873</v>
      </c>
      <c r="B3603" t="s">
        <v>874</v>
      </c>
      <c r="C3603" t="str">
        <f>HYPERLINK("http://service.sap.com/sap/support/notes/2002119","2002119")</f>
        <v>2002119</v>
      </c>
      <c r="D3603">
        <v>1</v>
      </c>
      <c r="E3603" t="s">
        <v>3938</v>
      </c>
      <c r="F3603" t="s">
        <v>17</v>
      </c>
    </row>
    <row r="3604" spans="1:6" x14ac:dyDescent="0.3">
      <c r="A3604" t="s">
        <v>873</v>
      </c>
      <c r="B3604" t="s">
        <v>874</v>
      </c>
      <c r="C3604" t="str">
        <f>HYPERLINK("http://service.sap.com/sap/support/notes/2009835","2009835")</f>
        <v>2009835</v>
      </c>
      <c r="D3604">
        <v>1</v>
      </c>
      <c r="E3604" t="s">
        <v>3939</v>
      </c>
      <c r="F3604" t="s">
        <v>17</v>
      </c>
    </row>
    <row r="3605" spans="1:6" x14ac:dyDescent="0.3">
      <c r="A3605" t="s">
        <v>887</v>
      </c>
      <c r="B3605" t="s">
        <v>888</v>
      </c>
      <c r="C3605" t="str">
        <f>HYPERLINK("http://service.sap.com/sap/support/notes/1994573","1994573")</f>
        <v>1994573</v>
      </c>
      <c r="D3605">
        <v>2</v>
      </c>
      <c r="E3605" t="s">
        <v>3940</v>
      </c>
      <c r="F3605" t="s">
        <v>17</v>
      </c>
    </row>
    <row r="3606" spans="1:6" x14ac:dyDescent="0.3">
      <c r="A3606" t="s">
        <v>887</v>
      </c>
      <c r="B3606" t="s">
        <v>888</v>
      </c>
      <c r="C3606" t="str">
        <f>HYPERLINK("http://service.sap.com/sap/support/notes/2006470","2006470")</f>
        <v>2006470</v>
      </c>
      <c r="D3606">
        <v>4</v>
      </c>
      <c r="E3606" t="s">
        <v>3941</v>
      </c>
      <c r="F3606" t="s">
        <v>17</v>
      </c>
    </row>
    <row r="3607" spans="1:6" x14ac:dyDescent="0.3">
      <c r="A3607" t="s">
        <v>887</v>
      </c>
      <c r="B3607" t="s">
        <v>888</v>
      </c>
      <c r="C3607" t="str">
        <f>HYPERLINK("http://service.sap.com/sap/support/notes/2011090","2011090")</f>
        <v>2011090</v>
      </c>
      <c r="D3607">
        <v>1</v>
      </c>
      <c r="E3607" t="s">
        <v>3942</v>
      </c>
      <c r="F3607" t="s">
        <v>17</v>
      </c>
    </row>
    <row r="3608" spans="1:6" x14ac:dyDescent="0.3">
      <c r="A3608" t="s">
        <v>887</v>
      </c>
      <c r="B3608" t="s">
        <v>888</v>
      </c>
      <c r="C3608" t="str">
        <f>HYPERLINK("http://service.sap.com/sap/support/notes/2022922","2022922")</f>
        <v>2022922</v>
      </c>
      <c r="D3608">
        <v>1</v>
      </c>
      <c r="E3608" t="s">
        <v>3943</v>
      </c>
      <c r="F3608" t="s">
        <v>17</v>
      </c>
    </row>
    <row r="3609" spans="1:6" x14ac:dyDescent="0.3">
      <c r="A3609" t="s">
        <v>887</v>
      </c>
      <c r="B3609" t="s">
        <v>888</v>
      </c>
      <c r="C3609" t="str">
        <f>HYPERLINK("http://service.sap.com/sap/support/notes/2026757","2026757")</f>
        <v>2026757</v>
      </c>
      <c r="D3609">
        <v>2</v>
      </c>
      <c r="E3609" t="s">
        <v>3944</v>
      </c>
      <c r="F3609" t="s">
        <v>11</v>
      </c>
    </row>
    <row r="3610" spans="1:6" x14ac:dyDescent="0.3">
      <c r="A3610" t="s">
        <v>906</v>
      </c>
      <c r="B3610" t="s">
        <v>346</v>
      </c>
      <c r="C3610" t="str">
        <f>HYPERLINK("http://service.sap.com/sap/support/notes/1937756","1937756")</f>
        <v>1937756</v>
      </c>
      <c r="D3610">
        <v>4</v>
      </c>
      <c r="E3610" t="s">
        <v>3945</v>
      </c>
      <c r="F3610" t="s">
        <v>17</v>
      </c>
    </row>
    <row r="3611" spans="1:6" x14ac:dyDescent="0.3">
      <c r="A3611" t="s">
        <v>906</v>
      </c>
      <c r="B3611" t="s">
        <v>346</v>
      </c>
      <c r="C3611" t="str">
        <f>HYPERLINK("http://service.sap.com/sap/support/notes/1959343","1959343")</f>
        <v>1959343</v>
      </c>
      <c r="D3611">
        <v>3</v>
      </c>
      <c r="E3611" t="s">
        <v>3946</v>
      </c>
      <c r="F3611" t="s">
        <v>17</v>
      </c>
    </row>
    <row r="3612" spans="1:6" x14ac:dyDescent="0.3">
      <c r="A3612" t="s">
        <v>906</v>
      </c>
      <c r="B3612" t="s">
        <v>346</v>
      </c>
      <c r="C3612" t="str">
        <f>HYPERLINK("http://service.sap.com/sap/support/notes/2014909","2014909")</f>
        <v>2014909</v>
      </c>
      <c r="D3612">
        <v>1</v>
      </c>
      <c r="E3612" t="s">
        <v>3947</v>
      </c>
      <c r="F3612" t="s">
        <v>17</v>
      </c>
    </row>
    <row r="3613" spans="1:6" x14ac:dyDescent="0.3">
      <c r="A3613" t="s">
        <v>908</v>
      </c>
      <c r="B3613" t="s">
        <v>909</v>
      </c>
      <c r="C3613" t="str">
        <f>HYPERLINK("http://service.sap.com/sap/support/notes/1959354","1959354")</f>
        <v>1959354</v>
      </c>
      <c r="D3613">
        <v>3</v>
      </c>
      <c r="E3613" t="s">
        <v>3948</v>
      </c>
      <c r="F3613" t="s">
        <v>17</v>
      </c>
    </row>
    <row r="3614" spans="1:6" x14ac:dyDescent="0.3">
      <c r="A3614" t="s">
        <v>908</v>
      </c>
      <c r="B3614" t="s">
        <v>909</v>
      </c>
      <c r="C3614" t="str">
        <f>HYPERLINK("http://service.sap.com/sap/support/notes/1971971","1971971")</f>
        <v>1971971</v>
      </c>
      <c r="D3614">
        <v>4</v>
      </c>
      <c r="E3614" t="s">
        <v>3949</v>
      </c>
      <c r="F3614" t="s">
        <v>17</v>
      </c>
    </row>
    <row r="3615" spans="1:6" x14ac:dyDescent="0.3">
      <c r="A3615" t="s">
        <v>908</v>
      </c>
      <c r="B3615" t="s">
        <v>909</v>
      </c>
      <c r="C3615" t="str">
        <f>HYPERLINK("http://service.sap.com/sap/support/notes/1990148","1990148")</f>
        <v>1990148</v>
      </c>
      <c r="D3615">
        <v>1</v>
      </c>
      <c r="E3615" t="s">
        <v>3950</v>
      </c>
      <c r="F3615" t="s">
        <v>17</v>
      </c>
    </row>
    <row r="3616" spans="1:6" x14ac:dyDescent="0.3">
      <c r="A3616" t="s">
        <v>908</v>
      </c>
      <c r="B3616" t="s">
        <v>909</v>
      </c>
      <c r="C3616" t="str">
        <f>HYPERLINK("http://service.sap.com/sap/support/notes/1993695","1993695")</f>
        <v>1993695</v>
      </c>
      <c r="D3616">
        <v>2</v>
      </c>
      <c r="E3616" t="s">
        <v>3951</v>
      </c>
      <c r="F3616" t="s">
        <v>17</v>
      </c>
    </row>
    <row r="3617" spans="1:6" x14ac:dyDescent="0.3">
      <c r="A3617" t="s">
        <v>908</v>
      </c>
      <c r="B3617" t="s">
        <v>909</v>
      </c>
      <c r="C3617" t="str">
        <f>HYPERLINK("http://service.sap.com/sap/support/notes/2005048","2005048")</f>
        <v>2005048</v>
      </c>
      <c r="D3617">
        <v>2</v>
      </c>
      <c r="E3617" t="s">
        <v>3952</v>
      </c>
      <c r="F3617" t="s">
        <v>17</v>
      </c>
    </row>
    <row r="3618" spans="1:6" x14ac:dyDescent="0.3">
      <c r="A3618" t="s">
        <v>908</v>
      </c>
      <c r="B3618" t="s">
        <v>909</v>
      </c>
      <c r="C3618" t="str">
        <f>HYPERLINK("http://service.sap.com/sap/support/notes/2005540","2005540")</f>
        <v>2005540</v>
      </c>
      <c r="D3618">
        <v>1</v>
      </c>
      <c r="E3618" t="s">
        <v>3953</v>
      </c>
      <c r="F3618" t="s">
        <v>17</v>
      </c>
    </row>
    <row r="3619" spans="1:6" x14ac:dyDescent="0.3">
      <c r="A3619" t="s">
        <v>908</v>
      </c>
      <c r="B3619" t="s">
        <v>909</v>
      </c>
      <c r="C3619" t="str">
        <f>HYPERLINK("http://service.sap.com/sap/support/notes/2012484","2012484")</f>
        <v>2012484</v>
      </c>
      <c r="D3619">
        <v>2</v>
      </c>
      <c r="E3619" t="s">
        <v>3954</v>
      </c>
      <c r="F3619" t="s">
        <v>17</v>
      </c>
    </row>
    <row r="3620" spans="1:6" x14ac:dyDescent="0.3">
      <c r="A3620" t="s">
        <v>908</v>
      </c>
      <c r="B3620" t="s">
        <v>909</v>
      </c>
      <c r="C3620" t="str">
        <f>HYPERLINK("http://service.sap.com/sap/support/notes/2015673","2015673")</f>
        <v>2015673</v>
      </c>
      <c r="D3620">
        <v>2</v>
      </c>
      <c r="E3620" t="s">
        <v>3955</v>
      </c>
      <c r="F3620" t="s">
        <v>17</v>
      </c>
    </row>
    <row r="3621" spans="1:6" x14ac:dyDescent="0.3">
      <c r="A3621" t="s">
        <v>929</v>
      </c>
      <c r="B3621" t="s">
        <v>930</v>
      </c>
      <c r="C3621" t="str">
        <f>HYPERLINK("http://service.sap.com/sap/support/notes/2010651","2010651")</f>
        <v>2010651</v>
      </c>
      <c r="D3621">
        <v>1</v>
      </c>
      <c r="E3621" t="s">
        <v>3956</v>
      </c>
      <c r="F3621" t="s">
        <v>17</v>
      </c>
    </row>
    <row r="3622" spans="1:6" x14ac:dyDescent="0.3">
      <c r="A3622" t="s">
        <v>933</v>
      </c>
      <c r="B3622" t="s">
        <v>733</v>
      </c>
      <c r="C3622" t="str">
        <f>HYPERLINK("http://service.sap.com/sap/support/notes/1981841","1981841")</f>
        <v>1981841</v>
      </c>
      <c r="D3622">
        <v>2</v>
      </c>
      <c r="E3622" t="s">
        <v>3957</v>
      </c>
      <c r="F3622" t="s">
        <v>11</v>
      </c>
    </row>
    <row r="3623" spans="1:6" x14ac:dyDescent="0.3">
      <c r="A3623" t="s">
        <v>933</v>
      </c>
      <c r="B3623" t="s">
        <v>733</v>
      </c>
      <c r="C3623" t="str">
        <f>HYPERLINK("http://service.sap.com/sap/support/notes/1997020","1997020")</f>
        <v>1997020</v>
      </c>
      <c r="D3623">
        <v>1</v>
      </c>
      <c r="E3623" t="s">
        <v>3958</v>
      </c>
      <c r="F3623" t="s">
        <v>17</v>
      </c>
    </row>
    <row r="3624" spans="1:6" x14ac:dyDescent="0.3">
      <c r="A3624" t="s">
        <v>933</v>
      </c>
      <c r="B3624" t="s">
        <v>733</v>
      </c>
      <c r="C3624" t="str">
        <f>HYPERLINK("http://service.sap.com/sap/support/notes/1997114","1997114")</f>
        <v>1997114</v>
      </c>
      <c r="D3624">
        <v>1</v>
      </c>
      <c r="E3624" t="s">
        <v>3959</v>
      </c>
      <c r="F3624" t="s">
        <v>17</v>
      </c>
    </row>
    <row r="3625" spans="1:6" x14ac:dyDescent="0.3">
      <c r="A3625" t="s">
        <v>933</v>
      </c>
      <c r="B3625" t="s">
        <v>733</v>
      </c>
      <c r="C3625" t="str">
        <f>HYPERLINK("http://service.sap.com/sap/support/notes/1999369","1999369")</f>
        <v>1999369</v>
      </c>
      <c r="D3625">
        <v>1</v>
      </c>
      <c r="E3625" t="s">
        <v>3960</v>
      </c>
      <c r="F3625" t="s">
        <v>17</v>
      </c>
    </row>
    <row r="3626" spans="1:6" x14ac:dyDescent="0.3">
      <c r="A3626" t="s">
        <v>933</v>
      </c>
      <c r="B3626" t="s">
        <v>733</v>
      </c>
      <c r="C3626" t="str">
        <f>HYPERLINK("http://service.sap.com/sap/support/notes/2001436","2001436")</f>
        <v>2001436</v>
      </c>
      <c r="D3626">
        <v>2</v>
      </c>
      <c r="E3626" t="s">
        <v>3961</v>
      </c>
      <c r="F3626" t="s">
        <v>17</v>
      </c>
    </row>
    <row r="3627" spans="1:6" x14ac:dyDescent="0.3">
      <c r="A3627" t="s">
        <v>933</v>
      </c>
      <c r="B3627" t="s">
        <v>733</v>
      </c>
      <c r="C3627" t="str">
        <f>HYPERLINK("http://service.sap.com/sap/support/notes/2001553","2001553")</f>
        <v>2001553</v>
      </c>
      <c r="D3627">
        <v>4</v>
      </c>
      <c r="E3627" t="s">
        <v>3962</v>
      </c>
      <c r="F3627" t="s">
        <v>17</v>
      </c>
    </row>
    <row r="3628" spans="1:6" x14ac:dyDescent="0.3">
      <c r="A3628" t="s">
        <v>933</v>
      </c>
      <c r="B3628" t="s">
        <v>733</v>
      </c>
      <c r="C3628" t="str">
        <f>HYPERLINK("http://service.sap.com/sap/support/notes/2002049","2002049")</f>
        <v>2002049</v>
      </c>
      <c r="D3628">
        <v>2</v>
      </c>
      <c r="E3628" t="s">
        <v>3963</v>
      </c>
      <c r="F3628" t="s">
        <v>17</v>
      </c>
    </row>
    <row r="3629" spans="1:6" x14ac:dyDescent="0.3">
      <c r="A3629" t="s">
        <v>933</v>
      </c>
      <c r="B3629" t="s">
        <v>733</v>
      </c>
      <c r="C3629" t="str">
        <f>HYPERLINK("http://service.sap.com/sap/support/notes/2011197","2011197")</f>
        <v>2011197</v>
      </c>
      <c r="D3629">
        <v>1</v>
      </c>
      <c r="E3629" t="s">
        <v>3964</v>
      </c>
      <c r="F3629" t="s">
        <v>17</v>
      </c>
    </row>
    <row r="3630" spans="1:6" x14ac:dyDescent="0.3">
      <c r="A3630" t="s">
        <v>933</v>
      </c>
      <c r="B3630" t="s">
        <v>733</v>
      </c>
      <c r="C3630" t="str">
        <f>HYPERLINK("http://service.sap.com/sap/support/notes/2012520","2012520")</f>
        <v>2012520</v>
      </c>
      <c r="D3630">
        <v>4</v>
      </c>
      <c r="E3630" t="s">
        <v>3965</v>
      </c>
      <c r="F3630" t="s">
        <v>17</v>
      </c>
    </row>
    <row r="3631" spans="1:6" x14ac:dyDescent="0.3">
      <c r="A3631" t="s">
        <v>933</v>
      </c>
      <c r="B3631" t="s">
        <v>733</v>
      </c>
      <c r="C3631" t="str">
        <f>HYPERLINK("http://service.sap.com/sap/support/notes/2014863","2014863")</f>
        <v>2014863</v>
      </c>
      <c r="D3631">
        <v>2</v>
      </c>
      <c r="E3631" t="s">
        <v>3966</v>
      </c>
      <c r="F3631" t="s">
        <v>17</v>
      </c>
    </row>
    <row r="3632" spans="1:6" x14ac:dyDescent="0.3">
      <c r="A3632" t="s">
        <v>3116</v>
      </c>
      <c r="B3632" t="s">
        <v>2089</v>
      </c>
      <c r="C3632" t="str">
        <f>HYPERLINK("http://service.sap.com/sap/support/notes/1820183","1820183")</f>
        <v>1820183</v>
      </c>
      <c r="D3632">
        <v>2</v>
      </c>
      <c r="E3632" t="s">
        <v>3967</v>
      </c>
      <c r="F3632" t="s">
        <v>17</v>
      </c>
    </row>
    <row r="3633" spans="1:6" x14ac:dyDescent="0.3">
      <c r="A3633" t="s">
        <v>3116</v>
      </c>
      <c r="B3633" t="s">
        <v>2089</v>
      </c>
      <c r="C3633" t="str">
        <f>HYPERLINK("http://service.sap.com/sap/support/notes/1996107","1996107")</f>
        <v>1996107</v>
      </c>
      <c r="D3633">
        <v>2</v>
      </c>
      <c r="E3633" t="s">
        <v>3968</v>
      </c>
      <c r="F3633" t="s">
        <v>17</v>
      </c>
    </row>
    <row r="3634" spans="1:6" x14ac:dyDescent="0.3">
      <c r="A3634" t="s">
        <v>3116</v>
      </c>
      <c r="B3634" t="s">
        <v>2089</v>
      </c>
      <c r="C3634" t="str">
        <f>HYPERLINK("http://service.sap.com/sap/support/notes/2011278","2011278")</f>
        <v>2011278</v>
      </c>
      <c r="D3634">
        <v>1</v>
      </c>
      <c r="E3634" t="s">
        <v>3969</v>
      </c>
      <c r="F3634" t="s">
        <v>17</v>
      </c>
    </row>
    <row r="3635" spans="1:6" x14ac:dyDescent="0.3">
      <c r="A3635" t="s">
        <v>942</v>
      </c>
      <c r="B3635" t="s">
        <v>943</v>
      </c>
      <c r="C3635" t="str">
        <f>HYPERLINK("http://service.sap.com/sap/support/notes/1879230","1879230")</f>
        <v>1879230</v>
      </c>
      <c r="D3635">
        <v>4</v>
      </c>
      <c r="E3635" t="s">
        <v>3970</v>
      </c>
      <c r="F3635" t="s">
        <v>11</v>
      </c>
    </row>
    <row r="3636" spans="1:6" x14ac:dyDescent="0.3">
      <c r="A3636" t="s">
        <v>942</v>
      </c>
      <c r="B3636" t="s">
        <v>943</v>
      </c>
      <c r="C3636" t="str">
        <f>HYPERLINK("http://service.sap.com/sap/support/notes/1954812","1954812")</f>
        <v>1954812</v>
      </c>
      <c r="D3636">
        <v>3</v>
      </c>
      <c r="E3636" t="s">
        <v>3971</v>
      </c>
      <c r="F3636" t="s">
        <v>17</v>
      </c>
    </row>
    <row r="3637" spans="1:6" x14ac:dyDescent="0.3">
      <c r="A3637" t="s">
        <v>942</v>
      </c>
      <c r="B3637" t="s">
        <v>943</v>
      </c>
      <c r="C3637" t="str">
        <f>HYPERLINK("http://service.sap.com/sap/support/notes/1986914","1986914")</f>
        <v>1986914</v>
      </c>
      <c r="D3637">
        <v>4</v>
      </c>
      <c r="E3637" t="s">
        <v>3972</v>
      </c>
      <c r="F3637" t="s">
        <v>13</v>
      </c>
    </row>
    <row r="3638" spans="1:6" x14ac:dyDescent="0.3">
      <c r="A3638" t="s">
        <v>942</v>
      </c>
      <c r="B3638" t="s">
        <v>943</v>
      </c>
      <c r="C3638" t="str">
        <f>HYPERLINK("http://service.sap.com/sap/support/notes/1991531","1991531")</f>
        <v>1991531</v>
      </c>
      <c r="D3638">
        <v>3</v>
      </c>
      <c r="E3638" t="s">
        <v>3973</v>
      </c>
      <c r="F3638" t="s">
        <v>17</v>
      </c>
    </row>
    <row r="3639" spans="1:6" x14ac:dyDescent="0.3">
      <c r="A3639" t="s">
        <v>942</v>
      </c>
      <c r="B3639" t="s">
        <v>943</v>
      </c>
      <c r="C3639" t="str">
        <f>HYPERLINK("http://service.sap.com/sap/support/notes/1992707","1992707")</f>
        <v>1992707</v>
      </c>
      <c r="D3639">
        <v>1</v>
      </c>
      <c r="E3639" t="s">
        <v>3974</v>
      </c>
      <c r="F3639" t="s">
        <v>17</v>
      </c>
    </row>
    <row r="3640" spans="1:6" x14ac:dyDescent="0.3">
      <c r="A3640" t="s">
        <v>942</v>
      </c>
      <c r="B3640" t="s">
        <v>943</v>
      </c>
      <c r="C3640" t="str">
        <f>HYPERLINK("http://service.sap.com/sap/support/notes/1995879","1995879")</f>
        <v>1995879</v>
      </c>
      <c r="D3640">
        <v>1</v>
      </c>
      <c r="E3640" t="s">
        <v>3975</v>
      </c>
      <c r="F3640" t="s">
        <v>17</v>
      </c>
    </row>
    <row r="3641" spans="1:6" x14ac:dyDescent="0.3">
      <c r="A3641" t="s">
        <v>942</v>
      </c>
      <c r="B3641" t="s">
        <v>943</v>
      </c>
      <c r="C3641" t="str">
        <f>HYPERLINK("http://service.sap.com/sap/support/notes/1995942","1995942")</f>
        <v>1995942</v>
      </c>
      <c r="D3641">
        <v>4</v>
      </c>
      <c r="E3641" t="s">
        <v>3976</v>
      </c>
      <c r="F3641" t="s">
        <v>17</v>
      </c>
    </row>
    <row r="3642" spans="1:6" x14ac:dyDescent="0.3">
      <c r="A3642" t="s">
        <v>942</v>
      </c>
      <c r="B3642" t="s">
        <v>943</v>
      </c>
      <c r="C3642" t="str">
        <f>HYPERLINK("http://service.sap.com/sap/support/notes/1999175","1999175")</f>
        <v>1999175</v>
      </c>
      <c r="D3642">
        <v>2</v>
      </c>
      <c r="E3642" t="s">
        <v>3977</v>
      </c>
      <c r="F3642" t="s">
        <v>17</v>
      </c>
    </row>
    <row r="3643" spans="1:6" x14ac:dyDescent="0.3">
      <c r="A3643" t="s">
        <v>942</v>
      </c>
      <c r="B3643" t="s">
        <v>943</v>
      </c>
      <c r="C3643" t="str">
        <f>HYPERLINK("http://service.sap.com/sap/support/notes/1999626","1999626")</f>
        <v>1999626</v>
      </c>
      <c r="D3643">
        <v>1</v>
      </c>
      <c r="E3643" t="s">
        <v>3978</v>
      </c>
      <c r="F3643" t="s">
        <v>17</v>
      </c>
    </row>
    <row r="3644" spans="1:6" x14ac:dyDescent="0.3">
      <c r="A3644" t="s">
        <v>942</v>
      </c>
      <c r="B3644" t="s">
        <v>943</v>
      </c>
      <c r="C3644" t="str">
        <f>HYPERLINK("http://service.sap.com/sap/support/notes/2004716","2004716")</f>
        <v>2004716</v>
      </c>
      <c r="D3644">
        <v>2</v>
      </c>
      <c r="E3644" t="s">
        <v>3979</v>
      </c>
      <c r="F3644" t="s">
        <v>17</v>
      </c>
    </row>
    <row r="3645" spans="1:6" x14ac:dyDescent="0.3">
      <c r="A3645" t="s">
        <v>942</v>
      </c>
      <c r="B3645" t="s">
        <v>943</v>
      </c>
      <c r="C3645" t="str">
        <f>HYPERLINK("http://service.sap.com/sap/support/notes/2017368","2017368")</f>
        <v>2017368</v>
      </c>
      <c r="D3645">
        <v>1</v>
      </c>
      <c r="E3645" t="s">
        <v>3980</v>
      </c>
      <c r="F3645" t="s">
        <v>13</v>
      </c>
    </row>
    <row r="3646" spans="1:6" x14ac:dyDescent="0.3">
      <c r="A3646" t="s">
        <v>942</v>
      </c>
      <c r="B3646" t="s">
        <v>943</v>
      </c>
      <c r="C3646" t="str">
        <f>HYPERLINK("http://service.sap.com/sap/support/notes/2018344","2018344")</f>
        <v>2018344</v>
      </c>
      <c r="D3646">
        <v>2</v>
      </c>
      <c r="E3646" t="s">
        <v>3981</v>
      </c>
      <c r="F3646" t="s">
        <v>17</v>
      </c>
    </row>
    <row r="3647" spans="1:6" x14ac:dyDescent="0.3">
      <c r="A3647" t="s">
        <v>942</v>
      </c>
      <c r="B3647" t="s">
        <v>943</v>
      </c>
      <c r="C3647" t="str">
        <f>HYPERLINK("http://service.sap.com/sap/support/notes/2018497","2018497")</f>
        <v>2018497</v>
      </c>
      <c r="D3647">
        <v>1</v>
      </c>
      <c r="E3647" t="s">
        <v>3982</v>
      </c>
      <c r="F3647" t="s">
        <v>17</v>
      </c>
    </row>
    <row r="3648" spans="1:6" x14ac:dyDescent="0.3">
      <c r="A3648" t="s">
        <v>978</v>
      </c>
      <c r="B3648" t="s">
        <v>979</v>
      </c>
      <c r="C3648" t="str">
        <f>HYPERLINK("http://service.sap.com/sap/support/notes/1520343","1520343")</f>
        <v>1520343</v>
      </c>
      <c r="D3648">
        <v>3</v>
      </c>
      <c r="E3648" t="s">
        <v>3983</v>
      </c>
      <c r="F3648" t="s">
        <v>17</v>
      </c>
    </row>
    <row r="3649" spans="1:6" x14ac:dyDescent="0.3">
      <c r="A3649" t="s">
        <v>978</v>
      </c>
      <c r="B3649" t="s">
        <v>979</v>
      </c>
      <c r="C3649" t="str">
        <f>HYPERLINK("http://service.sap.com/sap/support/notes/1834861","1834861")</f>
        <v>1834861</v>
      </c>
      <c r="D3649">
        <v>10</v>
      </c>
      <c r="E3649" t="s">
        <v>3984</v>
      </c>
      <c r="F3649" t="s">
        <v>17</v>
      </c>
    </row>
    <row r="3650" spans="1:6" x14ac:dyDescent="0.3">
      <c r="A3650" t="s">
        <v>978</v>
      </c>
      <c r="B3650" t="s">
        <v>979</v>
      </c>
      <c r="C3650" t="str">
        <f>HYPERLINK("http://service.sap.com/sap/support/notes/1901749","1901749")</f>
        <v>1901749</v>
      </c>
      <c r="D3650">
        <v>5</v>
      </c>
      <c r="E3650" t="s">
        <v>3985</v>
      </c>
      <c r="F3650" t="s">
        <v>17</v>
      </c>
    </row>
    <row r="3651" spans="1:6" x14ac:dyDescent="0.3">
      <c r="A3651" t="s">
        <v>978</v>
      </c>
      <c r="B3651" t="s">
        <v>979</v>
      </c>
      <c r="C3651" t="str">
        <f>HYPERLINK("http://service.sap.com/sap/support/notes/1913381","1913381")</f>
        <v>1913381</v>
      </c>
      <c r="D3651">
        <v>4</v>
      </c>
      <c r="E3651" t="s">
        <v>3986</v>
      </c>
      <c r="F3651" t="s">
        <v>17</v>
      </c>
    </row>
    <row r="3652" spans="1:6" x14ac:dyDescent="0.3">
      <c r="A3652" t="s">
        <v>978</v>
      </c>
      <c r="B3652" t="s">
        <v>979</v>
      </c>
      <c r="C3652" t="str">
        <f>HYPERLINK("http://service.sap.com/sap/support/notes/1941344","1941344")</f>
        <v>1941344</v>
      </c>
      <c r="D3652">
        <v>5</v>
      </c>
      <c r="E3652" t="s">
        <v>3987</v>
      </c>
      <c r="F3652" t="s">
        <v>17</v>
      </c>
    </row>
    <row r="3653" spans="1:6" x14ac:dyDescent="0.3">
      <c r="A3653" t="s">
        <v>978</v>
      </c>
      <c r="B3653" t="s">
        <v>979</v>
      </c>
      <c r="C3653" t="str">
        <f>HYPERLINK("http://service.sap.com/sap/support/notes/1977519","1977519")</f>
        <v>1977519</v>
      </c>
      <c r="D3653">
        <v>3</v>
      </c>
      <c r="E3653" t="s">
        <v>3988</v>
      </c>
      <c r="F3653" t="s">
        <v>17</v>
      </c>
    </row>
    <row r="3654" spans="1:6" x14ac:dyDescent="0.3">
      <c r="A3654" t="s">
        <v>978</v>
      </c>
      <c r="B3654" t="s">
        <v>979</v>
      </c>
      <c r="C3654" t="str">
        <f>HYPERLINK("http://service.sap.com/sap/support/notes/1993020","1993020")</f>
        <v>1993020</v>
      </c>
      <c r="D3654">
        <v>3</v>
      </c>
      <c r="E3654" t="s">
        <v>3989</v>
      </c>
      <c r="F3654" t="s">
        <v>17</v>
      </c>
    </row>
    <row r="3655" spans="1:6" x14ac:dyDescent="0.3">
      <c r="A3655" t="s">
        <v>978</v>
      </c>
      <c r="B3655" t="s">
        <v>979</v>
      </c>
      <c r="C3655" t="str">
        <f>HYPERLINK("http://service.sap.com/sap/support/notes/1996135","1996135")</f>
        <v>1996135</v>
      </c>
      <c r="D3655">
        <v>6</v>
      </c>
      <c r="E3655" t="s">
        <v>3990</v>
      </c>
      <c r="F3655" t="s">
        <v>17</v>
      </c>
    </row>
    <row r="3656" spans="1:6" x14ac:dyDescent="0.3">
      <c r="A3656" t="s">
        <v>978</v>
      </c>
      <c r="B3656" t="s">
        <v>979</v>
      </c>
      <c r="C3656" t="str">
        <f>HYPERLINK("http://service.sap.com/sap/support/notes/2005829","2005829")</f>
        <v>2005829</v>
      </c>
      <c r="D3656">
        <v>3</v>
      </c>
      <c r="E3656" t="s">
        <v>3991</v>
      </c>
      <c r="F3656" t="s">
        <v>17</v>
      </c>
    </row>
    <row r="3657" spans="1:6" x14ac:dyDescent="0.3">
      <c r="A3657" t="s">
        <v>978</v>
      </c>
      <c r="B3657" t="s">
        <v>979</v>
      </c>
      <c r="C3657" t="str">
        <f>HYPERLINK("http://service.sap.com/sap/support/notes/2010110","2010110")</f>
        <v>2010110</v>
      </c>
      <c r="D3657">
        <v>2</v>
      </c>
      <c r="E3657" t="s">
        <v>3992</v>
      </c>
      <c r="F3657" t="s">
        <v>17</v>
      </c>
    </row>
    <row r="3658" spans="1:6" x14ac:dyDescent="0.3">
      <c r="A3658" t="s">
        <v>978</v>
      </c>
      <c r="B3658" t="s">
        <v>979</v>
      </c>
      <c r="C3658" t="str">
        <f>HYPERLINK("http://service.sap.com/sap/support/notes/2010809","2010809")</f>
        <v>2010809</v>
      </c>
      <c r="D3658">
        <v>4</v>
      </c>
      <c r="E3658" t="s">
        <v>3993</v>
      </c>
      <c r="F3658" t="s">
        <v>17</v>
      </c>
    </row>
    <row r="3659" spans="1:6" x14ac:dyDescent="0.3">
      <c r="A3659" t="s">
        <v>978</v>
      </c>
      <c r="B3659" t="s">
        <v>979</v>
      </c>
      <c r="C3659" t="str">
        <f>HYPERLINK("http://service.sap.com/sap/support/notes/2015685","2015685")</f>
        <v>2015685</v>
      </c>
      <c r="D3659">
        <v>4</v>
      </c>
      <c r="E3659" t="s">
        <v>3994</v>
      </c>
      <c r="F3659" t="s">
        <v>17</v>
      </c>
    </row>
    <row r="3660" spans="1:6" x14ac:dyDescent="0.3">
      <c r="A3660" t="s">
        <v>978</v>
      </c>
      <c r="B3660" t="s">
        <v>979</v>
      </c>
      <c r="C3660" t="str">
        <f>HYPERLINK("http://service.sap.com/sap/support/notes/2015826","2015826")</f>
        <v>2015826</v>
      </c>
      <c r="D3660">
        <v>1</v>
      </c>
      <c r="E3660" t="s">
        <v>3995</v>
      </c>
      <c r="F3660" t="s">
        <v>17</v>
      </c>
    </row>
    <row r="3661" spans="1:6" x14ac:dyDescent="0.3">
      <c r="A3661" t="s">
        <v>978</v>
      </c>
      <c r="B3661" t="s">
        <v>979</v>
      </c>
      <c r="C3661" t="str">
        <f>HYPERLINK("http://service.sap.com/sap/support/notes/2017548","2017548")</f>
        <v>2017548</v>
      </c>
      <c r="D3661">
        <v>4</v>
      </c>
      <c r="E3661" t="s">
        <v>3996</v>
      </c>
      <c r="F3661" t="s">
        <v>17</v>
      </c>
    </row>
    <row r="3662" spans="1:6" x14ac:dyDescent="0.3">
      <c r="A3662" t="s">
        <v>978</v>
      </c>
      <c r="B3662" t="s">
        <v>979</v>
      </c>
      <c r="C3662" t="str">
        <f>HYPERLINK("http://service.sap.com/sap/support/notes/2018116","2018116")</f>
        <v>2018116</v>
      </c>
      <c r="D3662">
        <v>2</v>
      </c>
      <c r="E3662" t="s">
        <v>3997</v>
      </c>
      <c r="F3662" t="s">
        <v>17</v>
      </c>
    </row>
    <row r="3663" spans="1:6" x14ac:dyDescent="0.3">
      <c r="A3663" t="s">
        <v>978</v>
      </c>
      <c r="B3663" t="s">
        <v>979</v>
      </c>
      <c r="C3663" t="str">
        <f>HYPERLINK("http://service.sap.com/sap/support/notes/2027543","2027543")</f>
        <v>2027543</v>
      </c>
      <c r="D3663">
        <v>1</v>
      </c>
      <c r="E3663" t="s">
        <v>3998</v>
      </c>
      <c r="F3663" t="s">
        <v>17</v>
      </c>
    </row>
    <row r="3664" spans="1:6" x14ac:dyDescent="0.3">
      <c r="A3664" t="s">
        <v>1012</v>
      </c>
      <c r="B3664" t="s">
        <v>631</v>
      </c>
      <c r="C3664" t="str">
        <f>HYPERLINK("http://service.sap.com/sap/support/notes/1461437","1461437")</f>
        <v>1461437</v>
      </c>
      <c r="D3664">
        <v>3</v>
      </c>
      <c r="E3664" t="s">
        <v>3999</v>
      </c>
      <c r="F3664" t="s">
        <v>13</v>
      </c>
    </row>
    <row r="3665" spans="1:6" x14ac:dyDescent="0.3">
      <c r="A3665" t="s">
        <v>1012</v>
      </c>
      <c r="B3665" t="s">
        <v>631</v>
      </c>
      <c r="C3665" t="str">
        <f>HYPERLINK("http://service.sap.com/sap/support/notes/1907012","1907012")</f>
        <v>1907012</v>
      </c>
      <c r="D3665">
        <v>5</v>
      </c>
      <c r="E3665" t="s">
        <v>4000</v>
      </c>
      <c r="F3665" t="s">
        <v>13</v>
      </c>
    </row>
    <row r="3666" spans="1:6" x14ac:dyDescent="0.3">
      <c r="A3666" t="s">
        <v>1012</v>
      </c>
      <c r="B3666" t="s">
        <v>631</v>
      </c>
      <c r="C3666" t="str">
        <f>HYPERLINK("http://service.sap.com/sap/support/notes/1956897","1956897")</f>
        <v>1956897</v>
      </c>
      <c r="D3666">
        <v>3</v>
      </c>
      <c r="E3666" t="s">
        <v>4001</v>
      </c>
      <c r="F3666" t="s">
        <v>17</v>
      </c>
    </row>
    <row r="3667" spans="1:6" x14ac:dyDescent="0.3">
      <c r="A3667" t="s">
        <v>1012</v>
      </c>
      <c r="B3667" t="s">
        <v>631</v>
      </c>
      <c r="C3667" t="str">
        <f>HYPERLINK("http://service.sap.com/sap/support/notes/1958109","1958109")</f>
        <v>1958109</v>
      </c>
      <c r="D3667">
        <v>4</v>
      </c>
      <c r="E3667" t="s">
        <v>4002</v>
      </c>
      <c r="F3667" t="s">
        <v>17</v>
      </c>
    </row>
    <row r="3668" spans="1:6" x14ac:dyDescent="0.3">
      <c r="A3668" t="s">
        <v>1012</v>
      </c>
      <c r="B3668" t="s">
        <v>631</v>
      </c>
      <c r="C3668" t="str">
        <f>HYPERLINK("http://service.sap.com/sap/support/notes/1971592","1971592")</f>
        <v>1971592</v>
      </c>
      <c r="D3668">
        <v>6</v>
      </c>
      <c r="E3668" t="s">
        <v>4003</v>
      </c>
      <c r="F3668" t="s">
        <v>17</v>
      </c>
    </row>
    <row r="3669" spans="1:6" x14ac:dyDescent="0.3">
      <c r="A3669" t="s">
        <v>1012</v>
      </c>
      <c r="B3669" t="s">
        <v>631</v>
      </c>
      <c r="C3669" t="str">
        <f>HYPERLINK("http://service.sap.com/sap/support/notes/1974298","1974298")</f>
        <v>1974298</v>
      </c>
      <c r="D3669">
        <v>2</v>
      </c>
      <c r="E3669" t="s">
        <v>4004</v>
      </c>
      <c r="F3669" t="s">
        <v>13</v>
      </c>
    </row>
    <row r="3670" spans="1:6" x14ac:dyDescent="0.3">
      <c r="A3670" t="s">
        <v>1012</v>
      </c>
      <c r="B3670" t="s">
        <v>631</v>
      </c>
      <c r="C3670" t="str">
        <f>HYPERLINK("http://service.sap.com/sap/support/notes/1979826","1979826")</f>
        <v>1979826</v>
      </c>
      <c r="D3670">
        <v>3</v>
      </c>
      <c r="E3670" t="s">
        <v>4005</v>
      </c>
      <c r="F3670" t="s">
        <v>17</v>
      </c>
    </row>
    <row r="3671" spans="1:6" x14ac:dyDescent="0.3">
      <c r="A3671" t="s">
        <v>1012</v>
      </c>
      <c r="B3671" t="s">
        <v>631</v>
      </c>
      <c r="C3671" t="str">
        <f>HYPERLINK("http://service.sap.com/sap/support/notes/1996564","1996564")</f>
        <v>1996564</v>
      </c>
      <c r="D3671">
        <v>4</v>
      </c>
      <c r="E3671" t="s">
        <v>4006</v>
      </c>
      <c r="F3671" t="s">
        <v>17</v>
      </c>
    </row>
    <row r="3672" spans="1:6" x14ac:dyDescent="0.3">
      <c r="A3672" t="s">
        <v>1012</v>
      </c>
      <c r="B3672" t="s">
        <v>631</v>
      </c>
      <c r="C3672" t="str">
        <f>HYPERLINK("http://service.sap.com/sap/support/notes/1997106","1997106")</f>
        <v>1997106</v>
      </c>
      <c r="D3672">
        <v>1</v>
      </c>
      <c r="E3672" t="s">
        <v>4007</v>
      </c>
      <c r="F3672" t="s">
        <v>17</v>
      </c>
    </row>
    <row r="3673" spans="1:6" x14ac:dyDescent="0.3">
      <c r="A3673" t="s">
        <v>1012</v>
      </c>
      <c r="B3673" t="s">
        <v>631</v>
      </c>
      <c r="C3673" t="str">
        <f>HYPERLINK("http://service.sap.com/sap/support/notes/1999620","1999620")</f>
        <v>1999620</v>
      </c>
      <c r="D3673">
        <v>3</v>
      </c>
      <c r="E3673" t="s">
        <v>4008</v>
      </c>
      <c r="F3673" t="s">
        <v>17</v>
      </c>
    </row>
    <row r="3674" spans="1:6" x14ac:dyDescent="0.3">
      <c r="A3674" t="s">
        <v>1012</v>
      </c>
      <c r="B3674" t="s">
        <v>631</v>
      </c>
      <c r="C3674" t="str">
        <f>HYPERLINK("http://service.sap.com/sap/support/notes/2002397","2002397")</f>
        <v>2002397</v>
      </c>
      <c r="D3674">
        <v>1</v>
      </c>
      <c r="E3674" t="s">
        <v>4009</v>
      </c>
      <c r="F3674" t="s">
        <v>17</v>
      </c>
    </row>
    <row r="3675" spans="1:6" x14ac:dyDescent="0.3">
      <c r="A3675" t="s">
        <v>1012</v>
      </c>
      <c r="B3675" t="s">
        <v>631</v>
      </c>
      <c r="C3675" t="str">
        <f>HYPERLINK("http://service.sap.com/sap/support/notes/2005429","2005429")</f>
        <v>2005429</v>
      </c>
      <c r="D3675">
        <v>2</v>
      </c>
      <c r="E3675" t="s">
        <v>4010</v>
      </c>
      <c r="F3675" t="s">
        <v>17</v>
      </c>
    </row>
    <row r="3676" spans="1:6" x14ac:dyDescent="0.3">
      <c r="A3676" t="s">
        <v>1012</v>
      </c>
      <c r="B3676" t="s">
        <v>631</v>
      </c>
      <c r="C3676" t="str">
        <f>HYPERLINK("http://service.sap.com/sap/support/notes/2007898","2007898")</f>
        <v>2007898</v>
      </c>
      <c r="D3676">
        <v>2</v>
      </c>
      <c r="E3676" t="s">
        <v>2261</v>
      </c>
      <c r="F3676" t="s">
        <v>17</v>
      </c>
    </row>
    <row r="3677" spans="1:6" x14ac:dyDescent="0.3">
      <c r="A3677" t="s">
        <v>1012</v>
      </c>
      <c r="B3677" t="s">
        <v>631</v>
      </c>
      <c r="C3677" t="str">
        <f>HYPERLINK("http://service.sap.com/sap/support/notes/2010816","2010816")</f>
        <v>2010816</v>
      </c>
      <c r="D3677">
        <v>1</v>
      </c>
      <c r="E3677" t="s">
        <v>4011</v>
      </c>
      <c r="F3677" t="s">
        <v>17</v>
      </c>
    </row>
    <row r="3678" spans="1:6" x14ac:dyDescent="0.3">
      <c r="A3678" t="s">
        <v>1012</v>
      </c>
      <c r="B3678" t="s">
        <v>631</v>
      </c>
      <c r="C3678" t="str">
        <f>HYPERLINK("http://service.sap.com/sap/support/notes/2010896","2010896")</f>
        <v>2010896</v>
      </c>
      <c r="D3678">
        <v>2</v>
      </c>
      <c r="E3678" t="s">
        <v>4012</v>
      </c>
      <c r="F3678" t="s">
        <v>17</v>
      </c>
    </row>
    <row r="3679" spans="1:6" x14ac:dyDescent="0.3">
      <c r="A3679" t="s">
        <v>1012</v>
      </c>
      <c r="B3679" t="s">
        <v>631</v>
      </c>
      <c r="C3679" t="str">
        <f>HYPERLINK("http://service.sap.com/sap/support/notes/2013031","2013031")</f>
        <v>2013031</v>
      </c>
      <c r="D3679">
        <v>5</v>
      </c>
      <c r="E3679" t="s">
        <v>4013</v>
      </c>
      <c r="F3679" t="s">
        <v>17</v>
      </c>
    </row>
    <row r="3680" spans="1:6" x14ac:dyDescent="0.3">
      <c r="A3680" t="s">
        <v>1012</v>
      </c>
      <c r="B3680" t="s">
        <v>631</v>
      </c>
      <c r="C3680" t="str">
        <f>HYPERLINK("http://service.sap.com/sap/support/notes/2013592","2013592")</f>
        <v>2013592</v>
      </c>
      <c r="D3680">
        <v>1</v>
      </c>
      <c r="E3680" t="s">
        <v>4014</v>
      </c>
      <c r="F3680" t="s">
        <v>17</v>
      </c>
    </row>
    <row r="3681" spans="1:6" x14ac:dyDescent="0.3">
      <c r="A3681" t="s">
        <v>1012</v>
      </c>
      <c r="B3681" t="s">
        <v>631</v>
      </c>
      <c r="C3681" t="str">
        <f>HYPERLINK("http://service.sap.com/sap/support/notes/2014955","2014955")</f>
        <v>2014955</v>
      </c>
      <c r="D3681">
        <v>1</v>
      </c>
      <c r="E3681" t="s">
        <v>4015</v>
      </c>
      <c r="F3681" t="s">
        <v>17</v>
      </c>
    </row>
    <row r="3682" spans="1:6" x14ac:dyDescent="0.3">
      <c r="A3682" t="s">
        <v>1012</v>
      </c>
      <c r="B3682" t="s">
        <v>631</v>
      </c>
      <c r="C3682" t="str">
        <f>HYPERLINK("http://service.sap.com/sap/support/notes/2016604","2016604")</f>
        <v>2016604</v>
      </c>
      <c r="D3682">
        <v>1</v>
      </c>
      <c r="E3682" t="s">
        <v>4016</v>
      </c>
      <c r="F3682" t="s">
        <v>17</v>
      </c>
    </row>
    <row r="3683" spans="1:6" x14ac:dyDescent="0.3">
      <c r="A3683" t="s">
        <v>1012</v>
      </c>
      <c r="B3683" t="s">
        <v>631</v>
      </c>
      <c r="C3683" t="str">
        <f>HYPERLINK("http://service.sap.com/sap/support/notes/2018339","2018339")</f>
        <v>2018339</v>
      </c>
      <c r="D3683">
        <v>1</v>
      </c>
      <c r="E3683" t="s">
        <v>4017</v>
      </c>
      <c r="F3683" t="s">
        <v>11</v>
      </c>
    </row>
    <row r="3684" spans="1:6" x14ac:dyDescent="0.3">
      <c r="A3684" t="s">
        <v>1012</v>
      </c>
      <c r="B3684" t="s">
        <v>631</v>
      </c>
      <c r="C3684" t="str">
        <f>HYPERLINK("http://service.sap.com/sap/support/notes/2021458","2021458")</f>
        <v>2021458</v>
      </c>
      <c r="D3684">
        <v>1</v>
      </c>
      <c r="E3684" t="s">
        <v>4018</v>
      </c>
      <c r="F3684" t="s">
        <v>17</v>
      </c>
    </row>
    <row r="3685" spans="1:6" x14ac:dyDescent="0.3">
      <c r="A3685" t="s">
        <v>1072</v>
      </c>
      <c r="B3685" t="s">
        <v>1073</v>
      </c>
      <c r="C3685" t="str">
        <f>HYPERLINK("http://service.sap.com/sap/support/notes/2014651","2014651")</f>
        <v>2014651</v>
      </c>
      <c r="D3685">
        <v>1</v>
      </c>
      <c r="E3685" t="s">
        <v>4019</v>
      </c>
      <c r="F3685" t="s">
        <v>17</v>
      </c>
    </row>
    <row r="3686" spans="1:6" x14ac:dyDescent="0.3">
      <c r="A3686" t="s">
        <v>1077</v>
      </c>
      <c r="B3686" t="s">
        <v>635</v>
      </c>
      <c r="C3686" t="str">
        <f>HYPERLINK("http://service.sap.com/sap/support/notes/1996988","1996988")</f>
        <v>1996988</v>
      </c>
      <c r="D3686">
        <v>1</v>
      </c>
      <c r="E3686" t="s">
        <v>4020</v>
      </c>
      <c r="F3686" t="s">
        <v>17</v>
      </c>
    </row>
    <row r="3687" spans="1:6" x14ac:dyDescent="0.3">
      <c r="A3687" t="s">
        <v>1077</v>
      </c>
      <c r="B3687" t="s">
        <v>635</v>
      </c>
      <c r="C3687" t="str">
        <f>HYPERLINK("http://service.sap.com/sap/support/notes/1997047","1997047")</f>
        <v>1997047</v>
      </c>
      <c r="D3687">
        <v>4</v>
      </c>
      <c r="E3687" t="s">
        <v>4021</v>
      </c>
      <c r="F3687" t="s">
        <v>94</v>
      </c>
    </row>
    <row r="3688" spans="1:6" x14ac:dyDescent="0.3">
      <c r="A3688" t="s">
        <v>1077</v>
      </c>
      <c r="B3688" t="s">
        <v>635</v>
      </c>
      <c r="C3688" t="str">
        <f>HYPERLINK("http://service.sap.com/sap/support/notes/1997778","1997778")</f>
        <v>1997778</v>
      </c>
      <c r="D3688">
        <v>1</v>
      </c>
      <c r="E3688" t="s">
        <v>4022</v>
      </c>
      <c r="F3688" t="s">
        <v>17</v>
      </c>
    </row>
    <row r="3689" spans="1:6" x14ac:dyDescent="0.3">
      <c r="A3689" t="s">
        <v>1077</v>
      </c>
      <c r="B3689" t="s">
        <v>635</v>
      </c>
      <c r="C3689" t="str">
        <f>HYPERLINK("http://service.sap.com/sap/support/notes/1998155","1998155")</f>
        <v>1998155</v>
      </c>
      <c r="D3689">
        <v>2</v>
      </c>
      <c r="E3689" t="s">
        <v>4023</v>
      </c>
      <c r="F3689" t="s">
        <v>17</v>
      </c>
    </row>
    <row r="3690" spans="1:6" x14ac:dyDescent="0.3">
      <c r="A3690" t="s">
        <v>1077</v>
      </c>
      <c r="B3690" t="s">
        <v>635</v>
      </c>
      <c r="C3690" t="str">
        <f>HYPERLINK("http://service.sap.com/sap/support/notes/2000111","2000111")</f>
        <v>2000111</v>
      </c>
      <c r="D3690">
        <v>8</v>
      </c>
      <c r="E3690" t="s">
        <v>4024</v>
      </c>
      <c r="F3690" t="s">
        <v>94</v>
      </c>
    </row>
    <row r="3691" spans="1:6" x14ac:dyDescent="0.3">
      <c r="A3691" t="s">
        <v>1077</v>
      </c>
      <c r="B3691" t="s">
        <v>635</v>
      </c>
      <c r="C3691" t="str">
        <f>HYPERLINK("http://service.sap.com/sap/support/notes/2007089","2007089")</f>
        <v>2007089</v>
      </c>
      <c r="D3691">
        <v>2</v>
      </c>
      <c r="E3691" t="s">
        <v>4025</v>
      </c>
      <c r="F3691" t="s">
        <v>17</v>
      </c>
    </row>
    <row r="3692" spans="1:6" x14ac:dyDescent="0.3">
      <c r="A3692" t="s">
        <v>1077</v>
      </c>
      <c r="B3692" t="s">
        <v>635</v>
      </c>
      <c r="C3692" t="str">
        <f>HYPERLINK("http://service.sap.com/sap/support/notes/2015309","2015309")</f>
        <v>2015309</v>
      </c>
      <c r="D3692">
        <v>2</v>
      </c>
      <c r="E3692" t="s">
        <v>4026</v>
      </c>
      <c r="F3692" t="s">
        <v>17</v>
      </c>
    </row>
    <row r="3693" spans="1:6" x14ac:dyDescent="0.3">
      <c r="A3693" t="s">
        <v>1077</v>
      </c>
      <c r="B3693" t="s">
        <v>635</v>
      </c>
      <c r="C3693" t="str">
        <f>HYPERLINK("http://service.sap.com/sap/support/notes/2017400","2017400")</f>
        <v>2017400</v>
      </c>
      <c r="D3693">
        <v>4</v>
      </c>
      <c r="E3693" t="s">
        <v>4027</v>
      </c>
      <c r="F3693" t="s">
        <v>94</v>
      </c>
    </row>
    <row r="3694" spans="1:6" x14ac:dyDescent="0.3">
      <c r="A3694" t="s">
        <v>1077</v>
      </c>
      <c r="B3694" t="s">
        <v>635</v>
      </c>
      <c r="C3694" t="str">
        <f>HYPERLINK("http://service.sap.com/sap/support/notes/2020817","2020817")</f>
        <v>2020817</v>
      </c>
      <c r="D3694">
        <v>1</v>
      </c>
      <c r="E3694" t="s">
        <v>4028</v>
      </c>
      <c r="F3694" t="s">
        <v>17</v>
      </c>
    </row>
    <row r="3695" spans="1:6" x14ac:dyDescent="0.3">
      <c r="A3695" t="s">
        <v>1077</v>
      </c>
      <c r="B3695" t="s">
        <v>635</v>
      </c>
      <c r="C3695" t="str">
        <f>HYPERLINK("http://service.sap.com/sap/support/notes/2022269","2022269")</f>
        <v>2022269</v>
      </c>
      <c r="D3695">
        <v>2</v>
      </c>
      <c r="E3695" t="s">
        <v>4029</v>
      </c>
      <c r="F3695" t="s">
        <v>17</v>
      </c>
    </row>
    <row r="3696" spans="1:6" x14ac:dyDescent="0.3">
      <c r="A3696" t="s">
        <v>1077</v>
      </c>
      <c r="B3696" t="s">
        <v>635</v>
      </c>
      <c r="C3696" t="str">
        <f>HYPERLINK("http://service.sap.com/sap/support/notes/2024193","2024193")</f>
        <v>2024193</v>
      </c>
      <c r="D3696">
        <v>4</v>
      </c>
      <c r="E3696" t="s">
        <v>4030</v>
      </c>
      <c r="F3696" t="s">
        <v>94</v>
      </c>
    </row>
    <row r="3697" spans="1:6" x14ac:dyDescent="0.3">
      <c r="A3697" t="s">
        <v>1077</v>
      </c>
      <c r="B3697" t="s">
        <v>635</v>
      </c>
      <c r="C3697" t="str">
        <f>HYPERLINK("http://service.sap.com/sap/support/notes/2024202","2024202")</f>
        <v>2024202</v>
      </c>
      <c r="D3697">
        <v>1</v>
      </c>
      <c r="E3697" t="s">
        <v>4031</v>
      </c>
      <c r="F3697" t="s">
        <v>17</v>
      </c>
    </row>
    <row r="3698" spans="1:6" x14ac:dyDescent="0.3">
      <c r="A3698" t="s">
        <v>1085</v>
      </c>
      <c r="B3698" t="s">
        <v>646</v>
      </c>
      <c r="C3698" t="str">
        <f>HYPERLINK("http://service.sap.com/sap/support/notes/2000159","2000159")</f>
        <v>2000159</v>
      </c>
      <c r="D3698">
        <v>2</v>
      </c>
      <c r="E3698" t="s">
        <v>4032</v>
      </c>
      <c r="F3698" t="s">
        <v>17</v>
      </c>
    </row>
    <row r="3699" spans="1:6" x14ac:dyDescent="0.3">
      <c r="A3699" t="s">
        <v>1085</v>
      </c>
      <c r="B3699" t="s">
        <v>646</v>
      </c>
      <c r="C3699" t="str">
        <f>HYPERLINK("http://service.sap.com/sap/support/notes/2018462","2018462")</f>
        <v>2018462</v>
      </c>
      <c r="D3699">
        <v>1</v>
      </c>
      <c r="E3699" t="s">
        <v>4033</v>
      </c>
      <c r="F3699" t="s">
        <v>17</v>
      </c>
    </row>
    <row r="3700" spans="1:6" x14ac:dyDescent="0.3">
      <c r="A3700" t="s">
        <v>1089</v>
      </c>
      <c r="B3700" t="s">
        <v>138</v>
      </c>
      <c r="C3700" t="str">
        <f>HYPERLINK("http://service.sap.com/sap/support/notes/1992135","1992135")</f>
        <v>1992135</v>
      </c>
      <c r="D3700">
        <v>1</v>
      </c>
      <c r="E3700" t="s">
        <v>4034</v>
      </c>
      <c r="F3700" t="s">
        <v>17</v>
      </c>
    </row>
    <row r="3701" spans="1:6" x14ac:dyDescent="0.3">
      <c r="A3701" t="s">
        <v>2284</v>
      </c>
      <c r="B3701" t="s">
        <v>2285</v>
      </c>
      <c r="C3701" t="str">
        <f>HYPERLINK("http://service.sap.com/sap/support/notes/1830126","1830126")</f>
        <v>1830126</v>
      </c>
      <c r="D3701">
        <v>2</v>
      </c>
      <c r="E3701" t="s">
        <v>4035</v>
      </c>
      <c r="F3701" t="s">
        <v>94</v>
      </c>
    </row>
    <row r="3702" spans="1:6" x14ac:dyDescent="0.3">
      <c r="A3702" t="s">
        <v>2284</v>
      </c>
      <c r="B3702" t="s">
        <v>2285</v>
      </c>
      <c r="C3702" t="str">
        <f>HYPERLINK("http://service.sap.com/sap/support/notes/1993901","1993901")</f>
        <v>1993901</v>
      </c>
      <c r="D3702">
        <v>2</v>
      </c>
      <c r="E3702" t="s">
        <v>4036</v>
      </c>
      <c r="F3702" t="s">
        <v>17</v>
      </c>
    </row>
    <row r="3703" spans="1:6" x14ac:dyDescent="0.3">
      <c r="A3703" t="s">
        <v>2284</v>
      </c>
      <c r="B3703" t="s">
        <v>2285</v>
      </c>
      <c r="C3703" t="str">
        <f>HYPERLINK("http://service.sap.com/sap/support/notes/2000495","2000495")</f>
        <v>2000495</v>
      </c>
      <c r="D3703">
        <v>1</v>
      </c>
      <c r="E3703" t="s">
        <v>4037</v>
      </c>
      <c r="F3703" t="s">
        <v>17</v>
      </c>
    </row>
    <row r="3704" spans="1:6" x14ac:dyDescent="0.3">
      <c r="A3704" t="s">
        <v>1091</v>
      </c>
      <c r="B3704" t="s">
        <v>684</v>
      </c>
      <c r="C3704" t="str">
        <f>HYPERLINK("http://service.sap.com/sap/support/notes/2000573","2000573")</f>
        <v>2000573</v>
      </c>
      <c r="D3704">
        <v>2</v>
      </c>
      <c r="E3704" t="s">
        <v>4038</v>
      </c>
      <c r="F3704" t="s">
        <v>17</v>
      </c>
    </row>
    <row r="3705" spans="1:6" x14ac:dyDescent="0.3">
      <c r="A3705" t="s">
        <v>1091</v>
      </c>
      <c r="B3705" t="s">
        <v>684</v>
      </c>
      <c r="C3705" t="str">
        <f>HYPERLINK("http://service.sap.com/sap/support/notes/2010985","2010985")</f>
        <v>2010985</v>
      </c>
      <c r="D3705">
        <v>2</v>
      </c>
      <c r="E3705" t="s">
        <v>4039</v>
      </c>
      <c r="F3705" t="s">
        <v>17</v>
      </c>
    </row>
    <row r="3706" spans="1:6" x14ac:dyDescent="0.3">
      <c r="A3706" t="s">
        <v>1091</v>
      </c>
      <c r="B3706" t="s">
        <v>684</v>
      </c>
      <c r="C3706" t="str">
        <f>HYPERLINK("http://service.sap.com/sap/support/notes/2014001","2014001")</f>
        <v>2014001</v>
      </c>
      <c r="D3706">
        <v>1</v>
      </c>
      <c r="E3706" t="s">
        <v>4040</v>
      </c>
      <c r="F3706" t="s">
        <v>17</v>
      </c>
    </row>
    <row r="3707" spans="1:6" x14ac:dyDescent="0.3">
      <c r="A3707" t="s">
        <v>1091</v>
      </c>
      <c r="B3707" t="s">
        <v>684</v>
      </c>
      <c r="C3707" t="str">
        <f>HYPERLINK("http://service.sap.com/sap/support/notes/2017037","2017037")</f>
        <v>2017037</v>
      </c>
      <c r="D3707">
        <v>1</v>
      </c>
      <c r="E3707" t="s">
        <v>4041</v>
      </c>
      <c r="F3707" t="s">
        <v>17</v>
      </c>
    </row>
    <row r="3708" spans="1:6" x14ac:dyDescent="0.3">
      <c r="A3708" t="s">
        <v>1103</v>
      </c>
      <c r="B3708" t="s">
        <v>243</v>
      </c>
      <c r="C3708" t="str">
        <f>HYPERLINK("http://service.sap.com/sap/support/notes/1839660","1839660")</f>
        <v>1839660</v>
      </c>
      <c r="D3708">
        <v>3</v>
      </c>
      <c r="E3708" t="s">
        <v>4042</v>
      </c>
      <c r="F3708" t="s">
        <v>17</v>
      </c>
    </row>
    <row r="3709" spans="1:6" x14ac:dyDescent="0.3">
      <c r="A3709" t="s">
        <v>1103</v>
      </c>
      <c r="B3709" t="s">
        <v>243</v>
      </c>
      <c r="C3709" t="str">
        <f>HYPERLINK("http://service.sap.com/sap/support/notes/1888197","1888197")</f>
        <v>1888197</v>
      </c>
      <c r="D3709">
        <v>2</v>
      </c>
      <c r="E3709" t="s">
        <v>4043</v>
      </c>
      <c r="F3709" t="s">
        <v>17</v>
      </c>
    </row>
    <row r="3710" spans="1:6" x14ac:dyDescent="0.3">
      <c r="A3710" t="s">
        <v>1103</v>
      </c>
      <c r="B3710" t="s">
        <v>243</v>
      </c>
      <c r="C3710" t="str">
        <f>HYPERLINK("http://service.sap.com/sap/support/notes/1956829","1956829")</f>
        <v>1956829</v>
      </c>
      <c r="D3710">
        <v>10</v>
      </c>
      <c r="E3710" t="s">
        <v>3203</v>
      </c>
      <c r="F3710" t="s">
        <v>17</v>
      </c>
    </row>
    <row r="3711" spans="1:6" x14ac:dyDescent="0.3">
      <c r="A3711" t="s">
        <v>1103</v>
      </c>
      <c r="B3711" t="s">
        <v>243</v>
      </c>
      <c r="C3711" t="str">
        <f>HYPERLINK("http://service.sap.com/sap/support/notes/1963273","1963273")</f>
        <v>1963273</v>
      </c>
      <c r="D3711">
        <v>2</v>
      </c>
      <c r="E3711" t="s">
        <v>4044</v>
      </c>
      <c r="F3711" t="s">
        <v>17</v>
      </c>
    </row>
    <row r="3712" spans="1:6" x14ac:dyDescent="0.3">
      <c r="A3712" t="s">
        <v>1103</v>
      </c>
      <c r="B3712" t="s">
        <v>243</v>
      </c>
      <c r="C3712" t="str">
        <f>HYPERLINK("http://service.sap.com/sap/support/notes/1967047","1967047")</f>
        <v>1967047</v>
      </c>
      <c r="D3712">
        <v>6</v>
      </c>
      <c r="E3712" t="s">
        <v>4045</v>
      </c>
      <c r="F3712" t="s">
        <v>17</v>
      </c>
    </row>
    <row r="3713" spans="1:6" x14ac:dyDescent="0.3">
      <c r="A3713" t="s">
        <v>1103</v>
      </c>
      <c r="B3713" t="s">
        <v>243</v>
      </c>
      <c r="C3713" t="str">
        <f>HYPERLINK("http://service.sap.com/sap/support/notes/1974538","1974538")</f>
        <v>1974538</v>
      </c>
      <c r="D3713">
        <v>3</v>
      </c>
      <c r="E3713" t="s">
        <v>4046</v>
      </c>
      <c r="F3713" t="s">
        <v>17</v>
      </c>
    </row>
    <row r="3714" spans="1:6" x14ac:dyDescent="0.3">
      <c r="A3714" t="s">
        <v>1103</v>
      </c>
      <c r="B3714" t="s">
        <v>243</v>
      </c>
      <c r="C3714" t="str">
        <f>HYPERLINK("http://service.sap.com/sap/support/notes/1990292","1990292")</f>
        <v>1990292</v>
      </c>
      <c r="D3714">
        <v>2</v>
      </c>
      <c r="E3714" t="s">
        <v>4047</v>
      </c>
      <c r="F3714" t="s">
        <v>17</v>
      </c>
    </row>
    <row r="3715" spans="1:6" x14ac:dyDescent="0.3">
      <c r="A3715" t="s">
        <v>1103</v>
      </c>
      <c r="B3715" t="s">
        <v>243</v>
      </c>
      <c r="C3715" t="str">
        <f>HYPERLINK("http://service.sap.com/sap/support/notes/1992166","1992166")</f>
        <v>1992166</v>
      </c>
      <c r="D3715">
        <v>1</v>
      </c>
      <c r="E3715" t="s">
        <v>4048</v>
      </c>
      <c r="F3715" t="s">
        <v>17</v>
      </c>
    </row>
    <row r="3716" spans="1:6" x14ac:dyDescent="0.3">
      <c r="A3716" t="s">
        <v>1103</v>
      </c>
      <c r="B3716" t="s">
        <v>243</v>
      </c>
      <c r="C3716" t="str">
        <f>HYPERLINK("http://service.sap.com/sap/support/notes/1995820","1995820")</f>
        <v>1995820</v>
      </c>
      <c r="D3716">
        <v>1</v>
      </c>
      <c r="E3716" t="s">
        <v>4049</v>
      </c>
      <c r="F3716" t="s">
        <v>17</v>
      </c>
    </row>
    <row r="3717" spans="1:6" x14ac:dyDescent="0.3">
      <c r="A3717" t="s">
        <v>1103</v>
      </c>
      <c r="B3717" t="s">
        <v>243</v>
      </c>
      <c r="C3717" t="str">
        <f>HYPERLINK("http://service.sap.com/sap/support/notes/1996445","1996445")</f>
        <v>1996445</v>
      </c>
      <c r="D3717">
        <v>1</v>
      </c>
      <c r="E3717" t="s">
        <v>4050</v>
      </c>
      <c r="F3717" t="s">
        <v>17</v>
      </c>
    </row>
    <row r="3718" spans="1:6" x14ac:dyDescent="0.3">
      <c r="A3718" t="s">
        <v>1103</v>
      </c>
      <c r="B3718" t="s">
        <v>243</v>
      </c>
      <c r="C3718" t="str">
        <f>HYPERLINK("http://service.sap.com/sap/support/notes/1997461","1997461")</f>
        <v>1997461</v>
      </c>
      <c r="D3718">
        <v>2</v>
      </c>
      <c r="E3718" t="s">
        <v>4051</v>
      </c>
      <c r="F3718" t="s">
        <v>13</v>
      </c>
    </row>
    <row r="3719" spans="1:6" x14ac:dyDescent="0.3">
      <c r="A3719" t="s">
        <v>1103</v>
      </c>
      <c r="B3719" t="s">
        <v>243</v>
      </c>
      <c r="C3719" t="str">
        <f>HYPERLINK("http://service.sap.com/sap/support/notes/1999904","1999904")</f>
        <v>1999904</v>
      </c>
      <c r="D3719">
        <v>2</v>
      </c>
      <c r="E3719" t="s">
        <v>4052</v>
      </c>
      <c r="F3719" t="s">
        <v>17</v>
      </c>
    </row>
    <row r="3720" spans="1:6" x14ac:dyDescent="0.3">
      <c r="A3720" t="s">
        <v>1103</v>
      </c>
      <c r="B3720" t="s">
        <v>243</v>
      </c>
      <c r="C3720" t="str">
        <f>HYPERLINK("http://service.sap.com/sap/support/notes/2011125","2011125")</f>
        <v>2011125</v>
      </c>
      <c r="D3720">
        <v>1</v>
      </c>
      <c r="E3720" t="s">
        <v>4053</v>
      </c>
      <c r="F3720" t="s">
        <v>17</v>
      </c>
    </row>
    <row r="3721" spans="1:6" x14ac:dyDescent="0.3">
      <c r="A3721" t="s">
        <v>1103</v>
      </c>
      <c r="B3721" t="s">
        <v>243</v>
      </c>
      <c r="C3721" t="str">
        <f>HYPERLINK("http://service.sap.com/sap/support/notes/2017080","2017080")</f>
        <v>2017080</v>
      </c>
      <c r="D3721">
        <v>2</v>
      </c>
      <c r="E3721" t="s">
        <v>4054</v>
      </c>
      <c r="F3721" t="s">
        <v>17</v>
      </c>
    </row>
    <row r="3722" spans="1:6" x14ac:dyDescent="0.3">
      <c r="A3722" t="s">
        <v>1103</v>
      </c>
      <c r="B3722" t="s">
        <v>243</v>
      </c>
      <c r="C3722" t="str">
        <f>HYPERLINK("http://service.sap.com/sap/support/notes/2024322","2024322")</f>
        <v>2024322</v>
      </c>
      <c r="D3722">
        <v>1</v>
      </c>
      <c r="E3722" t="s">
        <v>4055</v>
      </c>
      <c r="F3722" t="s">
        <v>17</v>
      </c>
    </row>
    <row r="3723" spans="1:6" x14ac:dyDescent="0.3">
      <c r="A3723" t="s">
        <v>1124</v>
      </c>
      <c r="B3723" t="s">
        <v>1125</v>
      </c>
    </row>
    <row r="3724" spans="1:6" x14ac:dyDescent="0.3">
      <c r="A3724" t="s">
        <v>1126</v>
      </c>
      <c r="B3724" t="s">
        <v>1127</v>
      </c>
      <c r="C3724" t="str">
        <f>HYPERLINK("http://service.sap.com/sap/support/notes/1755711","1755711")</f>
        <v>1755711</v>
      </c>
      <c r="D3724">
        <v>3</v>
      </c>
      <c r="E3724" t="s">
        <v>4056</v>
      </c>
      <c r="F3724" t="s">
        <v>17</v>
      </c>
    </row>
    <row r="3725" spans="1:6" x14ac:dyDescent="0.3">
      <c r="A3725" t="s">
        <v>1126</v>
      </c>
      <c r="B3725" t="s">
        <v>1127</v>
      </c>
      <c r="C3725" t="str">
        <f>HYPERLINK("http://service.sap.com/sap/support/notes/1864481","1864481")</f>
        <v>1864481</v>
      </c>
      <c r="D3725">
        <v>3</v>
      </c>
      <c r="E3725" t="s">
        <v>4057</v>
      </c>
      <c r="F3725" t="s">
        <v>11</v>
      </c>
    </row>
    <row r="3726" spans="1:6" x14ac:dyDescent="0.3">
      <c r="A3726" t="s">
        <v>1126</v>
      </c>
      <c r="B3726" t="s">
        <v>1127</v>
      </c>
      <c r="C3726" t="str">
        <f>HYPERLINK("http://service.sap.com/sap/support/notes/1979460","1979460")</f>
        <v>1979460</v>
      </c>
      <c r="D3726">
        <v>1</v>
      </c>
      <c r="E3726" t="s">
        <v>4058</v>
      </c>
      <c r="F3726" t="s">
        <v>17</v>
      </c>
    </row>
    <row r="3727" spans="1:6" x14ac:dyDescent="0.3">
      <c r="A3727" t="s">
        <v>1129</v>
      </c>
      <c r="B3727" t="s">
        <v>1130</v>
      </c>
      <c r="C3727" t="str">
        <f>HYPERLINK("http://service.sap.com/sap/support/notes/1864587","1864587")</f>
        <v>1864587</v>
      </c>
      <c r="D3727">
        <v>5</v>
      </c>
      <c r="E3727" t="s">
        <v>4059</v>
      </c>
      <c r="F3727" t="s">
        <v>11</v>
      </c>
    </row>
    <row r="3728" spans="1:6" x14ac:dyDescent="0.3">
      <c r="A3728" t="s">
        <v>1129</v>
      </c>
      <c r="B3728" t="s">
        <v>1130</v>
      </c>
      <c r="C3728" t="str">
        <f>HYPERLINK("http://service.sap.com/sap/support/notes/2006565","2006565")</f>
        <v>2006565</v>
      </c>
      <c r="D3728">
        <v>1</v>
      </c>
      <c r="E3728" t="s">
        <v>4060</v>
      </c>
      <c r="F3728" t="s">
        <v>17</v>
      </c>
    </row>
    <row r="3729" spans="1:6" x14ac:dyDescent="0.3">
      <c r="A3729" t="s">
        <v>1137</v>
      </c>
      <c r="B3729" t="s">
        <v>1138</v>
      </c>
      <c r="C3729" t="str">
        <f>HYPERLINK("http://service.sap.com/sap/support/notes/1973715","1973715")</f>
        <v>1973715</v>
      </c>
      <c r="D3729">
        <v>2</v>
      </c>
      <c r="E3729" t="s">
        <v>4061</v>
      </c>
      <c r="F3729" t="s">
        <v>17</v>
      </c>
    </row>
    <row r="3730" spans="1:6" x14ac:dyDescent="0.3">
      <c r="A3730" t="s">
        <v>1143</v>
      </c>
      <c r="B3730" t="s">
        <v>1130</v>
      </c>
      <c r="C3730" t="str">
        <f>HYPERLINK("http://service.sap.com/sap/support/notes/2011705","2011705")</f>
        <v>2011705</v>
      </c>
      <c r="D3730">
        <v>2</v>
      </c>
      <c r="E3730" t="s">
        <v>4062</v>
      </c>
      <c r="F3730" t="s">
        <v>17</v>
      </c>
    </row>
    <row r="3731" spans="1:6" x14ac:dyDescent="0.3">
      <c r="A3731" t="s">
        <v>1143</v>
      </c>
      <c r="B3731" t="s">
        <v>1130</v>
      </c>
      <c r="C3731" t="str">
        <f>HYPERLINK("http://service.sap.com/sap/support/notes/2013173","2013173")</f>
        <v>2013173</v>
      </c>
      <c r="D3731">
        <v>2</v>
      </c>
      <c r="E3731" t="s">
        <v>4063</v>
      </c>
      <c r="F3731" t="s">
        <v>17</v>
      </c>
    </row>
    <row r="3732" spans="1:6" x14ac:dyDescent="0.3">
      <c r="A3732" t="s">
        <v>1143</v>
      </c>
      <c r="B3732" t="s">
        <v>1130</v>
      </c>
      <c r="C3732" t="str">
        <f>HYPERLINK("http://service.sap.com/sap/support/notes/2014156","2014156")</f>
        <v>2014156</v>
      </c>
      <c r="D3732">
        <v>1</v>
      </c>
      <c r="E3732" t="s">
        <v>4064</v>
      </c>
      <c r="F3732" t="s">
        <v>17</v>
      </c>
    </row>
    <row r="3733" spans="1:6" x14ac:dyDescent="0.3">
      <c r="A3733" t="s">
        <v>1143</v>
      </c>
      <c r="B3733" t="s">
        <v>1130</v>
      </c>
      <c r="C3733" t="str">
        <f>HYPERLINK("http://service.sap.com/sap/support/notes/2015638","2015638")</f>
        <v>2015638</v>
      </c>
      <c r="D3733">
        <v>3</v>
      </c>
      <c r="E3733" t="s">
        <v>4065</v>
      </c>
      <c r="F3733" t="s">
        <v>17</v>
      </c>
    </row>
    <row r="3734" spans="1:6" x14ac:dyDescent="0.3">
      <c r="A3734" t="s">
        <v>1143</v>
      </c>
      <c r="B3734" t="s">
        <v>1130</v>
      </c>
      <c r="C3734" t="str">
        <f>HYPERLINK("http://service.sap.com/sap/support/notes/2017149","2017149")</f>
        <v>2017149</v>
      </c>
      <c r="D3734">
        <v>2</v>
      </c>
      <c r="E3734" t="s">
        <v>4066</v>
      </c>
      <c r="F3734" t="s">
        <v>17</v>
      </c>
    </row>
    <row r="3735" spans="1:6" x14ac:dyDescent="0.3">
      <c r="A3735" t="s">
        <v>1143</v>
      </c>
      <c r="B3735" t="s">
        <v>1130</v>
      </c>
      <c r="C3735" t="str">
        <f>HYPERLINK("http://service.sap.com/sap/support/notes/2017983","2017983")</f>
        <v>2017983</v>
      </c>
      <c r="D3735">
        <v>1</v>
      </c>
      <c r="E3735" t="s">
        <v>4067</v>
      </c>
      <c r="F3735" t="s">
        <v>17</v>
      </c>
    </row>
    <row r="3736" spans="1:6" x14ac:dyDescent="0.3">
      <c r="A3736" t="s">
        <v>1148</v>
      </c>
      <c r="B3736" t="s">
        <v>1130</v>
      </c>
      <c r="C3736" t="str">
        <f>HYPERLINK("http://service.sap.com/sap/support/notes/1975633","1975633")</f>
        <v>1975633</v>
      </c>
      <c r="D3736">
        <v>6</v>
      </c>
      <c r="E3736" t="s">
        <v>4068</v>
      </c>
      <c r="F3736" t="s">
        <v>17</v>
      </c>
    </row>
    <row r="3737" spans="1:6" x14ac:dyDescent="0.3">
      <c r="A3737" t="s">
        <v>1148</v>
      </c>
      <c r="B3737" t="s">
        <v>1130</v>
      </c>
      <c r="C3737" t="str">
        <f>HYPERLINK("http://service.sap.com/sap/support/notes/1987207","1987207")</f>
        <v>1987207</v>
      </c>
      <c r="D3737">
        <v>4</v>
      </c>
      <c r="E3737" t="s">
        <v>4069</v>
      </c>
      <c r="F3737" t="s">
        <v>17</v>
      </c>
    </row>
    <row r="3738" spans="1:6" x14ac:dyDescent="0.3">
      <c r="A3738" t="s">
        <v>1148</v>
      </c>
      <c r="B3738" t="s">
        <v>1130</v>
      </c>
      <c r="C3738" t="str">
        <f>HYPERLINK("http://service.sap.com/sap/support/notes/1987684","1987684")</f>
        <v>1987684</v>
      </c>
      <c r="D3738">
        <v>5</v>
      </c>
      <c r="E3738" t="s">
        <v>4070</v>
      </c>
      <c r="F3738" t="s">
        <v>17</v>
      </c>
    </row>
    <row r="3739" spans="1:6" x14ac:dyDescent="0.3">
      <c r="A3739" t="s">
        <v>1148</v>
      </c>
      <c r="B3739" t="s">
        <v>1130</v>
      </c>
      <c r="C3739" t="str">
        <f>HYPERLINK("http://service.sap.com/sap/support/notes/1988777","1988777")</f>
        <v>1988777</v>
      </c>
      <c r="D3739">
        <v>4</v>
      </c>
      <c r="E3739" t="s">
        <v>4071</v>
      </c>
      <c r="F3739" t="s">
        <v>17</v>
      </c>
    </row>
    <row r="3740" spans="1:6" x14ac:dyDescent="0.3">
      <c r="A3740" t="s">
        <v>1148</v>
      </c>
      <c r="B3740" t="s">
        <v>1130</v>
      </c>
      <c r="C3740" t="str">
        <f>HYPERLINK("http://service.sap.com/sap/support/notes/2002242","2002242")</f>
        <v>2002242</v>
      </c>
      <c r="D3740">
        <v>2</v>
      </c>
      <c r="E3740" t="s">
        <v>4072</v>
      </c>
      <c r="F3740" t="s">
        <v>17</v>
      </c>
    </row>
    <row r="3741" spans="1:6" x14ac:dyDescent="0.3">
      <c r="A3741" t="s">
        <v>1148</v>
      </c>
      <c r="B3741" t="s">
        <v>1130</v>
      </c>
      <c r="C3741" t="str">
        <f>HYPERLINK("http://service.sap.com/sap/support/notes/2005825","2005825")</f>
        <v>2005825</v>
      </c>
      <c r="D3741">
        <v>2</v>
      </c>
      <c r="E3741" t="s">
        <v>4073</v>
      </c>
      <c r="F3741" t="s">
        <v>17</v>
      </c>
    </row>
    <row r="3742" spans="1:6" x14ac:dyDescent="0.3">
      <c r="A3742" t="s">
        <v>1148</v>
      </c>
      <c r="B3742" t="s">
        <v>1130</v>
      </c>
      <c r="C3742" t="str">
        <f>HYPERLINK("http://service.sap.com/sap/support/notes/2009162","2009162")</f>
        <v>2009162</v>
      </c>
      <c r="D3742">
        <v>4</v>
      </c>
      <c r="E3742" t="s">
        <v>4074</v>
      </c>
      <c r="F3742" t="s">
        <v>17</v>
      </c>
    </row>
    <row r="3743" spans="1:6" x14ac:dyDescent="0.3">
      <c r="A3743" t="s">
        <v>1159</v>
      </c>
      <c r="B3743" t="s">
        <v>1130</v>
      </c>
      <c r="C3743" t="str">
        <f>HYPERLINK("http://service.sap.com/sap/support/notes/1873064","1873064")</f>
        <v>1873064</v>
      </c>
      <c r="D3743">
        <v>4</v>
      </c>
      <c r="E3743" t="s">
        <v>4075</v>
      </c>
      <c r="F3743" t="s">
        <v>11</v>
      </c>
    </row>
    <row r="3744" spans="1:6" x14ac:dyDescent="0.3">
      <c r="A3744" t="s">
        <v>1159</v>
      </c>
      <c r="B3744" t="s">
        <v>1130</v>
      </c>
      <c r="C3744" t="str">
        <f>HYPERLINK("http://service.sap.com/sap/support/notes/2019645","2019645")</f>
        <v>2019645</v>
      </c>
      <c r="D3744">
        <v>1</v>
      </c>
      <c r="E3744" t="s">
        <v>4076</v>
      </c>
      <c r="F3744" t="s">
        <v>17</v>
      </c>
    </row>
    <row r="3745" spans="1:6" x14ac:dyDescent="0.3">
      <c r="A3745" t="s">
        <v>1161</v>
      </c>
      <c r="B3745" t="s">
        <v>2307</v>
      </c>
    </row>
    <row r="3746" spans="1:6" x14ac:dyDescent="0.3">
      <c r="A3746" t="s">
        <v>1164</v>
      </c>
      <c r="B3746" t="s">
        <v>243</v>
      </c>
    </row>
    <row r="3747" spans="1:6" x14ac:dyDescent="0.3">
      <c r="A3747" t="s">
        <v>1165</v>
      </c>
      <c r="B3747" t="s">
        <v>1166</v>
      </c>
      <c r="C3747" t="str">
        <f>HYPERLINK("http://service.sap.com/sap/support/notes/1998075","1998075")</f>
        <v>1998075</v>
      </c>
      <c r="D3747">
        <v>1</v>
      </c>
      <c r="E3747" t="s">
        <v>4077</v>
      </c>
      <c r="F3747" t="s">
        <v>17</v>
      </c>
    </row>
    <row r="3748" spans="1:6" x14ac:dyDescent="0.3">
      <c r="A3748" t="s">
        <v>1165</v>
      </c>
      <c r="B3748" t="s">
        <v>1166</v>
      </c>
      <c r="C3748" t="str">
        <f>HYPERLINK("http://service.sap.com/sap/support/notes/2026865","2026865")</f>
        <v>2026865</v>
      </c>
      <c r="D3748">
        <v>1</v>
      </c>
      <c r="E3748" t="s">
        <v>4078</v>
      </c>
      <c r="F3748" t="s">
        <v>17</v>
      </c>
    </row>
    <row r="3749" spans="1:6" x14ac:dyDescent="0.3">
      <c r="A3749" t="s">
        <v>1176</v>
      </c>
      <c r="B3749" t="s">
        <v>346</v>
      </c>
      <c r="C3749" t="str">
        <f>HYPERLINK("http://service.sap.com/sap/support/notes/1996422","1996422")</f>
        <v>1996422</v>
      </c>
      <c r="D3749">
        <v>1</v>
      </c>
      <c r="E3749" t="s">
        <v>4079</v>
      </c>
      <c r="F3749" t="s">
        <v>17</v>
      </c>
    </row>
    <row r="3750" spans="1:6" x14ac:dyDescent="0.3">
      <c r="A3750" t="s">
        <v>1178</v>
      </c>
      <c r="B3750" t="s">
        <v>909</v>
      </c>
      <c r="C3750" t="str">
        <f>HYPERLINK("http://service.sap.com/sap/support/notes/2016682","2016682")</f>
        <v>2016682</v>
      </c>
      <c r="D3750">
        <v>3</v>
      </c>
      <c r="E3750" t="s">
        <v>4080</v>
      </c>
      <c r="F3750" t="s">
        <v>17</v>
      </c>
    </row>
    <row r="3751" spans="1:6" x14ac:dyDescent="0.3">
      <c r="A3751" t="s">
        <v>1184</v>
      </c>
      <c r="B3751" t="s">
        <v>1185</v>
      </c>
      <c r="C3751" t="str">
        <f>HYPERLINK("http://service.sap.com/sap/support/notes/844198","844198")</f>
        <v>844198</v>
      </c>
      <c r="D3751">
        <v>4</v>
      </c>
      <c r="E3751" t="s">
        <v>4081</v>
      </c>
      <c r="F3751" t="s">
        <v>17</v>
      </c>
    </row>
    <row r="3752" spans="1:6" x14ac:dyDescent="0.3">
      <c r="A3752" t="s">
        <v>1184</v>
      </c>
      <c r="B3752" t="s">
        <v>1185</v>
      </c>
      <c r="C3752" t="str">
        <f>HYPERLINK("http://service.sap.com/sap/support/notes/1993062","1993062")</f>
        <v>1993062</v>
      </c>
      <c r="D3752">
        <v>1</v>
      </c>
      <c r="E3752" t="s">
        <v>4082</v>
      </c>
      <c r="F3752" t="s">
        <v>17</v>
      </c>
    </row>
    <row r="3753" spans="1:6" x14ac:dyDescent="0.3">
      <c r="A3753" t="s">
        <v>4083</v>
      </c>
      <c r="B3753" t="s">
        <v>4084</v>
      </c>
      <c r="C3753" t="str">
        <f>HYPERLINK("http://service.sap.com/sap/support/notes/2006863","2006863")</f>
        <v>2006863</v>
      </c>
      <c r="D3753">
        <v>2</v>
      </c>
      <c r="E3753" t="s">
        <v>4085</v>
      </c>
      <c r="F3753" t="s">
        <v>17</v>
      </c>
    </row>
    <row r="3754" spans="1:6" x14ac:dyDescent="0.3">
      <c r="A3754" t="s">
        <v>1189</v>
      </c>
      <c r="B3754" t="s">
        <v>153</v>
      </c>
      <c r="C3754" t="str">
        <f>HYPERLINK("http://service.sap.com/sap/support/notes/1921863","1921863")</f>
        <v>1921863</v>
      </c>
      <c r="D3754">
        <v>2</v>
      </c>
      <c r="E3754" t="s">
        <v>4086</v>
      </c>
      <c r="F3754" t="s">
        <v>17</v>
      </c>
    </row>
    <row r="3755" spans="1:6" x14ac:dyDescent="0.3">
      <c r="A3755" t="s">
        <v>1189</v>
      </c>
      <c r="B3755" t="s">
        <v>153</v>
      </c>
      <c r="C3755" t="str">
        <f>HYPERLINK("http://service.sap.com/sap/support/notes/1961810","1961810")</f>
        <v>1961810</v>
      </c>
      <c r="D3755">
        <v>2</v>
      </c>
      <c r="E3755" t="s">
        <v>4087</v>
      </c>
      <c r="F3755" t="s">
        <v>17</v>
      </c>
    </row>
    <row r="3756" spans="1:6" x14ac:dyDescent="0.3">
      <c r="A3756" t="s">
        <v>1189</v>
      </c>
      <c r="B3756" t="s">
        <v>153</v>
      </c>
      <c r="C3756" t="str">
        <f>HYPERLINK("http://service.sap.com/sap/support/notes/1972871","1972871")</f>
        <v>1972871</v>
      </c>
      <c r="D3756">
        <v>2</v>
      </c>
      <c r="E3756" t="s">
        <v>4088</v>
      </c>
      <c r="F3756" t="s">
        <v>17</v>
      </c>
    </row>
    <row r="3757" spans="1:6" x14ac:dyDescent="0.3">
      <c r="A3757" t="s">
        <v>1189</v>
      </c>
      <c r="B3757" t="s">
        <v>153</v>
      </c>
      <c r="C3757" t="str">
        <f>HYPERLINK("http://service.sap.com/sap/support/notes/1991022","1991022")</f>
        <v>1991022</v>
      </c>
      <c r="D3757">
        <v>2</v>
      </c>
      <c r="E3757" t="s">
        <v>4089</v>
      </c>
      <c r="F3757" t="s">
        <v>17</v>
      </c>
    </row>
    <row r="3758" spans="1:6" x14ac:dyDescent="0.3">
      <c r="A3758" t="s">
        <v>1189</v>
      </c>
      <c r="B3758" t="s">
        <v>153</v>
      </c>
      <c r="C3758" t="str">
        <f>HYPERLINK("http://service.sap.com/sap/support/notes/1992235","1992235")</f>
        <v>1992235</v>
      </c>
      <c r="D3758">
        <v>1</v>
      </c>
      <c r="E3758" t="s">
        <v>1190</v>
      </c>
      <c r="F3758" t="s">
        <v>17</v>
      </c>
    </row>
    <row r="3759" spans="1:6" x14ac:dyDescent="0.3">
      <c r="A3759" t="s">
        <v>1189</v>
      </c>
      <c r="B3759" t="s">
        <v>153</v>
      </c>
      <c r="C3759" t="str">
        <f>HYPERLINK("http://service.sap.com/sap/support/notes/2008822","2008822")</f>
        <v>2008822</v>
      </c>
      <c r="D3759">
        <v>1</v>
      </c>
      <c r="E3759" t="s">
        <v>4090</v>
      </c>
      <c r="F3759" t="s">
        <v>17</v>
      </c>
    </row>
    <row r="3760" spans="1:6" x14ac:dyDescent="0.3">
      <c r="A3760" t="s">
        <v>1198</v>
      </c>
      <c r="B3760" t="s">
        <v>1199</v>
      </c>
      <c r="C3760" t="str">
        <f>HYPERLINK("http://service.sap.com/sap/support/notes/1992646","1992646")</f>
        <v>1992646</v>
      </c>
      <c r="D3760">
        <v>1</v>
      </c>
      <c r="E3760" t="s">
        <v>4091</v>
      </c>
      <c r="F3760" t="s">
        <v>17</v>
      </c>
    </row>
    <row r="3761" spans="1:6" x14ac:dyDescent="0.3">
      <c r="A3761" t="s">
        <v>1198</v>
      </c>
      <c r="B3761" t="s">
        <v>1199</v>
      </c>
      <c r="C3761" t="str">
        <f>HYPERLINK("http://service.sap.com/sap/support/notes/2016737","2016737")</f>
        <v>2016737</v>
      </c>
      <c r="D3761">
        <v>2</v>
      </c>
      <c r="E3761" t="s">
        <v>4092</v>
      </c>
      <c r="F3761" t="s">
        <v>17</v>
      </c>
    </row>
    <row r="3762" spans="1:6" x14ac:dyDescent="0.3">
      <c r="A3762" t="s">
        <v>4093</v>
      </c>
      <c r="B3762" t="s">
        <v>4094</v>
      </c>
      <c r="C3762" t="str">
        <f>HYPERLINK("http://service.sap.com/sap/support/notes/2006981","2006981")</f>
        <v>2006981</v>
      </c>
      <c r="D3762">
        <v>1</v>
      </c>
      <c r="E3762" t="s">
        <v>4095</v>
      </c>
      <c r="F3762" t="s">
        <v>11</v>
      </c>
    </row>
    <row r="3763" spans="1:6" x14ac:dyDescent="0.3">
      <c r="A3763" t="s">
        <v>4096</v>
      </c>
      <c r="B3763" t="s">
        <v>4097</v>
      </c>
    </row>
    <row r="3764" spans="1:6" x14ac:dyDescent="0.3">
      <c r="A3764" t="s">
        <v>4098</v>
      </c>
      <c r="B3764" t="s">
        <v>4099</v>
      </c>
      <c r="C3764" t="str">
        <f>HYPERLINK("http://service.sap.com/sap/support/notes/2026563","2026563")</f>
        <v>2026563</v>
      </c>
      <c r="D3764">
        <v>1</v>
      </c>
      <c r="E3764" t="s">
        <v>4100</v>
      </c>
      <c r="F3764" t="s">
        <v>17</v>
      </c>
    </row>
    <row r="3765" spans="1:6" x14ac:dyDescent="0.3">
      <c r="A3765" t="s">
        <v>1201</v>
      </c>
      <c r="B3765" t="s">
        <v>1202</v>
      </c>
    </row>
    <row r="3766" spans="1:6" x14ac:dyDescent="0.3">
      <c r="A3766" t="s">
        <v>1206</v>
      </c>
      <c r="B3766" t="s">
        <v>1207</v>
      </c>
    </row>
    <row r="3767" spans="1:6" x14ac:dyDescent="0.3">
      <c r="A3767" t="s">
        <v>1208</v>
      </c>
      <c r="B3767" t="s">
        <v>1209</v>
      </c>
    </row>
    <row r="3768" spans="1:6" x14ac:dyDescent="0.3">
      <c r="A3768" t="s">
        <v>1210</v>
      </c>
      <c r="B3768" t="s">
        <v>1211</v>
      </c>
      <c r="C3768" t="str">
        <f>HYPERLINK("http://service.sap.com/sap/support/notes/1949234","1949234")</f>
        <v>1949234</v>
      </c>
      <c r="D3768">
        <v>8</v>
      </c>
      <c r="E3768" t="s">
        <v>2329</v>
      </c>
      <c r="F3768" t="s">
        <v>11</v>
      </c>
    </row>
    <row r="3769" spans="1:6" x14ac:dyDescent="0.3">
      <c r="A3769" t="s">
        <v>1210</v>
      </c>
      <c r="B3769" t="s">
        <v>1211</v>
      </c>
      <c r="C3769" t="str">
        <f>HYPERLINK("http://service.sap.com/sap/support/notes/1994561","1994561")</f>
        <v>1994561</v>
      </c>
      <c r="D3769">
        <v>2</v>
      </c>
      <c r="E3769" t="s">
        <v>4101</v>
      </c>
      <c r="F3769" t="s">
        <v>11</v>
      </c>
    </row>
    <row r="3770" spans="1:6" x14ac:dyDescent="0.3">
      <c r="A3770" t="s">
        <v>1210</v>
      </c>
      <c r="B3770" t="s">
        <v>1211</v>
      </c>
      <c r="C3770" t="str">
        <f>HYPERLINK("http://service.sap.com/sap/support/notes/2012868","2012868")</f>
        <v>2012868</v>
      </c>
      <c r="D3770">
        <v>3</v>
      </c>
      <c r="E3770" t="s">
        <v>4102</v>
      </c>
      <c r="F3770" t="s">
        <v>11</v>
      </c>
    </row>
    <row r="3771" spans="1:6" x14ac:dyDescent="0.3">
      <c r="A3771" t="s">
        <v>1225</v>
      </c>
      <c r="B3771" t="s">
        <v>1226</v>
      </c>
      <c r="C3771" t="str">
        <f>HYPERLINK("http://service.sap.com/sap/support/notes/1964920","1964920")</f>
        <v>1964920</v>
      </c>
      <c r="D3771">
        <v>6</v>
      </c>
      <c r="E3771" t="s">
        <v>4103</v>
      </c>
      <c r="F3771" t="s">
        <v>17</v>
      </c>
    </row>
    <row r="3772" spans="1:6" x14ac:dyDescent="0.3">
      <c r="A3772" t="s">
        <v>1225</v>
      </c>
      <c r="B3772" t="s">
        <v>1226</v>
      </c>
      <c r="C3772" t="str">
        <f>HYPERLINK("http://service.sap.com/sap/support/notes/1981717","1981717")</f>
        <v>1981717</v>
      </c>
      <c r="D3772">
        <v>3</v>
      </c>
      <c r="E3772" t="s">
        <v>4104</v>
      </c>
      <c r="F3772" t="s">
        <v>17</v>
      </c>
    </row>
    <row r="3773" spans="1:6" x14ac:dyDescent="0.3">
      <c r="A3773" t="s">
        <v>1225</v>
      </c>
      <c r="B3773" t="s">
        <v>1226</v>
      </c>
      <c r="C3773" t="str">
        <f>HYPERLINK("http://service.sap.com/sap/support/notes/1994602","1994602")</f>
        <v>1994602</v>
      </c>
      <c r="D3773">
        <v>3</v>
      </c>
      <c r="E3773" t="s">
        <v>4105</v>
      </c>
      <c r="F3773" t="s">
        <v>17</v>
      </c>
    </row>
    <row r="3774" spans="1:6" x14ac:dyDescent="0.3">
      <c r="A3774" t="s">
        <v>1225</v>
      </c>
      <c r="B3774" t="s">
        <v>1226</v>
      </c>
      <c r="C3774" t="str">
        <f>HYPERLINK("http://service.sap.com/sap/support/notes/1997772","1997772")</f>
        <v>1997772</v>
      </c>
      <c r="D3774">
        <v>1</v>
      </c>
      <c r="E3774" t="s">
        <v>4106</v>
      </c>
      <c r="F3774" t="s">
        <v>17</v>
      </c>
    </row>
    <row r="3775" spans="1:6" x14ac:dyDescent="0.3">
      <c r="A3775" t="s">
        <v>1225</v>
      </c>
      <c r="B3775" t="s">
        <v>1226</v>
      </c>
      <c r="C3775" t="str">
        <f>HYPERLINK("http://service.sap.com/sap/support/notes/1999340","1999340")</f>
        <v>1999340</v>
      </c>
      <c r="D3775">
        <v>2</v>
      </c>
      <c r="E3775" t="s">
        <v>4107</v>
      </c>
      <c r="F3775" t="s">
        <v>17</v>
      </c>
    </row>
    <row r="3776" spans="1:6" x14ac:dyDescent="0.3">
      <c r="A3776" t="s">
        <v>1225</v>
      </c>
      <c r="B3776" t="s">
        <v>1226</v>
      </c>
      <c r="C3776" t="str">
        <f>HYPERLINK("http://service.sap.com/sap/support/notes/2005252","2005252")</f>
        <v>2005252</v>
      </c>
      <c r="D3776">
        <v>1</v>
      </c>
      <c r="E3776" t="s">
        <v>4108</v>
      </c>
      <c r="F3776" t="s">
        <v>17</v>
      </c>
    </row>
    <row r="3777" spans="1:6" x14ac:dyDescent="0.3">
      <c r="A3777" t="s">
        <v>1225</v>
      </c>
      <c r="B3777" t="s">
        <v>1226</v>
      </c>
      <c r="C3777" t="str">
        <f>HYPERLINK("http://service.sap.com/sap/support/notes/2006256","2006256")</f>
        <v>2006256</v>
      </c>
      <c r="D3777">
        <v>2</v>
      </c>
      <c r="E3777" t="s">
        <v>4109</v>
      </c>
      <c r="F3777" t="s">
        <v>17</v>
      </c>
    </row>
    <row r="3778" spans="1:6" x14ac:dyDescent="0.3">
      <c r="A3778" t="s">
        <v>1225</v>
      </c>
      <c r="B3778" t="s">
        <v>1226</v>
      </c>
      <c r="C3778" t="str">
        <f>HYPERLINK("http://service.sap.com/sap/support/notes/2012204","2012204")</f>
        <v>2012204</v>
      </c>
      <c r="D3778">
        <v>1</v>
      </c>
      <c r="E3778" t="s">
        <v>4110</v>
      </c>
      <c r="F3778" t="s">
        <v>17</v>
      </c>
    </row>
    <row r="3779" spans="1:6" x14ac:dyDescent="0.3">
      <c r="A3779" t="s">
        <v>1225</v>
      </c>
      <c r="B3779" t="s">
        <v>1226</v>
      </c>
      <c r="C3779" t="str">
        <f>HYPERLINK("http://service.sap.com/sap/support/notes/2028671","2028671")</f>
        <v>2028671</v>
      </c>
      <c r="D3779">
        <v>1</v>
      </c>
      <c r="E3779" t="s">
        <v>4111</v>
      </c>
      <c r="F3779" t="s">
        <v>17</v>
      </c>
    </row>
    <row r="3780" spans="1:6" x14ac:dyDescent="0.3">
      <c r="A3780" t="s">
        <v>1241</v>
      </c>
      <c r="B3780" t="s">
        <v>1242</v>
      </c>
      <c r="C3780" t="str">
        <f>HYPERLINK("http://service.sap.com/sap/support/notes/2007130","2007130")</f>
        <v>2007130</v>
      </c>
      <c r="D3780">
        <v>1</v>
      </c>
      <c r="E3780" t="s">
        <v>4112</v>
      </c>
      <c r="F3780" t="s">
        <v>17</v>
      </c>
    </row>
    <row r="3781" spans="1:6" x14ac:dyDescent="0.3">
      <c r="A3781" t="s">
        <v>1241</v>
      </c>
      <c r="B3781" t="s">
        <v>1242</v>
      </c>
      <c r="C3781" t="str">
        <f>HYPERLINK("http://service.sap.com/sap/support/notes/2007144","2007144")</f>
        <v>2007144</v>
      </c>
      <c r="D3781">
        <v>1</v>
      </c>
      <c r="E3781" t="s">
        <v>4113</v>
      </c>
      <c r="F3781" t="s">
        <v>17</v>
      </c>
    </row>
    <row r="3782" spans="1:6" x14ac:dyDescent="0.3">
      <c r="A3782" t="s">
        <v>1244</v>
      </c>
      <c r="B3782" t="s">
        <v>346</v>
      </c>
      <c r="C3782" t="str">
        <f>HYPERLINK("http://service.sap.com/sap/support/notes/2008913","2008913")</f>
        <v>2008913</v>
      </c>
      <c r="D3782">
        <v>1</v>
      </c>
      <c r="E3782" t="s">
        <v>4114</v>
      </c>
      <c r="F3782" t="s">
        <v>17</v>
      </c>
    </row>
    <row r="3783" spans="1:6" x14ac:dyDescent="0.3">
      <c r="A3783" t="s">
        <v>1250</v>
      </c>
      <c r="B3783" t="s">
        <v>1251</v>
      </c>
      <c r="C3783" t="str">
        <f>HYPERLINK("http://service.sap.com/sap/support/notes/1878789","1878789")</f>
        <v>1878789</v>
      </c>
      <c r="D3783">
        <v>2</v>
      </c>
      <c r="E3783" t="s">
        <v>4115</v>
      </c>
      <c r="F3783" t="s">
        <v>13</v>
      </c>
    </row>
    <row r="3784" spans="1:6" x14ac:dyDescent="0.3">
      <c r="A3784" t="s">
        <v>2345</v>
      </c>
      <c r="B3784" t="s">
        <v>761</v>
      </c>
      <c r="C3784" t="str">
        <f>HYPERLINK("http://service.sap.com/sap/support/notes/2005953","2005953")</f>
        <v>2005953</v>
      </c>
      <c r="D3784">
        <v>2</v>
      </c>
      <c r="E3784" t="s">
        <v>4116</v>
      </c>
      <c r="F3784" t="s">
        <v>17</v>
      </c>
    </row>
    <row r="3785" spans="1:6" x14ac:dyDescent="0.3">
      <c r="A3785" t="s">
        <v>2345</v>
      </c>
      <c r="B3785" t="s">
        <v>761</v>
      </c>
      <c r="C3785" t="str">
        <f>HYPERLINK("http://service.sap.com/sap/support/notes/2025734","2025734")</f>
        <v>2025734</v>
      </c>
      <c r="D3785">
        <v>3</v>
      </c>
      <c r="E3785" t="s">
        <v>4117</v>
      </c>
      <c r="F3785" t="s">
        <v>17</v>
      </c>
    </row>
    <row r="3786" spans="1:6" x14ac:dyDescent="0.3">
      <c r="A3786" t="s">
        <v>1260</v>
      </c>
      <c r="B3786" t="s">
        <v>1261</v>
      </c>
      <c r="C3786" t="str">
        <f>HYPERLINK("http://service.sap.com/sap/support/notes/1978557","1978557")</f>
        <v>1978557</v>
      </c>
      <c r="D3786">
        <v>2</v>
      </c>
      <c r="E3786" t="s">
        <v>4118</v>
      </c>
      <c r="F3786" t="s">
        <v>11</v>
      </c>
    </row>
    <row r="3787" spans="1:6" x14ac:dyDescent="0.3">
      <c r="A3787" t="s">
        <v>1270</v>
      </c>
      <c r="B3787" t="s">
        <v>1271</v>
      </c>
      <c r="C3787" t="str">
        <f>HYPERLINK("http://service.sap.com/sap/support/notes/1812507","1812507")</f>
        <v>1812507</v>
      </c>
      <c r="D3787">
        <v>2</v>
      </c>
      <c r="E3787" t="s">
        <v>4119</v>
      </c>
      <c r="F3787" t="s">
        <v>13</v>
      </c>
    </row>
    <row r="3788" spans="1:6" x14ac:dyDescent="0.3">
      <c r="A3788" t="s">
        <v>1270</v>
      </c>
      <c r="B3788" t="s">
        <v>1271</v>
      </c>
      <c r="C3788" t="str">
        <f>HYPERLINK("http://service.sap.com/sap/support/notes/1866802","1866802")</f>
        <v>1866802</v>
      </c>
      <c r="D3788">
        <v>2</v>
      </c>
      <c r="E3788" t="s">
        <v>4120</v>
      </c>
      <c r="F3788" t="s">
        <v>17</v>
      </c>
    </row>
    <row r="3789" spans="1:6" x14ac:dyDescent="0.3">
      <c r="A3789" t="s">
        <v>1270</v>
      </c>
      <c r="B3789" t="s">
        <v>1271</v>
      </c>
      <c r="C3789" t="str">
        <f>HYPERLINK("http://service.sap.com/sap/support/notes/1909642","1909642")</f>
        <v>1909642</v>
      </c>
      <c r="D3789">
        <v>2</v>
      </c>
      <c r="E3789" t="s">
        <v>4121</v>
      </c>
      <c r="F3789" t="s">
        <v>11</v>
      </c>
    </row>
    <row r="3790" spans="1:6" x14ac:dyDescent="0.3">
      <c r="A3790" t="s">
        <v>1270</v>
      </c>
      <c r="B3790" t="s">
        <v>1271</v>
      </c>
      <c r="C3790" t="str">
        <f>HYPERLINK("http://service.sap.com/sap/support/notes/1952911","1952911")</f>
        <v>1952911</v>
      </c>
      <c r="D3790">
        <v>2</v>
      </c>
      <c r="E3790" t="s">
        <v>4122</v>
      </c>
      <c r="F3790" t="s">
        <v>17</v>
      </c>
    </row>
    <row r="3791" spans="1:6" x14ac:dyDescent="0.3">
      <c r="A3791" t="s">
        <v>1270</v>
      </c>
      <c r="B3791" t="s">
        <v>1271</v>
      </c>
      <c r="C3791" t="str">
        <f>HYPERLINK("http://service.sap.com/sap/support/notes/1981403","1981403")</f>
        <v>1981403</v>
      </c>
      <c r="D3791">
        <v>2</v>
      </c>
      <c r="E3791" t="s">
        <v>4123</v>
      </c>
      <c r="F3791" t="s">
        <v>17</v>
      </c>
    </row>
    <row r="3792" spans="1:6" x14ac:dyDescent="0.3">
      <c r="A3792" t="s">
        <v>1270</v>
      </c>
      <c r="B3792" t="s">
        <v>1271</v>
      </c>
      <c r="C3792" t="str">
        <f>HYPERLINK("http://service.sap.com/sap/support/notes/2006588","2006588")</f>
        <v>2006588</v>
      </c>
      <c r="D3792">
        <v>1</v>
      </c>
      <c r="E3792" t="s">
        <v>4124</v>
      </c>
      <c r="F3792" t="s">
        <v>17</v>
      </c>
    </row>
    <row r="3793" spans="1:6" x14ac:dyDescent="0.3">
      <c r="A3793" t="s">
        <v>1270</v>
      </c>
      <c r="B3793" t="s">
        <v>1271</v>
      </c>
      <c r="C3793" t="str">
        <f>HYPERLINK("http://service.sap.com/sap/support/notes/2017023","2017023")</f>
        <v>2017023</v>
      </c>
      <c r="D3793">
        <v>4</v>
      </c>
      <c r="E3793" t="s">
        <v>4125</v>
      </c>
      <c r="F3793" t="s">
        <v>17</v>
      </c>
    </row>
    <row r="3794" spans="1:6" x14ac:dyDescent="0.3">
      <c r="A3794" t="s">
        <v>1270</v>
      </c>
      <c r="B3794" t="s">
        <v>1271</v>
      </c>
      <c r="C3794" t="str">
        <f>HYPERLINK("http://service.sap.com/sap/support/notes/2019255","2019255")</f>
        <v>2019255</v>
      </c>
      <c r="D3794">
        <v>2</v>
      </c>
      <c r="E3794" t="s">
        <v>4126</v>
      </c>
      <c r="F3794" t="s">
        <v>17</v>
      </c>
    </row>
    <row r="3795" spans="1:6" x14ac:dyDescent="0.3">
      <c r="A3795" t="s">
        <v>1270</v>
      </c>
      <c r="B3795" t="s">
        <v>1271</v>
      </c>
      <c r="C3795" t="str">
        <f>HYPERLINK("http://service.sap.com/sap/support/notes/2026021","2026021")</f>
        <v>2026021</v>
      </c>
      <c r="D3795">
        <v>3</v>
      </c>
      <c r="E3795" t="s">
        <v>4127</v>
      </c>
      <c r="F3795" t="s">
        <v>17</v>
      </c>
    </row>
    <row r="3796" spans="1:6" x14ac:dyDescent="0.3">
      <c r="A3796" t="s">
        <v>1288</v>
      </c>
      <c r="B3796" t="s">
        <v>1289</v>
      </c>
    </row>
    <row r="3797" spans="1:6" x14ac:dyDescent="0.3">
      <c r="A3797" t="s">
        <v>1290</v>
      </c>
      <c r="B3797" t="s">
        <v>1291</v>
      </c>
      <c r="C3797" t="str">
        <f>HYPERLINK("http://service.sap.com/sap/support/notes/2010371","2010371")</f>
        <v>2010371</v>
      </c>
      <c r="D3797">
        <v>2</v>
      </c>
      <c r="E3797" t="s">
        <v>4128</v>
      </c>
      <c r="F3797" t="s">
        <v>17</v>
      </c>
    </row>
    <row r="3798" spans="1:6" x14ac:dyDescent="0.3">
      <c r="A3798" t="s">
        <v>1293</v>
      </c>
      <c r="B3798" t="s">
        <v>1294</v>
      </c>
      <c r="C3798" t="str">
        <f>HYPERLINK("http://service.sap.com/sap/support/notes/1987498","1987498")</f>
        <v>1987498</v>
      </c>
      <c r="D3798">
        <v>1</v>
      </c>
      <c r="E3798" t="s">
        <v>4129</v>
      </c>
      <c r="F3798" t="s">
        <v>13</v>
      </c>
    </row>
    <row r="3799" spans="1:6" x14ac:dyDescent="0.3">
      <c r="A3799" t="s">
        <v>1300</v>
      </c>
      <c r="B3799" t="s">
        <v>1301</v>
      </c>
      <c r="C3799" t="str">
        <f>HYPERLINK("http://service.sap.com/sap/support/notes/1995772","1995772")</f>
        <v>1995772</v>
      </c>
      <c r="D3799">
        <v>2</v>
      </c>
      <c r="E3799" t="s">
        <v>4130</v>
      </c>
      <c r="F3799" t="s">
        <v>17</v>
      </c>
    </row>
    <row r="3800" spans="1:6" x14ac:dyDescent="0.3">
      <c r="A3800" t="s">
        <v>2364</v>
      </c>
      <c r="B3800" t="s">
        <v>243</v>
      </c>
      <c r="C3800" t="str">
        <f>HYPERLINK("http://service.sap.com/sap/support/notes/1978025","1978025")</f>
        <v>1978025</v>
      </c>
      <c r="D3800">
        <v>2</v>
      </c>
      <c r="E3800" t="s">
        <v>4131</v>
      </c>
      <c r="F3800" t="s">
        <v>17</v>
      </c>
    </row>
    <row r="3801" spans="1:6" x14ac:dyDescent="0.3">
      <c r="A3801" t="s">
        <v>1306</v>
      </c>
      <c r="B3801" t="s">
        <v>1307</v>
      </c>
    </row>
    <row r="3802" spans="1:6" x14ac:dyDescent="0.3">
      <c r="A3802" t="s">
        <v>1308</v>
      </c>
      <c r="B3802" t="s">
        <v>1309</v>
      </c>
    </row>
    <row r="3803" spans="1:6" x14ac:dyDescent="0.3">
      <c r="A3803" t="s">
        <v>4132</v>
      </c>
      <c r="B3803" t="s">
        <v>4133</v>
      </c>
      <c r="C3803" t="str">
        <f>HYPERLINK("http://service.sap.com/sap/support/notes/2011588","2011588")</f>
        <v>2011588</v>
      </c>
      <c r="D3803">
        <v>2</v>
      </c>
      <c r="E3803" t="s">
        <v>4134</v>
      </c>
      <c r="F3803" t="s">
        <v>17</v>
      </c>
    </row>
    <row r="3804" spans="1:6" x14ac:dyDescent="0.3">
      <c r="A3804" t="s">
        <v>1318</v>
      </c>
      <c r="B3804" t="s">
        <v>1319</v>
      </c>
    </row>
    <row r="3805" spans="1:6" x14ac:dyDescent="0.3">
      <c r="A3805" t="s">
        <v>4135</v>
      </c>
      <c r="B3805" t="s">
        <v>4136</v>
      </c>
    </row>
    <row r="3806" spans="1:6" x14ac:dyDescent="0.3">
      <c r="A3806" t="s">
        <v>4137</v>
      </c>
      <c r="B3806" t="s">
        <v>4138</v>
      </c>
    </row>
    <row r="3807" spans="1:6" x14ac:dyDescent="0.3">
      <c r="A3807" t="s">
        <v>4139</v>
      </c>
      <c r="B3807" t="s">
        <v>4140</v>
      </c>
      <c r="C3807" t="str">
        <f>HYPERLINK("http://service.sap.com/sap/support/notes/2007928","2007928")</f>
        <v>2007928</v>
      </c>
      <c r="D3807">
        <v>2</v>
      </c>
      <c r="E3807" t="s">
        <v>4141</v>
      </c>
      <c r="F3807" t="s">
        <v>17</v>
      </c>
    </row>
    <row r="3808" spans="1:6" x14ac:dyDescent="0.3">
      <c r="A3808" t="s">
        <v>4139</v>
      </c>
      <c r="B3808" t="s">
        <v>4140</v>
      </c>
      <c r="C3808" t="str">
        <f>HYPERLINK("http://service.sap.com/sap/support/notes/2020427","2020427")</f>
        <v>2020427</v>
      </c>
      <c r="D3808">
        <v>1</v>
      </c>
      <c r="E3808" t="s">
        <v>4142</v>
      </c>
      <c r="F3808" t="s">
        <v>17</v>
      </c>
    </row>
    <row r="3809" spans="1:6" x14ac:dyDescent="0.3">
      <c r="A3809" t="s">
        <v>1326</v>
      </c>
      <c r="B3809" t="s">
        <v>1327</v>
      </c>
    </row>
    <row r="3810" spans="1:6" x14ac:dyDescent="0.3">
      <c r="A3810" t="s">
        <v>1328</v>
      </c>
      <c r="B3810" t="s">
        <v>1329</v>
      </c>
    </row>
    <row r="3811" spans="1:6" x14ac:dyDescent="0.3">
      <c r="A3811" t="s">
        <v>1334</v>
      </c>
      <c r="B3811" t="s">
        <v>1335</v>
      </c>
      <c r="C3811" t="str">
        <f>HYPERLINK("http://service.sap.com/sap/support/notes/1985293","1985293")</f>
        <v>1985293</v>
      </c>
      <c r="D3811">
        <v>2</v>
      </c>
      <c r="E3811" t="s">
        <v>4143</v>
      </c>
      <c r="F3811" t="s">
        <v>17</v>
      </c>
    </row>
    <row r="3812" spans="1:6" x14ac:dyDescent="0.3">
      <c r="A3812" t="s">
        <v>1334</v>
      </c>
      <c r="B3812" t="s">
        <v>1335</v>
      </c>
      <c r="C3812" t="str">
        <f>HYPERLINK("http://service.sap.com/sap/support/notes/1988462","1988462")</f>
        <v>1988462</v>
      </c>
      <c r="D3812">
        <v>2</v>
      </c>
      <c r="E3812" t="s">
        <v>4144</v>
      </c>
      <c r="F3812" t="s">
        <v>17</v>
      </c>
    </row>
    <row r="3813" spans="1:6" x14ac:dyDescent="0.3">
      <c r="A3813" t="s">
        <v>1357</v>
      </c>
      <c r="B3813" t="s">
        <v>1358</v>
      </c>
    </row>
    <row r="3814" spans="1:6" x14ac:dyDescent="0.3">
      <c r="A3814" t="s">
        <v>4145</v>
      </c>
      <c r="B3814" t="s">
        <v>4146</v>
      </c>
    </row>
    <row r="3815" spans="1:6" x14ac:dyDescent="0.3">
      <c r="A3815" t="s">
        <v>4147</v>
      </c>
      <c r="B3815" t="s">
        <v>4148</v>
      </c>
      <c r="C3815" t="str">
        <f>HYPERLINK("http://service.sap.com/sap/support/notes/2026481","2026481")</f>
        <v>2026481</v>
      </c>
      <c r="D3815">
        <v>3</v>
      </c>
      <c r="E3815" t="s">
        <v>4149</v>
      </c>
      <c r="F3815" t="s">
        <v>17</v>
      </c>
    </row>
    <row r="3816" spans="1:6" x14ac:dyDescent="0.3">
      <c r="A3816" t="s">
        <v>1364</v>
      </c>
      <c r="B3816" t="s">
        <v>1365</v>
      </c>
    </row>
    <row r="3817" spans="1:6" x14ac:dyDescent="0.3">
      <c r="A3817" t="s">
        <v>2377</v>
      </c>
      <c r="B3817" t="s">
        <v>2378</v>
      </c>
    </row>
    <row r="3818" spans="1:6" x14ac:dyDescent="0.3">
      <c r="A3818" t="s">
        <v>2379</v>
      </c>
      <c r="B3818" t="s">
        <v>2380</v>
      </c>
      <c r="C3818" t="str">
        <f>HYPERLINK("http://service.sap.com/sap/support/notes/1592822","1592822")</f>
        <v>1592822</v>
      </c>
      <c r="D3818">
        <v>3</v>
      </c>
      <c r="E3818" t="s">
        <v>4150</v>
      </c>
      <c r="F3818" t="s">
        <v>17</v>
      </c>
    </row>
    <row r="3819" spans="1:6" x14ac:dyDescent="0.3">
      <c r="A3819" t="s">
        <v>1375</v>
      </c>
      <c r="B3819" t="s">
        <v>1376</v>
      </c>
    </row>
    <row r="3820" spans="1:6" x14ac:dyDescent="0.3">
      <c r="A3820" t="s">
        <v>1380</v>
      </c>
      <c r="B3820" t="s">
        <v>2389</v>
      </c>
      <c r="C3820" t="str">
        <f>HYPERLINK("http://service.sap.com/sap/support/notes/1990324","1990324")</f>
        <v>1990324</v>
      </c>
      <c r="D3820">
        <v>8</v>
      </c>
      <c r="E3820" t="s">
        <v>4151</v>
      </c>
      <c r="F3820" t="s">
        <v>17</v>
      </c>
    </row>
    <row r="3821" spans="1:6" x14ac:dyDescent="0.3">
      <c r="A3821" t="s">
        <v>1380</v>
      </c>
      <c r="B3821" t="s">
        <v>2389</v>
      </c>
      <c r="C3821" t="str">
        <f>HYPERLINK("http://service.sap.com/sap/support/notes/1995986","1995986")</f>
        <v>1995986</v>
      </c>
      <c r="D3821">
        <v>4</v>
      </c>
      <c r="E3821" t="s">
        <v>4152</v>
      </c>
      <c r="F3821" t="s">
        <v>17</v>
      </c>
    </row>
    <row r="3822" spans="1:6" x14ac:dyDescent="0.3">
      <c r="A3822" t="s">
        <v>1380</v>
      </c>
      <c r="B3822" t="s">
        <v>2389</v>
      </c>
      <c r="C3822" t="str">
        <f>HYPERLINK("http://service.sap.com/sap/support/notes/1996554","1996554")</f>
        <v>1996554</v>
      </c>
      <c r="D3822">
        <v>1</v>
      </c>
      <c r="E3822" t="s">
        <v>4153</v>
      </c>
      <c r="F3822" t="s">
        <v>17</v>
      </c>
    </row>
    <row r="3823" spans="1:6" x14ac:dyDescent="0.3">
      <c r="A3823" t="s">
        <v>1380</v>
      </c>
      <c r="B3823" t="s">
        <v>2389</v>
      </c>
      <c r="C3823" t="str">
        <f>HYPERLINK("http://service.sap.com/sap/support/notes/1996560","1996560")</f>
        <v>1996560</v>
      </c>
      <c r="D3823">
        <v>2</v>
      </c>
      <c r="E3823" t="s">
        <v>4154</v>
      </c>
      <c r="F3823" t="s">
        <v>17</v>
      </c>
    </row>
    <row r="3824" spans="1:6" x14ac:dyDescent="0.3">
      <c r="A3824" t="s">
        <v>1380</v>
      </c>
      <c r="B3824" t="s">
        <v>2389</v>
      </c>
      <c r="C3824" t="str">
        <f>HYPERLINK("http://service.sap.com/sap/support/notes/2011414","2011414")</f>
        <v>2011414</v>
      </c>
      <c r="D3824">
        <v>1</v>
      </c>
      <c r="E3824" t="s">
        <v>4155</v>
      </c>
      <c r="F3824" t="s">
        <v>17</v>
      </c>
    </row>
    <row r="3825" spans="1:6" x14ac:dyDescent="0.3">
      <c r="A3825" t="s">
        <v>1380</v>
      </c>
      <c r="B3825" t="s">
        <v>2389</v>
      </c>
      <c r="C3825" t="str">
        <f>HYPERLINK("http://service.sap.com/sap/support/notes/2016234","2016234")</f>
        <v>2016234</v>
      </c>
      <c r="D3825">
        <v>2</v>
      </c>
      <c r="E3825" t="s">
        <v>4156</v>
      </c>
      <c r="F3825" t="s">
        <v>13</v>
      </c>
    </row>
    <row r="3826" spans="1:6" x14ac:dyDescent="0.3">
      <c r="A3826" t="s">
        <v>1380</v>
      </c>
      <c r="B3826" t="s">
        <v>2389</v>
      </c>
      <c r="C3826" t="str">
        <f>HYPERLINK("http://service.sap.com/sap/support/notes/2016235","2016235")</f>
        <v>2016235</v>
      </c>
      <c r="D3826">
        <v>2</v>
      </c>
      <c r="E3826" t="s">
        <v>4157</v>
      </c>
      <c r="F3826" t="s">
        <v>13</v>
      </c>
    </row>
    <row r="3827" spans="1:6" x14ac:dyDescent="0.3">
      <c r="A3827" t="s">
        <v>1385</v>
      </c>
      <c r="B3827" t="s">
        <v>845</v>
      </c>
      <c r="C3827" t="str">
        <f>HYPERLINK("http://service.sap.com/sap/support/notes/2026478","2026478")</f>
        <v>2026478</v>
      </c>
      <c r="D3827">
        <v>1</v>
      </c>
      <c r="E3827" t="s">
        <v>4158</v>
      </c>
      <c r="F3827" t="s">
        <v>17</v>
      </c>
    </row>
    <row r="3828" spans="1:6" x14ac:dyDescent="0.3">
      <c r="A3828" t="s">
        <v>1394</v>
      </c>
      <c r="B3828" t="s">
        <v>198</v>
      </c>
      <c r="C3828" t="str">
        <f>HYPERLINK("http://service.sap.com/sap/support/notes/2002600","2002600")</f>
        <v>2002600</v>
      </c>
      <c r="D3828">
        <v>4</v>
      </c>
      <c r="E3828" t="s">
        <v>4159</v>
      </c>
      <c r="F3828" t="s">
        <v>17</v>
      </c>
    </row>
    <row r="3829" spans="1:6" x14ac:dyDescent="0.3">
      <c r="A3829" t="s">
        <v>2396</v>
      </c>
      <c r="B3829" t="s">
        <v>138</v>
      </c>
      <c r="C3829" t="str">
        <f>HYPERLINK("http://service.sap.com/sap/support/notes/2014797","2014797")</f>
        <v>2014797</v>
      </c>
      <c r="D3829">
        <v>2</v>
      </c>
      <c r="E3829" t="s">
        <v>4160</v>
      </c>
      <c r="F3829" t="s">
        <v>17</v>
      </c>
    </row>
    <row r="3830" spans="1:6" x14ac:dyDescent="0.3">
      <c r="A3830" t="s">
        <v>1400</v>
      </c>
      <c r="B3830" t="s">
        <v>4161</v>
      </c>
      <c r="C3830" t="str">
        <f>HYPERLINK("http://service.sap.com/sap/support/notes/2005436","2005436")</f>
        <v>2005436</v>
      </c>
      <c r="D3830">
        <v>7</v>
      </c>
      <c r="E3830" t="s">
        <v>4162</v>
      </c>
      <c r="F3830" t="s">
        <v>17</v>
      </c>
    </row>
    <row r="3831" spans="1:6" x14ac:dyDescent="0.3">
      <c r="A3831" t="s">
        <v>1402</v>
      </c>
      <c r="B3831" t="s">
        <v>1403</v>
      </c>
    </row>
    <row r="3832" spans="1:6" x14ac:dyDescent="0.3">
      <c r="A3832" t="s">
        <v>1404</v>
      </c>
      <c r="B3832" t="s">
        <v>1405</v>
      </c>
      <c r="C3832" t="str">
        <f>HYPERLINK("http://service.sap.com/sap/support/notes/1975133","1975133")</f>
        <v>1975133</v>
      </c>
      <c r="D3832">
        <v>3</v>
      </c>
      <c r="E3832" t="s">
        <v>4163</v>
      </c>
      <c r="F3832" t="s">
        <v>17</v>
      </c>
    </row>
    <row r="3833" spans="1:6" x14ac:dyDescent="0.3">
      <c r="A3833" t="s">
        <v>1404</v>
      </c>
      <c r="B3833" t="s">
        <v>1405</v>
      </c>
      <c r="C3833" t="str">
        <f>HYPERLINK("http://service.sap.com/sap/support/notes/1979493","1979493")</f>
        <v>1979493</v>
      </c>
      <c r="D3833">
        <v>3</v>
      </c>
      <c r="E3833" t="s">
        <v>4164</v>
      </c>
      <c r="F3833" t="s">
        <v>17</v>
      </c>
    </row>
    <row r="3834" spans="1:6" x14ac:dyDescent="0.3">
      <c r="A3834" t="s">
        <v>1411</v>
      </c>
      <c r="B3834" t="s">
        <v>1412</v>
      </c>
      <c r="C3834" t="str">
        <f>HYPERLINK("http://service.sap.com/sap/support/notes/1643279","1643279")</f>
        <v>1643279</v>
      </c>
      <c r="D3834">
        <v>7</v>
      </c>
      <c r="E3834" t="s">
        <v>4165</v>
      </c>
      <c r="F3834" t="s">
        <v>11</v>
      </c>
    </row>
    <row r="3835" spans="1:6" x14ac:dyDescent="0.3">
      <c r="A3835" t="s">
        <v>1411</v>
      </c>
      <c r="B3835" t="s">
        <v>1412</v>
      </c>
      <c r="C3835" t="str">
        <f>HYPERLINK("http://service.sap.com/sap/support/notes/1987389","1987389")</f>
        <v>1987389</v>
      </c>
      <c r="D3835">
        <v>1</v>
      </c>
      <c r="E3835" t="s">
        <v>4166</v>
      </c>
      <c r="F3835" t="s">
        <v>11</v>
      </c>
    </row>
    <row r="3836" spans="1:6" x14ac:dyDescent="0.3">
      <c r="A3836" t="s">
        <v>1411</v>
      </c>
      <c r="B3836" t="s">
        <v>1412</v>
      </c>
      <c r="C3836" t="str">
        <f>HYPERLINK("http://service.sap.com/sap/support/notes/1987472","1987472")</f>
        <v>1987472</v>
      </c>
      <c r="D3836">
        <v>2</v>
      </c>
      <c r="E3836" t="s">
        <v>4167</v>
      </c>
      <c r="F3836" t="s">
        <v>11</v>
      </c>
    </row>
    <row r="3837" spans="1:6" x14ac:dyDescent="0.3">
      <c r="A3837" t="s">
        <v>1411</v>
      </c>
      <c r="B3837" t="s">
        <v>1412</v>
      </c>
      <c r="C3837" t="str">
        <f>HYPERLINK("http://service.sap.com/sap/support/notes/1992391","1992391")</f>
        <v>1992391</v>
      </c>
      <c r="D3837">
        <v>4</v>
      </c>
      <c r="E3837" t="s">
        <v>4168</v>
      </c>
      <c r="F3837" t="s">
        <v>11</v>
      </c>
    </row>
    <row r="3838" spans="1:6" x14ac:dyDescent="0.3">
      <c r="A3838" t="s">
        <v>1411</v>
      </c>
      <c r="B3838" t="s">
        <v>1412</v>
      </c>
      <c r="C3838" t="str">
        <f>HYPERLINK("http://service.sap.com/sap/support/notes/1992815","1992815")</f>
        <v>1992815</v>
      </c>
      <c r="D3838">
        <v>4</v>
      </c>
      <c r="E3838" t="s">
        <v>4169</v>
      </c>
      <c r="F3838" t="s">
        <v>11</v>
      </c>
    </row>
    <row r="3839" spans="1:6" x14ac:dyDescent="0.3">
      <c r="A3839" t="s">
        <v>1411</v>
      </c>
      <c r="B3839" t="s">
        <v>1412</v>
      </c>
      <c r="C3839" t="str">
        <f>HYPERLINK("http://service.sap.com/sap/support/notes/2008518","2008518")</f>
        <v>2008518</v>
      </c>
      <c r="D3839">
        <v>1</v>
      </c>
      <c r="E3839" t="s">
        <v>4170</v>
      </c>
      <c r="F3839" t="s">
        <v>17</v>
      </c>
    </row>
    <row r="3840" spans="1:6" x14ac:dyDescent="0.3">
      <c r="A3840" t="s">
        <v>1411</v>
      </c>
      <c r="B3840" t="s">
        <v>1412</v>
      </c>
      <c r="C3840" t="str">
        <f>HYPERLINK("http://service.sap.com/sap/support/notes/2017349","2017349")</f>
        <v>2017349</v>
      </c>
      <c r="D3840">
        <v>1</v>
      </c>
      <c r="E3840" t="s">
        <v>4171</v>
      </c>
      <c r="F3840" t="s">
        <v>17</v>
      </c>
    </row>
    <row r="3841" spans="1:6" x14ac:dyDescent="0.3">
      <c r="A3841" t="s">
        <v>1411</v>
      </c>
      <c r="B3841" t="s">
        <v>1412</v>
      </c>
      <c r="C3841" t="str">
        <f>HYPERLINK("http://service.sap.com/sap/support/notes/2019636","2019636")</f>
        <v>2019636</v>
      </c>
      <c r="D3841">
        <v>2</v>
      </c>
      <c r="E3841" t="s">
        <v>4172</v>
      </c>
      <c r="F3841" t="s">
        <v>17</v>
      </c>
    </row>
    <row r="3842" spans="1:6" x14ac:dyDescent="0.3">
      <c r="A3842" t="s">
        <v>1411</v>
      </c>
      <c r="B3842" t="s">
        <v>1412</v>
      </c>
      <c r="C3842" t="str">
        <f>HYPERLINK("http://service.sap.com/sap/support/notes/2025232","2025232")</f>
        <v>2025232</v>
      </c>
      <c r="D3842">
        <v>3</v>
      </c>
      <c r="E3842" t="s">
        <v>4173</v>
      </c>
      <c r="F3842" t="s">
        <v>11</v>
      </c>
    </row>
    <row r="3843" spans="1:6" x14ac:dyDescent="0.3">
      <c r="A3843" t="s">
        <v>1411</v>
      </c>
      <c r="B3843" t="s">
        <v>1412</v>
      </c>
      <c r="C3843" t="str">
        <f>HYPERLINK("http://service.sap.com/sap/support/notes/2025993","2025993")</f>
        <v>2025993</v>
      </c>
      <c r="D3843">
        <v>2</v>
      </c>
      <c r="E3843" t="s">
        <v>4174</v>
      </c>
      <c r="F3843" t="s">
        <v>17</v>
      </c>
    </row>
    <row r="3844" spans="1:6" x14ac:dyDescent="0.3">
      <c r="A3844" t="s">
        <v>1420</v>
      </c>
      <c r="B3844" t="s">
        <v>1421</v>
      </c>
    </row>
    <row r="3845" spans="1:6" x14ac:dyDescent="0.3">
      <c r="A3845" t="s">
        <v>1428</v>
      </c>
      <c r="B3845" t="s">
        <v>1429</v>
      </c>
      <c r="C3845" t="str">
        <f>HYPERLINK("http://service.sap.com/sap/support/notes/1479634","1479634")</f>
        <v>1479634</v>
      </c>
      <c r="D3845">
        <v>1</v>
      </c>
      <c r="E3845" t="s">
        <v>4175</v>
      </c>
      <c r="F3845" t="s">
        <v>13</v>
      </c>
    </row>
    <row r="3846" spans="1:6" x14ac:dyDescent="0.3">
      <c r="A3846" t="s">
        <v>4176</v>
      </c>
      <c r="B3846" t="s">
        <v>4177</v>
      </c>
      <c r="C3846" t="str">
        <f>HYPERLINK("http://service.sap.com/sap/support/notes/2016124","2016124")</f>
        <v>2016124</v>
      </c>
      <c r="D3846">
        <v>1</v>
      </c>
      <c r="E3846" t="s">
        <v>4178</v>
      </c>
      <c r="F3846" t="s">
        <v>17</v>
      </c>
    </row>
    <row r="3847" spans="1:6" x14ac:dyDescent="0.3">
      <c r="A3847" t="s">
        <v>4179</v>
      </c>
      <c r="B3847" t="s">
        <v>4180</v>
      </c>
    </row>
    <row r="3848" spans="1:6" x14ac:dyDescent="0.3">
      <c r="A3848" t="s">
        <v>4181</v>
      </c>
      <c r="B3848" t="s">
        <v>4182</v>
      </c>
    </row>
    <row r="3849" spans="1:6" x14ac:dyDescent="0.3">
      <c r="A3849" t="s">
        <v>4183</v>
      </c>
      <c r="B3849" t="s">
        <v>4184</v>
      </c>
      <c r="C3849" t="str">
        <f>HYPERLINK("http://service.sap.com/sap/support/notes/2012904","2012904")</f>
        <v>2012904</v>
      </c>
      <c r="D3849">
        <v>1</v>
      </c>
      <c r="E3849" t="s">
        <v>4185</v>
      </c>
      <c r="F3849" t="s">
        <v>94</v>
      </c>
    </row>
    <row r="3850" spans="1:6" x14ac:dyDescent="0.3">
      <c r="A3850" t="s">
        <v>4183</v>
      </c>
      <c r="B3850" t="s">
        <v>4184</v>
      </c>
      <c r="C3850" t="str">
        <f>HYPERLINK("http://service.sap.com/sap/support/notes/2025772","2025772")</f>
        <v>2025772</v>
      </c>
      <c r="D3850">
        <v>1</v>
      </c>
      <c r="E3850" t="s">
        <v>4186</v>
      </c>
      <c r="F3850" t="s">
        <v>17</v>
      </c>
    </row>
    <row r="3851" spans="1:6" x14ac:dyDescent="0.3">
      <c r="A3851" t="s">
        <v>1432</v>
      </c>
      <c r="B3851" t="s">
        <v>1433</v>
      </c>
    </row>
    <row r="3852" spans="1:6" x14ac:dyDescent="0.3">
      <c r="A3852" t="s">
        <v>4187</v>
      </c>
      <c r="B3852" t="s">
        <v>4188</v>
      </c>
      <c r="C3852" t="str">
        <f>HYPERLINK("http://service.sap.com/sap/support/notes/1818606","1818606")</f>
        <v>1818606</v>
      </c>
      <c r="D3852">
        <v>2</v>
      </c>
      <c r="E3852" t="s">
        <v>4189</v>
      </c>
      <c r="F3852" t="s">
        <v>17</v>
      </c>
    </row>
    <row r="3853" spans="1:6" x14ac:dyDescent="0.3">
      <c r="A3853" t="s">
        <v>1448</v>
      </c>
      <c r="B3853" t="s">
        <v>1449</v>
      </c>
      <c r="C3853" t="str">
        <f>HYPERLINK("http://service.sap.com/sap/support/notes/2016619","2016619")</f>
        <v>2016619</v>
      </c>
      <c r="D3853">
        <v>2</v>
      </c>
      <c r="E3853" t="s">
        <v>4190</v>
      </c>
      <c r="F3853" t="s">
        <v>17</v>
      </c>
    </row>
    <row r="3854" spans="1:6" x14ac:dyDescent="0.3">
      <c r="A3854" t="s">
        <v>4191</v>
      </c>
      <c r="B3854" t="s">
        <v>4192</v>
      </c>
    </row>
    <row r="3855" spans="1:6" x14ac:dyDescent="0.3">
      <c r="A3855" t="s">
        <v>4193</v>
      </c>
      <c r="B3855" t="s">
        <v>346</v>
      </c>
    </row>
    <row r="3856" spans="1:6" x14ac:dyDescent="0.3">
      <c r="A3856" t="s">
        <v>4194</v>
      </c>
      <c r="B3856" t="s">
        <v>761</v>
      </c>
      <c r="C3856" t="str">
        <f>HYPERLINK("http://service.sap.com/sap/support/notes/1978731","1978731")</f>
        <v>1978731</v>
      </c>
      <c r="D3856">
        <v>3</v>
      </c>
      <c r="E3856" t="s">
        <v>4195</v>
      </c>
      <c r="F3856" t="s">
        <v>17</v>
      </c>
    </row>
    <row r="3857" spans="1:6" x14ac:dyDescent="0.3">
      <c r="A3857" t="s">
        <v>1465</v>
      </c>
      <c r="B3857" t="s">
        <v>1466</v>
      </c>
    </row>
    <row r="3858" spans="1:6" x14ac:dyDescent="0.3">
      <c r="A3858" t="s">
        <v>1467</v>
      </c>
      <c r="B3858" t="s">
        <v>1468</v>
      </c>
    </row>
    <row r="3859" spans="1:6" x14ac:dyDescent="0.3">
      <c r="A3859" t="s">
        <v>1469</v>
      </c>
      <c r="B3859" t="s">
        <v>1470</v>
      </c>
    </row>
    <row r="3860" spans="1:6" x14ac:dyDescent="0.3">
      <c r="A3860" t="s">
        <v>2431</v>
      </c>
      <c r="B3860" t="s">
        <v>61</v>
      </c>
      <c r="C3860" t="str">
        <f>HYPERLINK("http://service.sap.com/sap/support/notes/1993767","1993767")</f>
        <v>1993767</v>
      </c>
      <c r="D3860">
        <v>2</v>
      </c>
      <c r="E3860" t="s">
        <v>4196</v>
      </c>
      <c r="F3860" t="s">
        <v>17</v>
      </c>
    </row>
    <row r="3861" spans="1:6" x14ac:dyDescent="0.3">
      <c r="A3861" t="s">
        <v>1483</v>
      </c>
      <c r="B3861" t="s">
        <v>1484</v>
      </c>
    </row>
    <row r="3862" spans="1:6" x14ac:dyDescent="0.3">
      <c r="A3862" t="s">
        <v>4197</v>
      </c>
      <c r="B3862" t="s">
        <v>4198</v>
      </c>
      <c r="C3862" t="str">
        <f>HYPERLINK("http://service.sap.com/sap/support/notes/2001401","2001401")</f>
        <v>2001401</v>
      </c>
      <c r="D3862">
        <v>3</v>
      </c>
      <c r="E3862" t="s">
        <v>4199</v>
      </c>
      <c r="F3862" t="s">
        <v>17</v>
      </c>
    </row>
    <row r="3863" spans="1:6" x14ac:dyDescent="0.3">
      <c r="A3863" t="s">
        <v>1494</v>
      </c>
      <c r="B3863" t="s">
        <v>1495</v>
      </c>
    </row>
    <row r="3864" spans="1:6" x14ac:dyDescent="0.3">
      <c r="A3864" t="s">
        <v>1496</v>
      </c>
      <c r="B3864" t="s">
        <v>61</v>
      </c>
      <c r="C3864" t="str">
        <f>HYPERLINK("http://service.sap.com/sap/support/notes/1993126","1993126")</f>
        <v>1993126</v>
      </c>
      <c r="D3864">
        <v>5</v>
      </c>
      <c r="E3864" t="s">
        <v>4200</v>
      </c>
      <c r="F3864" t="s">
        <v>17</v>
      </c>
    </row>
    <row r="3865" spans="1:6" x14ac:dyDescent="0.3">
      <c r="A3865" t="s">
        <v>1500</v>
      </c>
      <c r="B3865" t="s">
        <v>1501</v>
      </c>
    </row>
    <row r="3866" spans="1:6" x14ac:dyDescent="0.3">
      <c r="A3866" t="s">
        <v>1505</v>
      </c>
      <c r="B3866" t="s">
        <v>1506</v>
      </c>
      <c r="C3866" t="str">
        <f>HYPERLINK("http://service.sap.com/sap/support/notes/1986854","1986854")</f>
        <v>1986854</v>
      </c>
      <c r="D3866">
        <v>5</v>
      </c>
      <c r="E3866" t="s">
        <v>4201</v>
      </c>
      <c r="F3866" t="s">
        <v>17</v>
      </c>
    </row>
    <row r="3867" spans="1:6" x14ac:dyDescent="0.3">
      <c r="A3867" t="s">
        <v>1505</v>
      </c>
      <c r="B3867" t="s">
        <v>1506</v>
      </c>
      <c r="C3867" t="str">
        <f>HYPERLINK("http://service.sap.com/sap/support/notes/1992562","1992562")</f>
        <v>1992562</v>
      </c>
      <c r="D3867">
        <v>1</v>
      </c>
      <c r="E3867" t="s">
        <v>4202</v>
      </c>
      <c r="F3867" t="s">
        <v>17</v>
      </c>
    </row>
    <row r="3868" spans="1:6" x14ac:dyDescent="0.3">
      <c r="A3868" t="s">
        <v>1505</v>
      </c>
      <c r="B3868" t="s">
        <v>1506</v>
      </c>
      <c r="C3868" t="str">
        <f>HYPERLINK("http://service.sap.com/sap/support/notes/2000085","2000085")</f>
        <v>2000085</v>
      </c>
      <c r="D3868">
        <v>2</v>
      </c>
      <c r="E3868" t="s">
        <v>4203</v>
      </c>
      <c r="F3868" t="s">
        <v>17</v>
      </c>
    </row>
    <row r="3869" spans="1:6" x14ac:dyDescent="0.3">
      <c r="A3869" t="s">
        <v>1505</v>
      </c>
      <c r="B3869" t="s">
        <v>1506</v>
      </c>
      <c r="C3869" t="str">
        <f>HYPERLINK("http://service.sap.com/sap/support/notes/2002304","2002304")</f>
        <v>2002304</v>
      </c>
      <c r="D3869">
        <v>3</v>
      </c>
      <c r="E3869" t="s">
        <v>4204</v>
      </c>
      <c r="F3869" t="s">
        <v>17</v>
      </c>
    </row>
    <row r="3870" spans="1:6" x14ac:dyDescent="0.3">
      <c r="A3870" t="s">
        <v>1505</v>
      </c>
      <c r="B3870" t="s">
        <v>1506</v>
      </c>
      <c r="C3870" t="str">
        <f>HYPERLINK("http://service.sap.com/sap/support/notes/2007575","2007575")</f>
        <v>2007575</v>
      </c>
      <c r="D3870">
        <v>1</v>
      </c>
      <c r="E3870" t="s">
        <v>4205</v>
      </c>
      <c r="F3870" t="s">
        <v>11</v>
      </c>
    </row>
    <row r="3871" spans="1:6" x14ac:dyDescent="0.3">
      <c r="A3871" t="s">
        <v>1505</v>
      </c>
      <c r="B3871" t="s">
        <v>1506</v>
      </c>
      <c r="C3871" t="str">
        <f>HYPERLINK("http://service.sap.com/sap/support/notes/2013268","2013268")</f>
        <v>2013268</v>
      </c>
      <c r="D3871">
        <v>5</v>
      </c>
      <c r="E3871" t="s">
        <v>4206</v>
      </c>
      <c r="F3871" t="s">
        <v>17</v>
      </c>
    </row>
    <row r="3872" spans="1:6" x14ac:dyDescent="0.3">
      <c r="A3872" t="s">
        <v>1513</v>
      </c>
      <c r="B3872" t="s">
        <v>61</v>
      </c>
      <c r="C3872" t="str">
        <f>HYPERLINK("http://service.sap.com/sap/support/notes/1992949","1992949")</f>
        <v>1992949</v>
      </c>
      <c r="D3872">
        <v>5</v>
      </c>
      <c r="E3872" t="s">
        <v>4207</v>
      </c>
      <c r="F3872" t="s">
        <v>17</v>
      </c>
    </row>
    <row r="3873" spans="1:6" x14ac:dyDescent="0.3">
      <c r="A3873" t="s">
        <v>1513</v>
      </c>
      <c r="B3873" t="s">
        <v>61</v>
      </c>
      <c r="C3873" t="str">
        <f>HYPERLINK("http://service.sap.com/sap/support/notes/1995485","1995485")</f>
        <v>1995485</v>
      </c>
      <c r="D3873">
        <v>4</v>
      </c>
      <c r="E3873" t="s">
        <v>4208</v>
      </c>
      <c r="F3873" t="s">
        <v>17</v>
      </c>
    </row>
    <row r="3874" spans="1:6" x14ac:dyDescent="0.3">
      <c r="A3874" t="s">
        <v>1513</v>
      </c>
      <c r="B3874" t="s">
        <v>61</v>
      </c>
      <c r="C3874" t="str">
        <f>HYPERLINK("http://service.sap.com/sap/support/notes/2003041","2003041")</f>
        <v>2003041</v>
      </c>
      <c r="D3874">
        <v>2</v>
      </c>
      <c r="E3874" t="s">
        <v>4209</v>
      </c>
      <c r="F3874" t="s">
        <v>17</v>
      </c>
    </row>
    <row r="3875" spans="1:6" x14ac:dyDescent="0.3">
      <c r="A3875" t="s">
        <v>1513</v>
      </c>
      <c r="B3875" t="s">
        <v>61</v>
      </c>
      <c r="C3875" t="str">
        <f>HYPERLINK("http://service.sap.com/sap/support/notes/2010824","2010824")</f>
        <v>2010824</v>
      </c>
      <c r="D3875">
        <v>1</v>
      </c>
      <c r="E3875" t="s">
        <v>4210</v>
      </c>
      <c r="F3875" t="s">
        <v>17</v>
      </c>
    </row>
    <row r="3876" spans="1:6" x14ac:dyDescent="0.3">
      <c r="A3876" t="s">
        <v>1513</v>
      </c>
      <c r="B3876" t="s">
        <v>61</v>
      </c>
      <c r="C3876" t="str">
        <f>HYPERLINK("http://service.sap.com/sap/support/notes/2015667","2015667")</f>
        <v>2015667</v>
      </c>
      <c r="D3876">
        <v>3</v>
      </c>
      <c r="E3876" t="s">
        <v>4211</v>
      </c>
      <c r="F3876" t="s">
        <v>17</v>
      </c>
    </row>
    <row r="3877" spans="1:6" x14ac:dyDescent="0.3">
      <c r="A3877" t="s">
        <v>1513</v>
      </c>
      <c r="B3877" t="s">
        <v>61</v>
      </c>
      <c r="C3877" t="str">
        <f>HYPERLINK("http://service.sap.com/sap/support/notes/2018798","2018798")</f>
        <v>2018798</v>
      </c>
      <c r="D3877">
        <v>2</v>
      </c>
      <c r="E3877" t="s">
        <v>4212</v>
      </c>
      <c r="F3877" t="s">
        <v>17</v>
      </c>
    </row>
    <row r="3878" spans="1:6" x14ac:dyDescent="0.3">
      <c r="A3878" t="s">
        <v>1513</v>
      </c>
      <c r="B3878" t="s">
        <v>61</v>
      </c>
      <c r="C3878" t="str">
        <f>HYPERLINK("http://service.sap.com/sap/support/notes/2022652","2022652")</f>
        <v>2022652</v>
      </c>
      <c r="D3878">
        <v>2</v>
      </c>
      <c r="E3878" t="s">
        <v>4213</v>
      </c>
      <c r="F3878" t="s">
        <v>17</v>
      </c>
    </row>
    <row r="3879" spans="1:6" x14ac:dyDescent="0.3">
      <c r="A3879" t="s">
        <v>1527</v>
      </c>
      <c r="B3879" t="s">
        <v>1528</v>
      </c>
      <c r="C3879" t="str">
        <f>HYPERLINK("http://service.sap.com/sap/support/notes/1791788","1791788")</f>
        <v>1791788</v>
      </c>
      <c r="D3879">
        <v>3</v>
      </c>
      <c r="E3879" t="s">
        <v>4214</v>
      </c>
      <c r="F3879" t="s">
        <v>17</v>
      </c>
    </row>
    <row r="3880" spans="1:6" x14ac:dyDescent="0.3">
      <c r="A3880" t="s">
        <v>1533</v>
      </c>
      <c r="B3880" t="s">
        <v>1534</v>
      </c>
    </row>
    <row r="3881" spans="1:6" x14ac:dyDescent="0.3">
      <c r="A3881" t="s">
        <v>3391</v>
      </c>
      <c r="B3881" t="s">
        <v>61</v>
      </c>
      <c r="C3881" t="str">
        <f>HYPERLINK("http://service.sap.com/sap/support/notes/1959223","1959223")</f>
        <v>1959223</v>
      </c>
      <c r="D3881">
        <v>2</v>
      </c>
      <c r="E3881" t="s">
        <v>4215</v>
      </c>
      <c r="F3881" t="s">
        <v>17</v>
      </c>
    </row>
    <row r="3882" spans="1:6" x14ac:dyDescent="0.3">
      <c r="A3882" t="s">
        <v>1535</v>
      </c>
      <c r="B3882" t="s">
        <v>1536</v>
      </c>
      <c r="C3882" t="str">
        <f>HYPERLINK("http://service.sap.com/sap/support/notes/1995849","1995849")</f>
        <v>1995849</v>
      </c>
      <c r="D3882">
        <v>1</v>
      </c>
      <c r="E3882" t="s">
        <v>4216</v>
      </c>
      <c r="F3882" t="s">
        <v>17</v>
      </c>
    </row>
    <row r="3883" spans="1:6" x14ac:dyDescent="0.3">
      <c r="A3883" t="s">
        <v>1535</v>
      </c>
      <c r="B3883" t="s">
        <v>1536</v>
      </c>
      <c r="C3883" t="str">
        <f>HYPERLINK("http://service.sap.com/sap/support/notes/2002083","2002083")</f>
        <v>2002083</v>
      </c>
      <c r="D3883">
        <v>1</v>
      </c>
      <c r="E3883" t="s">
        <v>4217</v>
      </c>
      <c r="F3883" t="s">
        <v>17</v>
      </c>
    </row>
    <row r="3884" spans="1:6" x14ac:dyDescent="0.3">
      <c r="A3884" t="s">
        <v>1535</v>
      </c>
      <c r="B3884" t="s">
        <v>1536</v>
      </c>
      <c r="C3884" t="str">
        <f>HYPERLINK("http://service.sap.com/sap/support/notes/2008689","2008689")</f>
        <v>2008689</v>
      </c>
      <c r="D3884">
        <v>3</v>
      </c>
      <c r="E3884" t="s">
        <v>4218</v>
      </c>
      <c r="F3884" t="s">
        <v>17</v>
      </c>
    </row>
    <row r="3885" spans="1:6" x14ac:dyDescent="0.3">
      <c r="A3885" t="s">
        <v>1535</v>
      </c>
      <c r="B3885" t="s">
        <v>1536</v>
      </c>
      <c r="C3885" t="str">
        <f>HYPERLINK("http://service.sap.com/sap/support/notes/2016571","2016571")</f>
        <v>2016571</v>
      </c>
      <c r="D3885">
        <v>7</v>
      </c>
      <c r="E3885" t="s">
        <v>4219</v>
      </c>
      <c r="F3885" t="s">
        <v>17</v>
      </c>
    </row>
    <row r="3886" spans="1:6" x14ac:dyDescent="0.3">
      <c r="A3886" t="s">
        <v>1535</v>
      </c>
      <c r="B3886" t="s">
        <v>1536</v>
      </c>
      <c r="C3886" t="str">
        <f>HYPERLINK("http://service.sap.com/sap/support/notes/2019102","2019102")</f>
        <v>2019102</v>
      </c>
      <c r="D3886">
        <v>3</v>
      </c>
      <c r="E3886" t="s">
        <v>4220</v>
      </c>
      <c r="F3886" t="s">
        <v>17</v>
      </c>
    </row>
    <row r="3887" spans="1:6" x14ac:dyDescent="0.3">
      <c r="A3887" t="s">
        <v>1535</v>
      </c>
      <c r="B3887" t="s">
        <v>1536</v>
      </c>
      <c r="C3887" t="str">
        <f>HYPERLINK("http://service.sap.com/sap/support/notes/2025682","2025682")</f>
        <v>2025682</v>
      </c>
      <c r="D3887">
        <v>3</v>
      </c>
      <c r="E3887" t="s">
        <v>4221</v>
      </c>
      <c r="F3887" t="s">
        <v>17</v>
      </c>
    </row>
    <row r="3888" spans="1:6" x14ac:dyDescent="0.3">
      <c r="A3888" t="s">
        <v>1538</v>
      </c>
      <c r="B3888" t="s">
        <v>1539</v>
      </c>
    </row>
    <row r="3889" spans="1:6" x14ac:dyDescent="0.3">
      <c r="A3889" t="s">
        <v>1541</v>
      </c>
      <c r="B3889" t="s">
        <v>61</v>
      </c>
      <c r="C3889" t="str">
        <f>HYPERLINK("http://service.sap.com/sap/support/notes/1994456","1994456")</f>
        <v>1994456</v>
      </c>
      <c r="D3889">
        <v>3</v>
      </c>
      <c r="E3889" t="s">
        <v>4222</v>
      </c>
      <c r="F3889" t="s">
        <v>17</v>
      </c>
    </row>
    <row r="3890" spans="1:6" x14ac:dyDescent="0.3">
      <c r="A3890" t="s">
        <v>1541</v>
      </c>
      <c r="B3890" t="s">
        <v>61</v>
      </c>
      <c r="C3890" t="str">
        <f>HYPERLINK("http://service.sap.com/sap/support/notes/2004707","2004707")</f>
        <v>2004707</v>
      </c>
      <c r="D3890">
        <v>6</v>
      </c>
      <c r="E3890" t="s">
        <v>4223</v>
      </c>
      <c r="F3890" t="s">
        <v>17</v>
      </c>
    </row>
    <row r="3891" spans="1:6" x14ac:dyDescent="0.3">
      <c r="A3891" t="s">
        <v>1541</v>
      </c>
      <c r="B3891" t="s">
        <v>61</v>
      </c>
      <c r="C3891" t="str">
        <f>HYPERLINK("http://service.sap.com/sap/support/notes/2027513","2027513")</f>
        <v>2027513</v>
      </c>
      <c r="D3891">
        <v>1</v>
      </c>
      <c r="E3891" t="s">
        <v>4224</v>
      </c>
      <c r="F3891" t="s">
        <v>17</v>
      </c>
    </row>
    <row r="3892" spans="1:6" x14ac:dyDescent="0.3">
      <c r="A3892" t="s">
        <v>1555</v>
      </c>
      <c r="B3892" t="s">
        <v>1556</v>
      </c>
    </row>
    <row r="3893" spans="1:6" x14ac:dyDescent="0.3">
      <c r="A3893" t="s">
        <v>1558</v>
      </c>
      <c r="B3893" t="s">
        <v>61</v>
      </c>
      <c r="C3893" t="str">
        <f>HYPERLINK("http://service.sap.com/sap/support/notes/1734797","1734797")</f>
        <v>1734797</v>
      </c>
      <c r="D3893">
        <v>2</v>
      </c>
      <c r="E3893" t="s">
        <v>4225</v>
      </c>
      <c r="F3893" t="s">
        <v>17</v>
      </c>
    </row>
    <row r="3894" spans="1:6" x14ac:dyDescent="0.3">
      <c r="A3894" t="s">
        <v>1558</v>
      </c>
      <c r="B3894" t="s">
        <v>61</v>
      </c>
      <c r="C3894" t="str">
        <f>HYPERLINK("http://service.sap.com/sap/support/notes/1960865","1960865")</f>
        <v>1960865</v>
      </c>
      <c r="D3894">
        <v>3</v>
      </c>
      <c r="E3894" t="s">
        <v>4226</v>
      </c>
      <c r="F3894" t="s">
        <v>17</v>
      </c>
    </row>
    <row r="3895" spans="1:6" x14ac:dyDescent="0.3">
      <c r="A3895" t="s">
        <v>1558</v>
      </c>
      <c r="B3895" t="s">
        <v>61</v>
      </c>
      <c r="C3895" t="str">
        <f>HYPERLINK("http://service.sap.com/sap/support/notes/1979714","1979714")</f>
        <v>1979714</v>
      </c>
      <c r="D3895">
        <v>3</v>
      </c>
      <c r="E3895" t="s">
        <v>4227</v>
      </c>
      <c r="F3895" t="s">
        <v>17</v>
      </c>
    </row>
    <row r="3896" spans="1:6" x14ac:dyDescent="0.3">
      <c r="A3896" t="s">
        <v>1558</v>
      </c>
      <c r="B3896" t="s">
        <v>61</v>
      </c>
      <c r="C3896" t="str">
        <f>HYPERLINK("http://service.sap.com/sap/support/notes/1989347","1989347")</f>
        <v>1989347</v>
      </c>
      <c r="D3896">
        <v>2</v>
      </c>
      <c r="E3896" t="s">
        <v>4228</v>
      </c>
      <c r="F3896" t="s">
        <v>94</v>
      </c>
    </row>
    <row r="3897" spans="1:6" x14ac:dyDescent="0.3">
      <c r="A3897" t="s">
        <v>1558</v>
      </c>
      <c r="B3897" t="s">
        <v>61</v>
      </c>
      <c r="C3897" t="str">
        <f>HYPERLINK("http://service.sap.com/sap/support/notes/2007760","2007760")</f>
        <v>2007760</v>
      </c>
      <c r="D3897">
        <v>1</v>
      </c>
      <c r="E3897" t="s">
        <v>4229</v>
      </c>
      <c r="F3897" t="s">
        <v>17</v>
      </c>
    </row>
    <row r="3898" spans="1:6" x14ac:dyDescent="0.3">
      <c r="A3898" t="s">
        <v>1565</v>
      </c>
      <c r="B3898" t="s">
        <v>1536</v>
      </c>
      <c r="C3898" t="str">
        <f>HYPERLINK("http://service.sap.com/sap/support/notes/2005888","2005888")</f>
        <v>2005888</v>
      </c>
      <c r="D3898">
        <v>1</v>
      </c>
      <c r="E3898" t="s">
        <v>4230</v>
      </c>
      <c r="F3898" t="s">
        <v>17</v>
      </c>
    </row>
    <row r="3899" spans="1:6" x14ac:dyDescent="0.3">
      <c r="A3899" t="s">
        <v>3410</v>
      </c>
      <c r="B3899" t="s">
        <v>3411</v>
      </c>
      <c r="C3899" t="str">
        <f>HYPERLINK("http://service.sap.com/sap/support/notes/1878055","1878055")</f>
        <v>1878055</v>
      </c>
      <c r="D3899">
        <v>2</v>
      </c>
      <c r="E3899" t="s">
        <v>4231</v>
      </c>
      <c r="F3899" t="s">
        <v>17</v>
      </c>
    </row>
    <row r="3900" spans="1:6" x14ac:dyDescent="0.3">
      <c r="A3900" t="s">
        <v>1567</v>
      </c>
      <c r="B3900" t="s">
        <v>1568</v>
      </c>
    </row>
    <row r="3901" spans="1:6" x14ac:dyDescent="0.3">
      <c r="A3901" t="s">
        <v>1569</v>
      </c>
      <c r="B3901" t="s">
        <v>1480</v>
      </c>
      <c r="C3901" t="str">
        <f>HYPERLINK("http://service.sap.com/sap/support/notes/1844755","1844755")</f>
        <v>1844755</v>
      </c>
      <c r="D3901">
        <v>2</v>
      </c>
      <c r="E3901" t="s">
        <v>4232</v>
      </c>
      <c r="F3901" t="s">
        <v>17</v>
      </c>
    </row>
    <row r="3902" spans="1:6" x14ac:dyDescent="0.3">
      <c r="A3902" t="s">
        <v>1569</v>
      </c>
      <c r="B3902" t="s">
        <v>1480</v>
      </c>
      <c r="C3902" t="str">
        <f>HYPERLINK("http://service.sap.com/sap/support/notes/1937091","1937091")</f>
        <v>1937091</v>
      </c>
      <c r="D3902">
        <v>4</v>
      </c>
      <c r="E3902" t="s">
        <v>4233</v>
      </c>
      <c r="F3902" t="s">
        <v>17</v>
      </c>
    </row>
    <row r="3903" spans="1:6" x14ac:dyDescent="0.3">
      <c r="A3903" t="s">
        <v>1569</v>
      </c>
      <c r="B3903" t="s">
        <v>1480</v>
      </c>
      <c r="C3903" t="str">
        <f>HYPERLINK("http://service.sap.com/sap/support/notes/1939166","1939166")</f>
        <v>1939166</v>
      </c>
      <c r="D3903">
        <v>2</v>
      </c>
      <c r="E3903" t="s">
        <v>4234</v>
      </c>
      <c r="F3903" t="s">
        <v>17</v>
      </c>
    </row>
    <row r="3904" spans="1:6" x14ac:dyDescent="0.3">
      <c r="A3904" t="s">
        <v>1569</v>
      </c>
      <c r="B3904" t="s">
        <v>1480</v>
      </c>
      <c r="C3904" t="str">
        <f>HYPERLINK("http://service.sap.com/sap/support/notes/1939692","1939692")</f>
        <v>1939692</v>
      </c>
      <c r="D3904">
        <v>1</v>
      </c>
      <c r="E3904" t="s">
        <v>4235</v>
      </c>
      <c r="F3904" t="s">
        <v>17</v>
      </c>
    </row>
    <row r="3905" spans="1:6" x14ac:dyDescent="0.3">
      <c r="A3905" t="s">
        <v>1569</v>
      </c>
      <c r="B3905" t="s">
        <v>1480</v>
      </c>
      <c r="C3905" t="str">
        <f>HYPERLINK("http://service.sap.com/sap/support/notes/1941692","1941692")</f>
        <v>1941692</v>
      </c>
      <c r="D3905">
        <v>1</v>
      </c>
      <c r="E3905" t="s">
        <v>4236</v>
      </c>
      <c r="F3905" t="s">
        <v>17</v>
      </c>
    </row>
    <row r="3906" spans="1:6" x14ac:dyDescent="0.3">
      <c r="A3906" t="s">
        <v>1569</v>
      </c>
      <c r="B3906" t="s">
        <v>1480</v>
      </c>
      <c r="C3906" t="str">
        <f>HYPERLINK("http://service.sap.com/sap/support/notes/1963093","1963093")</f>
        <v>1963093</v>
      </c>
      <c r="D3906">
        <v>2</v>
      </c>
      <c r="E3906" t="s">
        <v>4237</v>
      </c>
      <c r="F3906" t="s">
        <v>17</v>
      </c>
    </row>
    <row r="3907" spans="1:6" x14ac:dyDescent="0.3">
      <c r="A3907" t="s">
        <v>1569</v>
      </c>
      <c r="B3907" t="s">
        <v>1480</v>
      </c>
      <c r="C3907" t="str">
        <f>HYPERLINK("http://service.sap.com/sap/support/notes/1964604","1964604")</f>
        <v>1964604</v>
      </c>
      <c r="D3907">
        <v>2</v>
      </c>
      <c r="E3907" t="s">
        <v>4238</v>
      </c>
      <c r="F3907" t="s">
        <v>17</v>
      </c>
    </row>
    <row r="3908" spans="1:6" x14ac:dyDescent="0.3">
      <c r="A3908" t="s">
        <v>1569</v>
      </c>
      <c r="B3908" t="s">
        <v>1480</v>
      </c>
      <c r="C3908" t="str">
        <f>HYPERLINK("http://service.sap.com/sap/support/notes/1966435","1966435")</f>
        <v>1966435</v>
      </c>
      <c r="D3908">
        <v>2</v>
      </c>
      <c r="E3908" t="s">
        <v>4239</v>
      </c>
      <c r="F3908" t="s">
        <v>17</v>
      </c>
    </row>
    <row r="3909" spans="1:6" x14ac:dyDescent="0.3">
      <c r="A3909" t="s">
        <v>1569</v>
      </c>
      <c r="B3909" t="s">
        <v>1480</v>
      </c>
      <c r="C3909" t="str">
        <f>HYPERLINK("http://service.sap.com/sap/support/notes/1988116","1988116")</f>
        <v>1988116</v>
      </c>
      <c r="D3909">
        <v>1</v>
      </c>
      <c r="E3909" t="s">
        <v>4240</v>
      </c>
      <c r="F3909" t="s">
        <v>17</v>
      </c>
    </row>
    <row r="3910" spans="1:6" x14ac:dyDescent="0.3">
      <c r="A3910" t="s">
        <v>1569</v>
      </c>
      <c r="B3910" t="s">
        <v>1480</v>
      </c>
      <c r="C3910" t="str">
        <f>HYPERLINK("http://service.sap.com/sap/support/notes/1990677","1990677")</f>
        <v>1990677</v>
      </c>
      <c r="D3910">
        <v>2</v>
      </c>
      <c r="E3910" t="s">
        <v>4241</v>
      </c>
      <c r="F3910" t="s">
        <v>17</v>
      </c>
    </row>
    <row r="3911" spans="1:6" x14ac:dyDescent="0.3">
      <c r="A3911" t="s">
        <v>1569</v>
      </c>
      <c r="B3911" t="s">
        <v>1480</v>
      </c>
      <c r="C3911" t="str">
        <f>HYPERLINK("http://service.sap.com/sap/support/notes/1991928","1991928")</f>
        <v>1991928</v>
      </c>
      <c r="D3911">
        <v>1</v>
      </c>
      <c r="E3911" t="s">
        <v>4242</v>
      </c>
      <c r="F3911" t="s">
        <v>17</v>
      </c>
    </row>
    <row r="3912" spans="1:6" x14ac:dyDescent="0.3">
      <c r="A3912" t="s">
        <v>1569</v>
      </c>
      <c r="B3912" t="s">
        <v>1480</v>
      </c>
      <c r="C3912" t="str">
        <f>HYPERLINK("http://service.sap.com/sap/support/notes/1992604","1992604")</f>
        <v>1992604</v>
      </c>
      <c r="D3912">
        <v>1</v>
      </c>
      <c r="E3912" t="s">
        <v>4243</v>
      </c>
      <c r="F3912" t="s">
        <v>11</v>
      </c>
    </row>
    <row r="3913" spans="1:6" x14ac:dyDescent="0.3">
      <c r="A3913" t="s">
        <v>1569</v>
      </c>
      <c r="B3913" t="s">
        <v>1480</v>
      </c>
      <c r="C3913" t="str">
        <f>HYPERLINK("http://service.sap.com/sap/support/notes/1993881","1993881")</f>
        <v>1993881</v>
      </c>
      <c r="D3913">
        <v>3</v>
      </c>
      <c r="E3913" t="s">
        <v>4244</v>
      </c>
      <c r="F3913" t="s">
        <v>17</v>
      </c>
    </row>
    <row r="3914" spans="1:6" x14ac:dyDescent="0.3">
      <c r="A3914" t="s">
        <v>1569</v>
      </c>
      <c r="B3914" t="s">
        <v>1480</v>
      </c>
      <c r="C3914" t="str">
        <f>HYPERLINK("http://service.sap.com/sap/support/notes/1996341","1996341")</f>
        <v>1996341</v>
      </c>
      <c r="D3914">
        <v>2</v>
      </c>
      <c r="E3914" t="s">
        <v>4245</v>
      </c>
      <c r="F3914" t="s">
        <v>17</v>
      </c>
    </row>
    <row r="3915" spans="1:6" x14ac:dyDescent="0.3">
      <c r="A3915" t="s">
        <v>1569</v>
      </c>
      <c r="B3915" t="s">
        <v>1480</v>
      </c>
      <c r="C3915" t="str">
        <f>HYPERLINK("http://service.sap.com/sap/support/notes/1998049","1998049")</f>
        <v>1998049</v>
      </c>
      <c r="D3915">
        <v>1</v>
      </c>
      <c r="E3915" t="s">
        <v>4246</v>
      </c>
      <c r="F3915" t="s">
        <v>17</v>
      </c>
    </row>
    <row r="3916" spans="1:6" x14ac:dyDescent="0.3">
      <c r="A3916" t="s">
        <v>1569</v>
      </c>
      <c r="B3916" t="s">
        <v>1480</v>
      </c>
      <c r="C3916" t="str">
        <f>HYPERLINK("http://service.sap.com/sap/support/notes/1999135","1999135")</f>
        <v>1999135</v>
      </c>
      <c r="D3916">
        <v>1</v>
      </c>
      <c r="E3916" t="s">
        <v>4247</v>
      </c>
      <c r="F3916" t="s">
        <v>17</v>
      </c>
    </row>
    <row r="3917" spans="1:6" x14ac:dyDescent="0.3">
      <c r="A3917" t="s">
        <v>1569</v>
      </c>
      <c r="B3917" t="s">
        <v>1480</v>
      </c>
      <c r="C3917" t="str">
        <f>HYPERLINK("http://service.sap.com/sap/support/notes/2001136","2001136")</f>
        <v>2001136</v>
      </c>
      <c r="D3917">
        <v>1</v>
      </c>
      <c r="E3917" t="s">
        <v>4248</v>
      </c>
      <c r="F3917" t="s">
        <v>17</v>
      </c>
    </row>
    <row r="3918" spans="1:6" x14ac:dyDescent="0.3">
      <c r="A3918" t="s">
        <v>1569</v>
      </c>
      <c r="B3918" t="s">
        <v>1480</v>
      </c>
      <c r="C3918" t="str">
        <f>HYPERLINK("http://service.sap.com/sap/support/notes/2003127","2003127")</f>
        <v>2003127</v>
      </c>
      <c r="D3918">
        <v>1</v>
      </c>
      <c r="E3918" t="s">
        <v>4249</v>
      </c>
      <c r="F3918" t="s">
        <v>17</v>
      </c>
    </row>
    <row r="3919" spans="1:6" x14ac:dyDescent="0.3">
      <c r="A3919" t="s">
        <v>1569</v>
      </c>
      <c r="B3919" t="s">
        <v>1480</v>
      </c>
      <c r="C3919" t="str">
        <f>HYPERLINK("http://service.sap.com/sap/support/notes/2006198","2006198")</f>
        <v>2006198</v>
      </c>
      <c r="D3919">
        <v>1</v>
      </c>
      <c r="E3919" t="s">
        <v>4250</v>
      </c>
      <c r="F3919" t="s">
        <v>17</v>
      </c>
    </row>
    <row r="3920" spans="1:6" x14ac:dyDescent="0.3">
      <c r="A3920" t="s">
        <v>1569</v>
      </c>
      <c r="B3920" t="s">
        <v>1480</v>
      </c>
      <c r="C3920" t="str">
        <f>HYPERLINK("http://service.sap.com/sap/support/notes/2014568","2014568")</f>
        <v>2014568</v>
      </c>
      <c r="D3920">
        <v>2</v>
      </c>
      <c r="E3920" t="s">
        <v>4251</v>
      </c>
      <c r="F3920" t="s">
        <v>11</v>
      </c>
    </row>
    <row r="3921" spans="1:6" x14ac:dyDescent="0.3">
      <c r="A3921" t="s">
        <v>1569</v>
      </c>
      <c r="B3921" t="s">
        <v>1480</v>
      </c>
      <c r="C3921" t="str">
        <f>HYPERLINK("http://service.sap.com/sap/support/notes/2016296","2016296")</f>
        <v>2016296</v>
      </c>
      <c r="D3921">
        <v>1</v>
      </c>
      <c r="E3921" t="s">
        <v>4252</v>
      </c>
      <c r="F3921" t="s">
        <v>17</v>
      </c>
    </row>
    <row r="3922" spans="1:6" x14ac:dyDescent="0.3">
      <c r="A3922" t="s">
        <v>1569</v>
      </c>
      <c r="B3922" t="s">
        <v>1480</v>
      </c>
      <c r="C3922" t="str">
        <f>HYPERLINK("http://service.sap.com/sap/support/notes/2018822","2018822")</f>
        <v>2018822</v>
      </c>
      <c r="D3922">
        <v>1</v>
      </c>
      <c r="E3922" t="s">
        <v>4253</v>
      </c>
      <c r="F3922" t="s">
        <v>17</v>
      </c>
    </row>
    <row r="3923" spans="1:6" x14ac:dyDescent="0.3">
      <c r="A3923" t="s">
        <v>4254</v>
      </c>
      <c r="B3923" t="s">
        <v>4255</v>
      </c>
      <c r="C3923" t="str">
        <f>HYPERLINK("http://service.sap.com/sap/support/notes/1974906","1974906")</f>
        <v>1974906</v>
      </c>
      <c r="D3923">
        <v>5</v>
      </c>
      <c r="E3923" t="s">
        <v>4256</v>
      </c>
      <c r="F3923" t="s">
        <v>11</v>
      </c>
    </row>
    <row r="3924" spans="1:6" x14ac:dyDescent="0.3">
      <c r="A3924" t="s">
        <v>1601</v>
      </c>
      <c r="B3924" t="s">
        <v>1602</v>
      </c>
      <c r="C3924" t="str">
        <f>HYPERLINK("http://service.sap.com/sap/support/notes/1880963","1880963")</f>
        <v>1880963</v>
      </c>
      <c r="D3924">
        <v>5</v>
      </c>
      <c r="E3924" t="s">
        <v>4257</v>
      </c>
      <c r="F3924" t="s">
        <v>11</v>
      </c>
    </row>
    <row r="3925" spans="1:6" x14ac:dyDescent="0.3">
      <c r="A3925" t="s">
        <v>1601</v>
      </c>
      <c r="B3925" t="s">
        <v>1602</v>
      </c>
      <c r="C3925" t="str">
        <f>HYPERLINK("http://service.sap.com/sap/support/notes/1884322","1884322")</f>
        <v>1884322</v>
      </c>
      <c r="D3925">
        <v>4</v>
      </c>
      <c r="E3925" t="s">
        <v>4258</v>
      </c>
      <c r="F3925" t="s">
        <v>17</v>
      </c>
    </row>
    <row r="3926" spans="1:6" x14ac:dyDescent="0.3">
      <c r="A3926" t="s">
        <v>1601</v>
      </c>
      <c r="B3926" t="s">
        <v>1602</v>
      </c>
      <c r="C3926" t="str">
        <f>HYPERLINK("http://service.sap.com/sap/support/notes/1892387","1892387")</f>
        <v>1892387</v>
      </c>
      <c r="D3926">
        <v>3</v>
      </c>
      <c r="E3926" t="s">
        <v>4259</v>
      </c>
      <c r="F3926" t="s">
        <v>17</v>
      </c>
    </row>
    <row r="3927" spans="1:6" x14ac:dyDescent="0.3">
      <c r="A3927" t="s">
        <v>1601</v>
      </c>
      <c r="B3927" t="s">
        <v>1602</v>
      </c>
      <c r="C3927" t="str">
        <f>HYPERLINK("http://service.sap.com/sap/support/notes/1966925","1966925")</f>
        <v>1966925</v>
      </c>
      <c r="D3927">
        <v>2</v>
      </c>
      <c r="E3927" t="s">
        <v>4260</v>
      </c>
      <c r="F3927" t="s">
        <v>11</v>
      </c>
    </row>
    <row r="3928" spans="1:6" x14ac:dyDescent="0.3">
      <c r="A3928" t="s">
        <v>2488</v>
      </c>
      <c r="B3928" t="s">
        <v>61</v>
      </c>
      <c r="C3928" t="str">
        <f>HYPERLINK("http://service.sap.com/sap/support/notes/1943969","1943969")</f>
        <v>1943969</v>
      </c>
      <c r="D3928">
        <v>2</v>
      </c>
      <c r="E3928" t="s">
        <v>4261</v>
      </c>
      <c r="F3928" t="s">
        <v>17</v>
      </c>
    </row>
    <row r="3929" spans="1:6" x14ac:dyDescent="0.3">
      <c r="A3929" t="s">
        <v>2488</v>
      </c>
      <c r="B3929" t="s">
        <v>61</v>
      </c>
      <c r="C3929" t="str">
        <f>HYPERLINK("http://service.sap.com/sap/support/notes/1979358","1979358")</f>
        <v>1979358</v>
      </c>
      <c r="D3929">
        <v>4</v>
      </c>
      <c r="E3929" t="s">
        <v>4262</v>
      </c>
      <c r="F3929" t="s">
        <v>17</v>
      </c>
    </row>
    <row r="3930" spans="1:6" x14ac:dyDescent="0.3">
      <c r="A3930" t="s">
        <v>2488</v>
      </c>
      <c r="B3930" t="s">
        <v>61</v>
      </c>
      <c r="C3930" t="str">
        <f>HYPERLINK("http://service.sap.com/sap/support/notes/1997576","1997576")</f>
        <v>1997576</v>
      </c>
      <c r="D3930">
        <v>3</v>
      </c>
      <c r="E3930" t="s">
        <v>4263</v>
      </c>
      <c r="F3930" t="s">
        <v>17</v>
      </c>
    </row>
    <row r="3931" spans="1:6" x14ac:dyDescent="0.3">
      <c r="A3931" t="s">
        <v>2488</v>
      </c>
      <c r="B3931" t="s">
        <v>61</v>
      </c>
      <c r="C3931" t="str">
        <f>HYPERLINK("http://service.sap.com/sap/support/notes/2010412","2010412")</f>
        <v>2010412</v>
      </c>
      <c r="D3931">
        <v>1</v>
      </c>
      <c r="E3931" t="s">
        <v>4264</v>
      </c>
      <c r="F3931" t="s">
        <v>17</v>
      </c>
    </row>
    <row r="3932" spans="1:6" x14ac:dyDescent="0.3">
      <c r="A3932" t="s">
        <v>2488</v>
      </c>
      <c r="B3932" t="s">
        <v>61</v>
      </c>
      <c r="C3932" t="str">
        <f>HYPERLINK("http://service.sap.com/sap/support/notes/2010432","2010432")</f>
        <v>2010432</v>
      </c>
      <c r="D3932">
        <v>6</v>
      </c>
      <c r="E3932" t="s">
        <v>4263</v>
      </c>
      <c r="F3932" t="s">
        <v>17</v>
      </c>
    </row>
    <row r="3933" spans="1:6" x14ac:dyDescent="0.3">
      <c r="A3933" t="s">
        <v>1605</v>
      </c>
      <c r="B3933" t="s">
        <v>1606</v>
      </c>
    </row>
    <row r="3934" spans="1:6" x14ac:dyDescent="0.3">
      <c r="A3934" t="s">
        <v>2495</v>
      </c>
      <c r="B3934" t="s">
        <v>2496</v>
      </c>
      <c r="C3934" t="str">
        <f>HYPERLINK("http://service.sap.com/sap/support/notes/1994018","1994018")</f>
        <v>1994018</v>
      </c>
      <c r="D3934">
        <v>2</v>
      </c>
      <c r="E3934" t="s">
        <v>4265</v>
      </c>
      <c r="F3934" t="s">
        <v>17</v>
      </c>
    </row>
    <row r="3935" spans="1:6" x14ac:dyDescent="0.3">
      <c r="A3935" t="s">
        <v>2495</v>
      </c>
      <c r="B3935" t="s">
        <v>2496</v>
      </c>
      <c r="C3935" t="str">
        <f>HYPERLINK("http://service.sap.com/sap/support/notes/1994559","1994559")</f>
        <v>1994559</v>
      </c>
      <c r="D3935">
        <v>1</v>
      </c>
      <c r="E3935" t="s">
        <v>4266</v>
      </c>
      <c r="F3935" t="s">
        <v>17</v>
      </c>
    </row>
    <row r="3936" spans="1:6" x14ac:dyDescent="0.3">
      <c r="A3936" t="s">
        <v>2495</v>
      </c>
      <c r="B3936" t="s">
        <v>2496</v>
      </c>
      <c r="C3936" t="str">
        <f>HYPERLINK("http://service.sap.com/sap/support/notes/2014964","2014964")</f>
        <v>2014964</v>
      </c>
      <c r="D3936">
        <v>5</v>
      </c>
      <c r="E3936" t="s">
        <v>4267</v>
      </c>
      <c r="F3936" t="s">
        <v>17</v>
      </c>
    </row>
    <row r="3937" spans="1:6" x14ac:dyDescent="0.3">
      <c r="A3937" t="s">
        <v>2495</v>
      </c>
      <c r="B3937" t="s">
        <v>2496</v>
      </c>
      <c r="C3937" t="str">
        <f>HYPERLINK("http://service.sap.com/sap/support/notes/2021016","2021016")</f>
        <v>2021016</v>
      </c>
      <c r="D3937">
        <v>4</v>
      </c>
      <c r="E3937" t="s">
        <v>4268</v>
      </c>
      <c r="F3937" t="s">
        <v>94</v>
      </c>
    </row>
    <row r="3938" spans="1:6" x14ac:dyDescent="0.3">
      <c r="A3938" t="s">
        <v>1613</v>
      </c>
      <c r="B3938" t="s">
        <v>1614</v>
      </c>
    </row>
    <row r="3939" spans="1:6" x14ac:dyDescent="0.3">
      <c r="A3939" t="s">
        <v>1615</v>
      </c>
      <c r="B3939" t="s">
        <v>61</v>
      </c>
      <c r="C3939" t="str">
        <f>HYPERLINK("http://service.sap.com/sap/support/notes/1998272","1998272")</f>
        <v>1998272</v>
      </c>
      <c r="D3939">
        <v>1</v>
      </c>
      <c r="E3939" t="s">
        <v>4269</v>
      </c>
      <c r="F3939" t="s">
        <v>17</v>
      </c>
    </row>
    <row r="3940" spans="1:6" x14ac:dyDescent="0.3">
      <c r="A3940" t="s">
        <v>1623</v>
      </c>
      <c r="B3940" t="s">
        <v>1624</v>
      </c>
    </row>
    <row r="3941" spans="1:6" x14ac:dyDescent="0.3">
      <c r="A3941" t="s">
        <v>1625</v>
      </c>
      <c r="B3941" t="s">
        <v>61</v>
      </c>
      <c r="C3941" t="str">
        <f>HYPERLINK("http://service.sap.com/sap/support/notes/2008669","2008669")</f>
        <v>2008669</v>
      </c>
      <c r="D3941">
        <v>1</v>
      </c>
      <c r="E3941" t="s">
        <v>4270</v>
      </c>
      <c r="F3941" t="s">
        <v>17</v>
      </c>
    </row>
    <row r="3942" spans="1:6" x14ac:dyDescent="0.3">
      <c r="A3942" t="s">
        <v>3449</v>
      </c>
      <c r="B3942" t="s">
        <v>3450</v>
      </c>
      <c r="C3942" t="str">
        <f>HYPERLINK("http://service.sap.com/sap/support/notes/1999249","1999249")</f>
        <v>1999249</v>
      </c>
      <c r="D3942">
        <v>2</v>
      </c>
      <c r="E3942" t="s">
        <v>4271</v>
      </c>
      <c r="F3942" t="s">
        <v>17</v>
      </c>
    </row>
    <row r="3943" spans="1:6" x14ac:dyDescent="0.3">
      <c r="A3943" t="s">
        <v>1627</v>
      </c>
      <c r="B3943" t="s">
        <v>1628</v>
      </c>
    </row>
    <row r="3944" spans="1:6" x14ac:dyDescent="0.3">
      <c r="A3944" t="s">
        <v>1632</v>
      </c>
      <c r="B3944" t="s">
        <v>61</v>
      </c>
      <c r="C3944" t="str">
        <f>HYPERLINK("http://service.sap.com/sap/support/notes/1942805","1942805")</f>
        <v>1942805</v>
      </c>
      <c r="D3944">
        <v>5</v>
      </c>
      <c r="E3944" t="s">
        <v>4272</v>
      </c>
      <c r="F3944" t="s">
        <v>17</v>
      </c>
    </row>
    <row r="3945" spans="1:6" x14ac:dyDescent="0.3">
      <c r="A3945" t="s">
        <v>1634</v>
      </c>
      <c r="B3945" t="s">
        <v>1635</v>
      </c>
    </row>
    <row r="3946" spans="1:6" x14ac:dyDescent="0.3">
      <c r="A3946" t="s">
        <v>1641</v>
      </c>
      <c r="B3946" t="s">
        <v>1553</v>
      </c>
      <c r="C3946" t="str">
        <f>HYPERLINK("http://service.sap.com/sap/support/notes/1980522","1980522")</f>
        <v>1980522</v>
      </c>
      <c r="D3946">
        <v>3</v>
      </c>
      <c r="E3946" t="s">
        <v>4273</v>
      </c>
      <c r="F3946" t="s">
        <v>11</v>
      </c>
    </row>
    <row r="3947" spans="1:6" x14ac:dyDescent="0.3">
      <c r="A3947" t="s">
        <v>1643</v>
      </c>
      <c r="B3947" t="s">
        <v>1644</v>
      </c>
    </row>
    <row r="3948" spans="1:6" x14ac:dyDescent="0.3">
      <c r="A3948" t="s">
        <v>1649</v>
      </c>
      <c r="B3948" t="s">
        <v>61</v>
      </c>
      <c r="C3948" t="str">
        <f>HYPERLINK("http://service.sap.com/sap/support/notes/1975111","1975111")</f>
        <v>1975111</v>
      </c>
      <c r="D3948">
        <v>4</v>
      </c>
      <c r="E3948" t="s">
        <v>4274</v>
      </c>
      <c r="F3948" t="s">
        <v>17</v>
      </c>
    </row>
    <row r="3949" spans="1:6" x14ac:dyDescent="0.3">
      <c r="A3949" t="s">
        <v>1649</v>
      </c>
      <c r="B3949" t="s">
        <v>61</v>
      </c>
      <c r="C3949" t="str">
        <f>HYPERLINK("http://service.sap.com/sap/support/notes/1994878","1994878")</f>
        <v>1994878</v>
      </c>
      <c r="D3949">
        <v>2</v>
      </c>
      <c r="E3949" t="s">
        <v>4275</v>
      </c>
      <c r="F3949" t="s">
        <v>17</v>
      </c>
    </row>
    <row r="3950" spans="1:6" x14ac:dyDescent="0.3">
      <c r="A3950" t="s">
        <v>1649</v>
      </c>
      <c r="B3950" t="s">
        <v>61</v>
      </c>
      <c r="C3950" t="str">
        <f>HYPERLINK("http://service.sap.com/sap/support/notes/1998102","1998102")</f>
        <v>1998102</v>
      </c>
      <c r="D3950">
        <v>4</v>
      </c>
      <c r="E3950" t="s">
        <v>4276</v>
      </c>
      <c r="F3950" t="s">
        <v>17</v>
      </c>
    </row>
    <row r="3951" spans="1:6" x14ac:dyDescent="0.3">
      <c r="A3951" t="s">
        <v>1649</v>
      </c>
      <c r="B3951" t="s">
        <v>61</v>
      </c>
      <c r="C3951" t="str">
        <f>HYPERLINK("http://service.sap.com/sap/support/notes/2001030","2001030")</f>
        <v>2001030</v>
      </c>
      <c r="D3951">
        <v>1</v>
      </c>
      <c r="E3951" t="s">
        <v>4277</v>
      </c>
      <c r="F3951" t="s">
        <v>17</v>
      </c>
    </row>
    <row r="3952" spans="1:6" x14ac:dyDescent="0.3">
      <c r="A3952" t="s">
        <v>1649</v>
      </c>
      <c r="B3952" t="s">
        <v>61</v>
      </c>
      <c r="C3952" t="str">
        <f>HYPERLINK("http://service.sap.com/sap/support/notes/2002553","2002553")</f>
        <v>2002553</v>
      </c>
      <c r="D3952">
        <v>2</v>
      </c>
      <c r="E3952" t="s">
        <v>4278</v>
      </c>
      <c r="F3952" t="s">
        <v>17</v>
      </c>
    </row>
    <row r="3953" spans="1:6" x14ac:dyDescent="0.3">
      <c r="A3953" t="s">
        <v>1649</v>
      </c>
      <c r="B3953" t="s">
        <v>61</v>
      </c>
      <c r="C3953" t="str">
        <f>HYPERLINK("http://service.sap.com/sap/support/notes/2023329","2023329")</f>
        <v>2023329</v>
      </c>
      <c r="D3953">
        <v>2</v>
      </c>
      <c r="E3953" t="s">
        <v>4279</v>
      </c>
      <c r="F3953" t="s">
        <v>17</v>
      </c>
    </row>
    <row r="3954" spans="1:6" x14ac:dyDescent="0.3">
      <c r="A3954" t="s">
        <v>1649</v>
      </c>
      <c r="B3954" t="s">
        <v>61</v>
      </c>
      <c r="C3954" t="str">
        <f>HYPERLINK("http://service.sap.com/sap/support/notes/2027516","2027516")</f>
        <v>2027516</v>
      </c>
      <c r="D3954">
        <v>1</v>
      </c>
      <c r="E3954" t="s">
        <v>4280</v>
      </c>
      <c r="F3954" t="s">
        <v>17</v>
      </c>
    </row>
    <row r="3955" spans="1:6" x14ac:dyDescent="0.3">
      <c r="A3955" t="s">
        <v>1664</v>
      </c>
      <c r="B3955" t="s">
        <v>63</v>
      </c>
      <c r="C3955" t="str">
        <f>HYPERLINK("http://service.sap.com/sap/support/notes/1882562","1882562")</f>
        <v>1882562</v>
      </c>
      <c r="D3955">
        <v>10</v>
      </c>
      <c r="E3955" t="s">
        <v>1667</v>
      </c>
      <c r="F3955" t="s">
        <v>11</v>
      </c>
    </row>
    <row r="3956" spans="1:6" x14ac:dyDescent="0.3">
      <c r="A3956" t="s">
        <v>1664</v>
      </c>
      <c r="B3956" t="s">
        <v>63</v>
      </c>
      <c r="C3956" t="str">
        <f>HYPERLINK("http://service.sap.com/sap/support/notes/1993699","1993699")</f>
        <v>1993699</v>
      </c>
      <c r="D3956">
        <v>5</v>
      </c>
      <c r="E3956" t="s">
        <v>4281</v>
      </c>
      <c r="F3956" t="s">
        <v>17</v>
      </c>
    </row>
    <row r="3957" spans="1:6" x14ac:dyDescent="0.3">
      <c r="A3957" t="s">
        <v>1664</v>
      </c>
      <c r="B3957" t="s">
        <v>63</v>
      </c>
      <c r="C3957" t="str">
        <f>HYPERLINK("http://service.sap.com/sap/support/notes/2014618","2014618")</f>
        <v>2014618</v>
      </c>
      <c r="D3957">
        <v>1</v>
      </c>
      <c r="E3957" t="s">
        <v>4282</v>
      </c>
      <c r="F3957" t="s">
        <v>17</v>
      </c>
    </row>
    <row r="3958" spans="1:6" x14ac:dyDescent="0.3">
      <c r="A3958" t="s">
        <v>1664</v>
      </c>
      <c r="B3958" t="s">
        <v>63</v>
      </c>
      <c r="C3958" t="str">
        <f>HYPERLINK("http://service.sap.com/sap/support/notes/2019486","2019486")</f>
        <v>2019486</v>
      </c>
      <c r="D3958">
        <v>1</v>
      </c>
      <c r="E3958" t="s">
        <v>4283</v>
      </c>
      <c r="F3958" t="s">
        <v>17</v>
      </c>
    </row>
    <row r="3959" spans="1:6" x14ac:dyDescent="0.3">
      <c r="A3959" t="s">
        <v>4284</v>
      </c>
      <c r="B3959" t="s">
        <v>4285</v>
      </c>
      <c r="C3959" t="str">
        <f>HYPERLINK("http://service.sap.com/sap/support/notes/1998763","1998763")</f>
        <v>1998763</v>
      </c>
      <c r="D3959">
        <v>2</v>
      </c>
      <c r="E3959" t="s">
        <v>4286</v>
      </c>
      <c r="F3959" t="s">
        <v>17</v>
      </c>
    </row>
    <row r="3960" spans="1:6" x14ac:dyDescent="0.3">
      <c r="A3960" t="s">
        <v>1678</v>
      </c>
      <c r="B3960" t="s">
        <v>1679</v>
      </c>
    </row>
    <row r="3961" spans="1:6" x14ac:dyDescent="0.3">
      <c r="A3961" t="s">
        <v>1681</v>
      </c>
      <c r="B3961" t="s">
        <v>61</v>
      </c>
      <c r="C3961" t="str">
        <f>HYPERLINK("http://service.sap.com/sap/support/notes/1980088","1980088")</f>
        <v>1980088</v>
      </c>
      <c r="D3961">
        <v>5</v>
      </c>
      <c r="E3961" t="s">
        <v>4287</v>
      </c>
      <c r="F3961" t="s">
        <v>17</v>
      </c>
    </row>
    <row r="3962" spans="1:6" x14ac:dyDescent="0.3">
      <c r="A3962" t="s">
        <v>1681</v>
      </c>
      <c r="B3962" t="s">
        <v>61</v>
      </c>
      <c r="C3962" t="str">
        <f>HYPERLINK("http://service.sap.com/sap/support/notes/1983138","1983138")</f>
        <v>1983138</v>
      </c>
      <c r="D3962">
        <v>2</v>
      </c>
      <c r="E3962" t="s">
        <v>4288</v>
      </c>
      <c r="F3962" t="s">
        <v>17</v>
      </c>
    </row>
    <row r="3963" spans="1:6" x14ac:dyDescent="0.3">
      <c r="A3963" t="s">
        <v>1681</v>
      </c>
      <c r="B3963" t="s">
        <v>61</v>
      </c>
      <c r="C3963" t="str">
        <f>HYPERLINK("http://service.sap.com/sap/support/notes/1983355","1983355")</f>
        <v>1983355</v>
      </c>
      <c r="D3963">
        <v>3</v>
      </c>
      <c r="E3963" t="s">
        <v>4289</v>
      </c>
      <c r="F3963" t="s">
        <v>17</v>
      </c>
    </row>
    <row r="3964" spans="1:6" x14ac:dyDescent="0.3">
      <c r="A3964" t="s">
        <v>1681</v>
      </c>
      <c r="B3964" t="s">
        <v>61</v>
      </c>
      <c r="C3964" t="str">
        <f>HYPERLINK("http://service.sap.com/sap/support/notes/1986988","1986988")</f>
        <v>1986988</v>
      </c>
      <c r="D3964">
        <v>3</v>
      </c>
      <c r="E3964" t="s">
        <v>4290</v>
      </c>
      <c r="F3964" t="s">
        <v>17</v>
      </c>
    </row>
    <row r="3965" spans="1:6" x14ac:dyDescent="0.3">
      <c r="A3965" t="s">
        <v>1681</v>
      </c>
      <c r="B3965" t="s">
        <v>61</v>
      </c>
      <c r="C3965" t="str">
        <f>HYPERLINK("http://service.sap.com/sap/support/notes/1987577","1987577")</f>
        <v>1987577</v>
      </c>
      <c r="D3965">
        <v>4</v>
      </c>
      <c r="E3965" t="s">
        <v>4291</v>
      </c>
      <c r="F3965" t="s">
        <v>17</v>
      </c>
    </row>
    <row r="3966" spans="1:6" x14ac:dyDescent="0.3">
      <c r="A3966" t="s">
        <v>1681</v>
      </c>
      <c r="B3966" t="s">
        <v>61</v>
      </c>
      <c r="C3966" t="str">
        <f>HYPERLINK("http://service.sap.com/sap/support/notes/1991117","1991117")</f>
        <v>1991117</v>
      </c>
      <c r="D3966">
        <v>3</v>
      </c>
      <c r="E3966" t="s">
        <v>4292</v>
      </c>
      <c r="F3966" t="s">
        <v>17</v>
      </c>
    </row>
    <row r="3967" spans="1:6" x14ac:dyDescent="0.3">
      <c r="A3967" t="s">
        <v>1681</v>
      </c>
      <c r="B3967" t="s">
        <v>61</v>
      </c>
      <c r="C3967" t="str">
        <f>HYPERLINK("http://service.sap.com/sap/support/notes/1991473","1991473")</f>
        <v>1991473</v>
      </c>
      <c r="D3967">
        <v>2</v>
      </c>
      <c r="E3967" t="s">
        <v>4293</v>
      </c>
      <c r="F3967" t="s">
        <v>17</v>
      </c>
    </row>
    <row r="3968" spans="1:6" x14ac:dyDescent="0.3">
      <c r="A3968" t="s">
        <v>1681</v>
      </c>
      <c r="B3968" t="s">
        <v>61</v>
      </c>
      <c r="C3968" t="str">
        <f>HYPERLINK("http://service.sap.com/sap/support/notes/1991521","1991521")</f>
        <v>1991521</v>
      </c>
      <c r="D3968">
        <v>1</v>
      </c>
      <c r="E3968" t="s">
        <v>4294</v>
      </c>
      <c r="F3968" t="s">
        <v>17</v>
      </c>
    </row>
    <row r="3969" spans="1:6" x14ac:dyDescent="0.3">
      <c r="A3969" t="s">
        <v>1681</v>
      </c>
      <c r="B3969" t="s">
        <v>61</v>
      </c>
      <c r="C3969" t="str">
        <f>HYPERLINK("http://service.sap.com/sap/support/notes/1991523","1991523")</f>
        <v>1991523</v>
      </c>
      <c r="D3969">
        <v>1</v>
      </c>
      <c r="E3969" t="s">
        <v>4295</v>
      </c>
      <c r="F3969" t="s">
        <v>17</v>
      </c>
    </row>
    <row r="3970" spans="1:6" x14ac:dyDescent="0.3">
      <c r="A3970" t="s">
        <v>1681</v>
      </c>
      <c r="B3970" t="s">
        <v>61</v>
      </c>
      <c r="C3970" t="str">
        <f>HYPERLINK("http://service.sap.com/sap/support/notes/1991539","1991539")</f>
        <v>1991539</v>
      </c>
      <c r="D3970">
        <v>3</v>
      </c>
      <c r="E3970" t="s">
        <v>4296</v>
      </c>
      <c r="F3970" t="s">
        <v>17</v>
      </c>
    </row>
    <row r="3971" spans="1:6" x14ac:dyDescent="0.3">
      <c r="A3971" t="s">
        <v>1681</v>
      </c>
      <c r="B3971" t="s">
        <v>61</v>
      </c>
      <c r="C3971" t="str">
        <f>HYPERLINK("http://service.sap.com/sap/support/notes/1993790","1993790")</f>
        <v>1993790</v>
      </c>
      <c r="D3971">
        <v>3</v>
      </c>
      <c r="E3971" t="s">
        <v>4297</v>
      </c>
      <c r="F3971" t="s">
        <v>17</v>
      </c>
    </row>
    <row r="3972" spans="1:6" x14ac:dyDescent="0.3">
      <c r="A3972" t="s">
        <v>1681</v>
      </c>
      <c r="B3972" t="s">
        <v>61</v>
      </c>
      <c r="C3972" t="str">
        <f>HYPERLINK("http://service.sap.com/sap/support/notes/1994306","1994306")</f>
        <v>1994306</v>
      </c>
      <c r="D3972">
        <v>4</v>
      </c>
      <c r="E3972" t="s">
        <v>4298</v>
      </c>
      <c r="F3972" t="s">
        <v>17</v>
      </c>
    </row>
    <row r="3973" spans="1:6" x14ac:dyDescent="0.3">
      <c r="A3973" t="s">
        <v>1681</v>
      </c>
      <c r="B3973" t="s">
        <v>61</v>
      </c>
      <c r="C3973" t="str">
        <f>HYPERLINK("http://service.sap.com/sap/support/notes/1995239","1995239")</f>
        <v>1995239</v>
      </c>
      <c r="D3973">
        <v>1</v>
      </c>
      <c r="E3973" t="s">
        <v>4299</v>
      </c>
      <c r="F3973" t="s">
        <v>13</v>
      </c>
    </row>
    <row r="3974" spans="1:6" x14ac:dyDescent="0.3">
      <c r="A3974" t="s">
        <v>1681</v>
      </c>
      <c r="B3974" t="s">
        <v>61</v>
      </c>
      <c r="C3974" t="str">
        <f>HYPERLINK("http://service.sap.com/sap/support/notes/1995575","1995575")</f>
        <v>1995575</v>
      </c>
      <c r="D3974">
        <v>5</v>
      </c>
      <c r="E3974" t="s">
        <v>4300</v>
      </c>
      <c r="F3974" t="s">
        <v>17</v>
      </c>
    </row>
    <row r="3975" spans="1:6" x14ac:dyDescent="0.3">
      <c r="A3975" t="s">
        <v>1681</v>
      </c>
      <c r="B3975" t="s">
        <v>61</v>
      </c>
      <c r="C3975" t="str">
        <f>HYPERLINK("http://service.sap.com/sap/support/notes/1995785","1995785")</f>
        <v>1995785</v>
      </c>
      <c r="D3975">
        <v>1</v>
      </c>
      <c r="E3975" t="s">
        <v>4301</v>
      </c>
      <c r="F3975" t="s">
        <v>17</v>
      </c>
    </row>
    <row r="3976" spans="1:6" x14ac:dyDescent="0.3">
      <c r="A3976" t="s">
        <v>1681</v>
      </c>
      <c r="B3976" t="s">
        <v>61</v>
      </c>
      <c r="C3976" t="str">
        <f>HYPERLINK("http://service.sap.com/sap/support/notes/1996477","1996477")</f>
        <v>1996477</v>
      </c>
      <c r="D3976">
        <v>12</v>
      </c>
      <c r="E3976" t="s">
        <v>4302</v>
      </c>
      <c r="F3976" t="s">
        <v>17</v>
      </c>
    </row>
    <row r="3977" spans="1:6" x14ac:dyDescent="0.3">
      <c r="A3977" t="s">
        <v>1681</v>
      </c>
      <c r="B3977" t="s">
        <v>61</v>
      </c>
      <c r="C3977" t="str">
        <f>HYPERLINK("http://service.sap.com/sap/support/notes/1998083","1998083")</f>
        <v>1998083</v>
      </c>
      <c r="D3977">
        <v>4</v>
      </c>
      <c r="E3977" t="s">
        <v>4303</v>
      </c>
      <c r="F3977" t="s">
        <v>17</v>
      </c>
    </row>
    <row r="3978" spans="1:6" x14ac:dyDescent="0.3">
      <c r="A3978" t="s">
        <v>1681</v>
      </c>
      <c r="B3978" t="s">
        <v>61</v>
      </c>
      <c r="C3978" t="str">
        <f>HYPERLINK("http://service.sap.com/sap/support/notes/1998479","1998479")</f>
        <v>1998479</v>
      </c>
      <c r="D3978">
        <v>2</v>
      </c>
      <c r="E3978" t="s">
        <v>4304</v>
      </c>
      <c r="F3978" t="s">
        <v>17</v>
      </c>
    </row>
    <row r="3979" spans="1:6" x14ac:dyDescent="0.3">
      <c r="A3979" t="s">
        <v>1681</v>
      </c>
      <c r="B3979" t="s">
        <v>61</v>
      </c>
      <c r="C3979" t="str">
        <f>HYPERLINK("http://service.sap.com/sap/support/notes/1999870","1999870")</f>
        <v>1999870</v>
      </c>
      <c r="D3979">
        <v>1</v>
      </c>
      <c r="E3979" t="s">
        <v>4305</v>
      </c>
      <c r="F3979" t="s">
        <v>17</v>
      </c>
    </row>
    <row r="3980" spans="1:6" x14ac:dyDescent="0.3">
      <c r="A3980" t="s">
        <v>1681</v>
      </c>
      <c r="B3980" t="s">
        <v>61</v>
      </c>
      <c r="C3980" t="str">
        <f>HYPERLINK("http://service.sap.com/sap/support/notes/1999972","1999972")</f>
        <v>1999972</v>
      </c>
      <c r="D3980">
        <v>4</v>
      </c>
      <c r="E3980" t="s">
        <v>4306</v>
      </c>
      <c r="F3980" t="s">
        <v>17</v>
      </c>
    </row>
    <row r="3981" spans="1:6" x14ac:dyDescent="0.3">
      <c r="A3981" t="s">
        <v>1681</v>
      </c>
      <c r="B3981" t="s">
        <v>61</v>
      </c>
      <c r="C3981" t="str">
        <f>HYPERLINK("http://service.sap.com/sap/support/notes/2000583","2000583")</f>
        <v>2000583</v>
      </c>
      <c r="D3981">
        <v>2</v>
      </c>
      <c r="E3981" t="s">
        <v>4307</v>
      </c>
      <c r="F3981" t="s">
        <v>17</v>
      </c>
    </row>
    <row r="3982" spans="1:6" x14ac:dyDescent="0.3">
      <c r="A3982" t="s">
        <v>1681</v>
      </c>
      <c r="B3982" t="s">
        <v>61</v>
      </c>
      <c r="C3982" t="str">
        <f>HYPERLINK("http://service.sap.com/sap/support/notes/2000691","2000691")</f>
        <v>2000691</v>
      </c>
      <c r="D3982">
        <v>1</v>
      </c>
      <c r="E3982" t="s">
        <v>4308</v>
      </c>
      <c r="F3982" t="s">
        <v>17</v>
      </c>
    </row>
    <row r="3983" spans="1:6" x14ac:dyDescent="0.3">
      <c r="A3983" t="s">
        <v>1681</v>
      </c>
      <c r="B3983" t="s">
        <v>61</v>
      </c>
      <c r="C3983" t="str">
        <f>HYPERLINK("http://service.sap.com/sap/support/notes/2001458","2001458")</f>
        <v>2001458</v>
      </c>
      <c r="D3983">
        <v>3</v>
      </c>
      <c r="E3983" t="s">
        <v>4309</v>
      </c>
      <c r="F3983" t="s">
        <v>17</v>
      </c>
    </row>
    <row r="3984" spans="1:6" x14ac:dyDescent="0.3">
      <c r="A3984" t="s">
        <v>1681</v>
      </c>
      <c r="B3984" t="s">
        <v>61</v>
      </c>
      <c r="C3984" t="str">
        <f>HYPERLINK("http://service.sap.com/sap/support/notes/2001581","2001581")</f>
        <v>2001581</v>
      </c>
      <c r="D3984">
        <v>1</v>
      </c>
      <c r="E3984" t="s">
        <v>4310</v>
      </c>
      <c r="F3984" t="s">
        <v>17</v>
      </c>
    </row>
    <row r="3985" spans="1:6" x14ac:dyDescent="0.3">
      <c r="A3985" t="s">
        <v>1681</v>
      </c>
      <c r="B3985" t="s">
        <v>61</v>
      </c>
      <c r="C3985" t="str">
        <f>HYPERLINK("http://service.sap.com/sap/support/notes/2002046","2002046")</f>
        <v>2002046</v>
      </c>
      <c r="D3985">
        <v>3</v>
      </c>
      <c r="E3985" t="s">
        <v>4311</v>
      </c>
      <c r="F3985" t="s">
        <v>17</v>
      </c>
    </row>
    <row r="3986" spans="1:6" x14ac:dyDescent="0.3">
      <c r="A3986" t="s">
        <v>1681</v>
      </c>
      <c r="B3986" t="s">
        <v>61</v>
      </c>
      <c r="C3986" t="str">
        <f>HYPERLINK("http://service.sap.com/sap/support/notes/2002488","2002488")</f>
        <v>2002488</v>
      </c>
      <c r="D3986">
        <v>1</v>
      </c>
      <c r="E3986" t="s">
        <v>4312</v>
      </c>
      <c r="F3986" t="s">
        <v>17</v>
      </c>
    </row>
    <row r="3987" spans="1:6" x14ac:dyDescent="0.3">
      <c r="A3987" t="s">
        <v>1681</v>
      </c>
      <c r="B3987" t="s">
        <v>61</v>
      </c>
      <c r="C3987" t="str">
        <f>HYPERLINK("http://service.sap.com/sap/support/notes/2003377","2003377")</f>
        <v>2003377</v>
      </c>
      <c r="D3987">
        <v>1</v>
      </c>
      <c r="E3987" t="s">
        <v>4313</v>
      </c>
      <c r="F3987" t="s">
        <v>17</v>
      </c>
    </row>
    <row r="3988" spans="1:6" x14ac:dyDescent="0.3">
      <c r="A3988" t="s">
        <v>1681</v>
      </c>
      <c r="B3988" t="s">
        <v>61</v>
      </c>
      <c r="C3988" t="str">
        <f>HYPERLINK("http://service.sap.com/sap/support/notes/2003630","2003630")</f>
        <v>2003630</v>
      </c>
      <c r="D3988">
        <v>2</v>
      </c>
      <c r="E3988" t="s">
        <v>4314</v>
      </c>
      <c r="F3988" t="s">
        <v>17</v>
      </c>
    </row>
    <row r="3989" spans="1:6" x14ac:dyDescent="0.3">
      <c r="A3989" t="s">
        <v>1681</v>
      </c>
      <c r="B3989" t="s">
        <v>61</v>
      </c>
      <c r="C3989" t="str">
        <f>HYPERLINK("http://service.sap.com/sap/support/notes/2005330","2005330")</f>
        <v>2005330</v>
      </c>
      <c r="D3989">
        <v>1</v>
      </c>
      <c r="E3989" t="s">
        <v>4315</v>
      </c>
      <c r="F3989" t="s">
        <v>17</v>
      </c>
    </row>
    <row r="3990" spans="1:6" x14ac:dyDescent="0.3">
      <c r="A3990" t="s">
        <v>1681</v>
      </c>
      <c r="B3990" t="s">
        <v>61</v>
      </c>
      <c r="C3990" t="str">
        <f>HYPERLINK("http://service.sap.com/sap/support/notes/2005843","2005843")</f>
        <v>2005843</v>
      </c>
      <c r="D3990">
        <v>3</v>
      </c>
      <c r="E3990" t="s">
        <v>4316</v>
      </c>
      <c r="F3990" t="s">
        <v>17</v>
      </c>
    </row>
    <row r="3991" spans="1:6" x14ac:dyDescent="0.3">
      <c r="A3991" t="s">
        <v>1681</v>
      </c>
      <c r="B3991" t="s">
        <v>61</v>
      </c>
      <c r="C3991" t="str">
        <f>HYPERLINK("http://service.sap.com/sap/support/notes/2006368","2006368")</f>
        <v>2006368</v>
      </c>
      <c r="D3991">
        <v>1</v>
      </c>
      <c r="E3991" t="s">
        <v>4317</v>
      </c>
      <c r="F3991" t="s">
        <v>17</v>
      </c>
    </row>
    <row r="3992" spans="1:6" x14ac:dyDescent="0.3">
      <c r="A3992" t="s">
        <v>1681</v>
      </c>
      <c r="B3992" t="s">
        <v>61</v>
      </c>
      <c r="C3992" t="str">
        <f>HYPERLINK("http://service.sap.com/sap/support/notes/2006431","2006431")</f>
        <v>2006431</v>
      </c>
      <c r="D3992">
        <v>2</v>
      </c>
      <c r="E3992" t="s">
        <v>4318</v>
      </c>
      <c r="F3992" t="s">
        <v>17</v>
      </c>
    </row>
    <row r="3993" spans="1:6" x14ac:dyDescent="0.3">
      <c r="A3993" t="s">
        <v>1681</v>
      </c>
      <c r="B3993" t="s">
        <v>61</v>
      </c>
      <c r="C3993" t="str">
        <f>HYPERLINK("http://service.sap.com/sap/support/notes/2006493","2006493")</f>
        <v>2006493</v>
      </c>
      <c r="D3993">
        <v>1</v>
      </c>
      <c r="E3993" t="s">
        <v>4319</v>
      </c>
      <c r="F3993" t="s">
        <v>17</v>
      </c>
    </row>
    <row r="3994" spans="1:6" x14ac:dyDescent="0.3">
      <c r="A3994" t="s">
        <v>1681</v>
      </c>
      <c r="B3994" t="s">
        <v>61</v>
      </c>
      <c r="C3994" t="str">
        <f>HYPERLINK("http://service.sap.com/sap/support/notes/2007049","2007049")</f>
        <v>2007049</v>
      </c>
      <c r="D3994">
        <v>3</v>
      </c>
      <c r="E3994" t="s">
        <v>4320</v>
      </c>
      <c r="F3994" t="s">
        <v>17</v>
      </c>
    </row>
    <row r="3995" spans="1:6" x14ac:dyDescent="0.3">
      <c r="A3995" t="s">
        <v>1681</v>
      </c>
      <c r="B3995" t="s">
        <v>61</v>
      </c>
      <c r="C3995" t="str">
        <f>HYPERLINK("http://service.sap.com/sap/support/notes/2007424","2007424")</f>
        <v>2007424</v>
      </c>
      <c r="D3995">
        <v>1</v>
      </c>
      <c r="E3995" t="s">
        <v>4321</v>
      </c>
      <c r="F3995" t="s">
        <v>17</v>
      </c>
    </row>
    <row r="3996" spans="1:6" x14ac:dyDescent="0.3">
      <c r="A3996" t="s">
        <v>1681</v>
      </c>
      <c r="B3996" t="s">
        <v>61</v>
      </c>
      <c r="C3996" t="str">
        <f>HYPERLINK("http://service.sap.com/sap/support/notes/2007476","2007476")</f>
        <v>2007476</v>
      </c>
      <c r="D3996">
        <v>2</v>
      </c>
      <c r="E3996" t="s">
        <v>4322</v>
      </c>
      <c r="F3996" t="s">
        <v>17</v>
      </c>
    </row>
    <row r="3997" spans="1:6" x14ac:dyDescent="0.3">
      <c r="A3997" t="s">
        <v>1681</v>
      </c>
      <c r="B3997" t="s">
        <v>61</v>
      </c>
      <c r="C3997" t="str">
        <f>HYPERLINK("http://service.sap.com/sap/support/notes/2008463","2008463")</f>
        <v>2008463</v>
      </c>
      <c r="D3997">
        <v>1</v>
      </c>
      <c r="E3997" t="s">
        <v>4323</v>
      </c>
      <c r="F3997" t="s">
        <v>17</v>
      </c>
    </row>
    <row r="3998" spans="1:6" x14ac:dyDescent="0.3">
      <c r="A3998" t="s">
        <v>1681</v>
      </c>
      <c r="B3998" t="s">
        <v>61</v>
      </c>
      <c r="C3998" t="str">
        <f>HYPERLINK("http://service.sap.com/sap/support/notes/2008677","2008677")</f>
        <v>2008677</v>
      </c>
      <c r="D3998">
        <v>3</v>
      </c>
      <c r="E3998" t="s">
        <v>4324</v>
      </c>
      <c r="F3998" t="s">
        <v>17</v>
      </c>
    </row>
    <row r="3999" spans="1:6" x14ac:dyDescent="0.3">
      <c r="A3999" t="s">
        <v>1681</v>
      </c>
      <c r="B3999" t="s">
        <v>61</v>
      </c>
      <c r="C3999" t="str">
        <f>HYPERLINK("http://service.sap.com/sap/support/notes/2010986","2010986")</f>
        <v>2010986</v>
      </c>
      <c r="D3999">
        <v>1</v>
      </c>
      <c r="E3999" t="s">
        <v>4325</v>
      </c>
      <c r="F3999" t="s">
        <v>17</v>
      </c>
    </row>
    <row r="4000" spans="1:6" x14ac:dyDescent="0.3">
      <c r="A4000" t="s">
        <v>1681</v>
      </c>
      <c r="B4000" t="s">
        <v>61</v>
      </c>
      <c r="C4000" t="str">
        <f>HYPERLINK("http://service.sap.com/sap/support/notes/2011110","2011110")</f>
        <v>2011110</v>
      </c>
      <c r="D4000">
        <v>2</v>
      </c>
      <c r="E4000" t="s">
        <v>4326</v>
      </c>
      <c r="F4000" t="s">
        <v>17</v>
      </c>
    </row>
    <row r="4001" spans="1:6" x14ac:dyDescent="0.3">
      <c r="A4001" t="s">
        <v>1681</v>
      </c>
      <c r="B4001" t="s">
        <v>61</v>
      </c>
      <c r="C4001" t="str">
        <f>HYPERLINK("http://service.sap.com/sap/support/notes/2011457","2011457")</f>
        <v>2011457</v>
      </c>
      <c r="D4001">
        <v>1</v>
      </c>
      <c r="E4001" t="s">
        <v>4327</v>
      </c>
      <c r="F4001" t="s">
        <v>17</v>
      </c>
    </row>
    <row r="4002" spans="1:6" x14ac:dyDescent="0.3">
      <c r="A4002" t="s">
        <v>1681</v>
      </c>
      <c r="B4002" t="s">
        <v>61</v>
      </c>
      <c r="C4002" t="str">
        <f>HYPERLINK("http://service.sap.com/sap/support/notes/2013037","2013037")</f>
        <v>2013037</v>
      </c>
      <c r="D4002">
        <v>1</v>
      </c>
      <c r="E4002" t="s">
        <v>4328</v>
      </c>
      <c r="F4002" t="s">
        <v>17</v>
      </c>
    </row>
    <row r="4003" spans="1:6" x14ac:dyDescent="0.3">
      <c r="A4003" t="s">
        <v>1681</v>
      </c>
      <c r="B4003" t="s">
        <v>61</v>
      </c>
      <c r="C4003" t="str">
        <f>HYPERLINK("http://service.sap.com/sap/support/notes/2013870","2013870")</f>
        <v>2013870</v>
      </c>
      <c r="D4003">
        <v>3</v>
      </c>
      <c r="E4003" t="s">
        <v>4329</v>
      </c>
      <c r="F4003" t="s">
        <v>17</v>
      </c>
    </row>
    <row r="4004" spans="1:6" x14ac:dyDescent="0.3">
      <c r="A4004" t="s">
        <v>1681</v>
      </c>
      <c r="B4004" t="s">
        <v>61</v>
      </c>
      <c r="C4004" t="str">
        <f>HYPERLINK("http://service.sap.com/sap/support/notes/2014018","2014018")</f>
        <v>2014018</v>
      </c>
      <c r="D4004">
        <v>2</v>
      </c>
      <c r="E4004" t="s">
        <v>4330</v>
      </c>
      <c r="F4004" t="s">
        <v>17</v>
      </c>
    </row>
    <row r="4005" spans="1:6" x14ac:dyDescent="0.3">
      <c r="A4005" t="s">
        <v>1681</v>
      </c>
      <c r="B4005" t="s">
        <v>61</v>
      </c>
      <c r="C4005" t="str">
        <f>HYPERLINK("http://service.sap.com/sap/support/notes/2015628","2015628")</f>
        <v>2015628</v>
      </c>
      <c r="D4005">
        <v>4</v>
      </c>
      <c r="E4005" t="s">
        <v>4331</v>
      </c>
      <c r="F4005" t="s">
        <v>17</v>
      </c>
    </row>
    <row r="4006" spans="1:6" x14ac:dyDescent="0.3">
      <c r="A4006" t="s">
        <v>1681</v>
      </c>
      <c r="B4006" t="s">
        <v>61</v>
      </c>
      <c r="C4006" t="str">
        <f>HYPERLINK("http://service.sap.com/sap/support/notes/2017315","2017315")</f>
        <v>2017315</v>
      </c>
      <c r="D4006">
        <v>1</v>
      </c>
      <c r="E4006" t="s">
        <v>4332</v>
      </c>
      <c r="F4006" t="s">
        <v>17</v>
      </c>
    </row>
    <row r="4007" spans="1:6" x14ac:dyDescent="0.3">
      <c r="A4007" t="s">
        <v>1681</v>
      </c>
      <c r="B4007" t="s">
        <v>61</v>
      </c>
      <c r="C4007" t="str">
        <f>HYPERLINK("http://service.sap.com/sap/support/notes/2019376","2019376")</f>
        <v>2019376</v>
      </c>
      <c r="D4007">
        <v>1</v>
      </c>
      <c r="E4007" t="s">
        <v>4333</v>
      </c>
      <c r="F4007" t="s">
        <v>17</v>
      </c>
    </row>
    <row r="4008" spans="1:6" x14ac:dyDescent="0.3">
      <c r="A4008" t="s">
        <v>1681</v>
      </c>
      <c r="B4008" t="s">
        <v>61</v>
      </c>
      <c r="C4008" t="str">
        <f>HYPERLINK("http://service.sap.com/sap/support/notes/2019404","2019404")</f>
        <v>2019404</v>
      </c>
      <c r="D4008">
        <v>1</v>
      </c>
      <c r="E4008" t="s">
        <v>4334</v>
      </c>
      <c r="F4008" t="s">
        <v>17</v>
      </c>
    </row>
    <row r="4009" spans="1:6" x14ac:dyDescent="0.3">
      <c r="A4009" t="s">
        <v>1681</v>
      </c>
      <c r="B4009" t="s">
        <v>61</v>
      </c>
      <c r="C4009" t="str">
        <f>HYPERLINK("http://service.sap.com/sap/support/notes/2019571","2019571")</f>
        <v>2019571</v>
      </c>
      <c r="D4009">
        <v>1</v>
      </c>
      <c r="E4009" t="s">
        <v>4335</v>
      </c>
      <c r="F4009" t="s">
        <v>17</v>
      </c>
    </row>
    <row r="4010" spans="1:6" x14ac:dyDescent="0.3">
      <c r="A4010" t="s">
        <v>1681</v>
      </c>
      <c r="B4010" t="s">
        <v>61</v>
      </c>
      <c r="C4010" t="str">
        <f>HYPERLINK("http://service.sap.com/sap/support/notes/2019709","2019709")</f>
        <v>2019709</v>
      </c>
      <c r="D4010">
        <v>1</v>
      </c>
      <c r="E4010" t="s">
        <v>3506</v>
      </c>
      <c r="F4010" t="s">
        <v>17</v>
      </c>
    </row>
    <row r="4011" spans="1:6" x14ac:dyDescent="0.3">
      <c r="A4011" t="s">
        <v>1681</v>
      </c>
      <c r="B4011" t="s">
        <v>61</v>
      </c>
      <c r="C4011" t="str">
        <f>HYPERLINK("http://service.sap.com/sap/support/notes/2019739","2019739")</f>
        <v>2019739</v>
      </c>
      <c r="D4011">
        <v>1</v>
      </c>
      <c r="E4011" t="s">
        <v>4336</v>
      </c>
      <c r="F4011" t="s">
        <v>17</v>
      </c>
    </row>
    <row r="4012" spans="1:6" x14ac:dyDescent="0.3">
      <c r="A4012" t="s">
        <v>1681</v>
      </c>
      <c r="B4012" t="s">
        <v>61</v>
      </c>
      <c r="C4012" t="str">
        <f>HYPERLINK("http://service.sap.com/sap/support/notes/2019827","2019827")</f>
        <v>2019827</v>
      </c>
      <c r="D4012">
        <v>1</v>
      </c>
      <c r="E4012" t="s">
        <v>4337</v>
      </c>
      <c r="F4012" t="s">
        <v>17</v>
      </c>
    </row>
    <row r="4013" spans="1:6" x14ac:dyDescent="0.3">
      <c r="A4013" t="s">
        <v>1681</v>
      </c>
      <c r="B4013" t="s">
        <v>61</v>
      </c>
      <c r="C4013" t="str">
        <f>HYPERLINK("http://service.sap.com/sap/support/notes/2020460","2020460")</f>
        <v>2020460</v>
      </c>
      <c r="D4013">
        <v>2</v>
      </c>
      <c r="E4013" t="s">
        <v>4338</v>
      </c>
      <c r="F4013" t="s">
        <v>17</v>
      </c>
    </row>
    <row r="4014" spans="1:6" x14ac:dyDescent="0.3">
      <c r="A4014" t="s">
        <v>1681</v>
      </c>
      <c r="B4014" t="s">
        <v>61</v>
      </c>
      <c r="C4014" t="str">
        <f>HYPERLINK("http://service.sap.com/sap/support/notes/2020690","2020690")</f>
        <v>2020690</v>
      </c>
      <c r="D4014">
        <v>1</v>
      </c>
      <c r="E4014" t="s">
        <v>4339</v>
      </c>
      <c r="F4014" t="s">
        <v>17</v>
      </c>
    </row>
    <row r="4015" spans="1:6" x14ac:dyDescent="0.3">
      <c r="A4015" t="s">
        <v>1681</v>
      </c>
      <c r="B4015" t="s">
        <v>61</v>
      </c>
      <c r="C4015" t="str">
        <f>HYPERLINK("http://service.sap.com/sap/support/notes/2020720","2020720")</f>
        <v>2020720</v>
      </c>
      <c r="D4015">
        <v>2</v>
      </c>
      <c r="E4015" t="s">
        <v>4340</v>
      </c>
      <c r="F4015" t="s">
        <v>13</v>
      </c>
    </row>
    <row r="4016" spans="1:6" x14ac:dyDescent="0.3">
      <c r="A4016" t="s">
        <v>1681</v>
      </c>
      <c r="B4016" t="s">
        <v>61</v>
      </c>
      <c r="C4016" t="str">
        <f>HYPERLINK("http://service.sap.com/sap/support/notes/2020991","2020991")</f>
        <v>2020991</v>
      </c>
      <c r="D4016">
        <v>3</v>
      </c>
      <c r="E4016" t="s">
        <v>4341</v>
      </c>
      <c r="F4016" t="s">
        <v>17</v>
      </c>
    </row>
    <row r="4017" spans="1:6" x14ac:dyDescent="0.3">
      <c r="A4017" t="s">
        <v>1681</v>
      </c>
      <c r="B4017" t="s">
        <v>61</v>
      </c>
      <c r="C4017" t="str">
        <f>HYPERLINK("http://service.sap.com/sap/support/notes/2021718","2021718")</f>
        <v>2021718</v>
      </c>
      <c r="D4017">
        <v>4</v>
      </c>
      <c r="E4017" t="s">
        <v>4306</v>
      </c>
      <c r="F4017" t="s">
        <v>17</v>
      </c>
    </row>
    <row r="4018" spans="1:6" x14ac:dyDescent="0.3">
      <c r="A4018" t="s">
        <v>1681</v>
      </c>
      <c r="B4018" t="s">
        <v>61</v>
      </c>
      <c r="C4018" t="str">
        <f>HYPERLINK("http://service.sap.com/sap/support/notes/2022087","2022087")</f>
        <v>2022087</v>
      </c>
      <c r="D4018">
        <v>9</v>
      </c>
      <c r="E4018" t="s">
        <v>4342</v>
      </c>
      <c r="F4018" t="s">
        <v>17</v>
      </c>
    </row>
    <row r="4019" spans="1:6" x14ac:dyDescent="0.3">
      <c r="A4019" t="s">
        <v>1681</v>
      </c>
      <c r="B4019" t="s">
        <v>61</v>
      </c>
      <c r="C4019" t="str">
        <f>HYPERLINK("http://service.sap.com/sap/support/notes/2022644","2022644")</f>
        <v>2022644</v>
      </c>
      <c r="D4019">
        <v>6</v>
      </c>
      <c r="E4019" t="s">
        <v>4343</v>
      </c>
      <c r="F4019" t="s">
        <v>17</v>
      </c>
    </row>
    <row r="4020" spans="1:6" x14ac:dyDescent="0.3">
      <c r="A4020" t="s">
        <v>1681</v>
      </c>
      <c r="B4020" t="s">
        <v>61</v>
      </c>
      <c r="C4020" t="str">
        <f>HYPERLINK("http://service.sap.com/sap/support/notes/2022925","2022925")</f>
        <v>2022925</v>
      </c>
      <c r="D4020">
        <v>3</v>
      </c>
      <c r="E4020" t="s">
        <v>4344</v>
      </c>
      <c r="F4020" t="s">
        <v>17</v>
      </c>
    </row>
    <row r="4021" spans="1:6" x14ac:dyDescent="0.3">
      <c r="A4021" t="s">
        <v>1681</v>
      </c>
      <c r="B4021" t="s">
        <v>61</v>
      </c>
      <c r="C4021" t="str">
        <f>HYPERLINK("http://service.sap.com/sap/support/notes/2023797","2023797")</f>
        <v>2023797</v>
      </c>
      <c r="D4021">
        <v>6</v>
      </c>
      <c r="E4021" t="s">
        <v>4345</v>
      </c>
      <c r="F4021" t="s">
        <v>17</v>
      </c>
    </row>
    <row r="4022" spans="1:6" x14ac:dyDescent="0.3">
      <c r="A4022" t="s">
        <v>1681</v>
      </c>
      <c r="B4022" t="s">
        <v>61</v>
      </c>
      <c r="C4022" t="str">
        <f>HYPERLINK("http://service.sap.com/sap/support/notes/2023923","2023923")</f>
        <v>2023923</v>
      </c>
      <c r="D4022">
        <v>1</v>
      </c>
      <c r="E4022" t="s">
        <v>4346</v>
      </c>
      <c r="F4022" t="s">
        <v>17</v>
      </c>
    </row>
    <row r="4023" spans="1:6" x14ac:dyDescent="0.3">
      <c r="A4023" t="s">
        <v>1681</v>
      </c>
      <c r="B4023" t="s">
        <v>61</v>
      </c>
      <c r="C4023" t="str">
        <f>HYPERLINK("http://service.sap.com/sap/support/notes/2024297","2024297")</f>
        <v>2024297</v>
      </c>
      <c r="D4023">
        <v>1</v>
      </c>
      <c r="E4023" t="s">
        <v>4347</v>
      </c>
      <c r="F4023" t="s">
        <v>17</v>
      </c>
    </row>
    <row r="4024" spans="1:6" x14ac:dyDescent="0.3">
      <c r="A4024" t="s">
        <v>1681</v>
      </c>
      <c r="B4024" t="s">
        <v>61</v>
      </c>
      <c r="C4024" t="str">
        <f>HYPERLINK("http://service.sap.com/sap/support/notes/2026564","2026564")</f>
        <v>2026564</v>
      </c>
      <c r="D4024">
        <v>1</v>
      </c>
      <c r="E4024" t="s">
        <v>4348</v>
      </c>
      <c r="F4024" t="s">
        <v>17</v>
      </c>
    </row>
    <row r="4025" spans="1:6" x14ac:dyDescent="0.3">
      <c r="A4025" t="s">
        <v>1681</v>
      </c>
      <c r="B4025" t="s">
        <v>61</v>
      </c>
      <c r="C4025" t="str">
        <f>HYPERLINK("http://service.sap.com/sap/support/notes/2027655","2027655")</f>
        <v>2027655</v>
      </c>
      <c r="D4025">
        <v>1</v>
      </c>
      <c r="E4025" t="s">
        <v>4349</v>
      </c>
      <c r="F4025" t="s">
        <v>17</v>
      </c>
    </row>
    <row r="4026" spans="1:6" x14ac:dyDescent="0.3">
      <c r="A4026" t="s">
        <v>2600</v>
      </c>
      <c r="B4026" t="s">
        <v>2601</v>
      </c>
    </row>
    <row r="4027" spans="1:6" x14ac:dyDescent="0.3">
      <c r="A4027" t="s">
        <v>2602</v>
      </c>
      <c r="B4027" t="s">
        <v>2603</v>
      </c>
      <c r="C4027" t="str">
        <f>HYPERLINK("http://service.sap.com/sap/support/notes/1944853","1944853")</f>
        <v>1944853</v>
      </c>
      <c r="D4027">
        <v>4</v>
      </c>
      <c r="E4027" t="s">
        <v>4350</v>
      </c>
      <c r="F4027" t="s">
        <v>17</v>
      </c>
    </row>
    <row r="4028" spans="1:6" x14ac:dyDescent="0.3">
      <c r="A4028" t="s">
        <v>2602</v>
      </c>
      <c r="B4028" t="s">
        <v>2603</v>
      </c>
      <c r="C4028" t="str">
        <f>HYPERLINK("http://service.sap.com/sap/support/notes/1992068","1992068")</f>
        <v>1992068</v>
      </c>
      <c r="D4028">
        <v>2</v>
      </c>
      <c r="E4028" t="s">
        <v>3603</v>
      </c>
      <c r="F4028" t="s">
        <v>17</v>
      </c>
    </row>
    <row r="4029" spans="1:6" x14ac:dyDescent="0.3">
      <c r="A4029" t="s">
        <v>2602</v>
      </c>
      <c r="B4029" t="s">
        <v>2603</v>
      </c>
      <c r="C4029" t="str">
        <f>HYPERLINK("http://service.sap.com/sap/support/notes/1994490","1994490")</f>
        <v>1994490</v>
      </c>
      <c r="D4029">
        <v>8</v>
      </c>
      <c r="E4029" t="s">
        <v>4351</v>
      </c>
      <c r="F4029" t="s">
        <v>17</v>
      </c>
    </row>
    <row r="4030" spans="1:6" x14ac:dyDescent="0.3">
      <c r="A4030" t="s">
        <v>2602</v>
      </c>
      <c r="B4030" t="s">
        <v>2603</v>
      </c>
      <c r="C4030" t="str">
        <f>HYPERLINK("http://service.sap.com/sap/support/notes/2003742","2003742")</f>
        <v>2003742</v>
      </c>
      <c r="D4030">
        <v>1</v>
      </c>
      <c r="E4030" t="s">
        <v>4352</v>
      </c>
      <c r="F4030" t="s">
        <v>17</v>
      </c>
    </row>
    <row r="4031" spans="1:6" x14ac:dyDescent="0.3">
      <c r="A4031" t="s">
        <v>1794</v>
      </c>
      <c r="B4031" t="s">
        <v>1795</v>
      </c>
    </row>
    <row r="4032" spans="1:6" x14ac:dyDescent="0.3">
      <c r="A4032" t="s">
        <v>1796</v>
      </c>
      <c r="B4032" t="s">
        <v>61</v>
      </c>
      <c r="C4032" t="str">
        <f>HYPERLINK("http://service.sap.com/sap/support/notes/1961101","1961101")</f>
        <v>1961101</v>
      </c>
      <c r="D4032">
        <v>8</v>
      </c>
      <c r="E4032" t="s">
        <v>4353</v>
      </c>
      <c r="F4032" t="s">
        <v>11</v>
      </c>
    </row>
    <row r="4033" spans="1:6" x14ac:dyDescent="0.3">
      <c r="A4033" t="s">
        <v>1796</v>
      </c>
      <c r="B4033" t="s">
        <v>61</v>
      </c>
      <c r="C4033" t="str">
        <f>HYPERLINK("http://service.sap.com/sap/support/notes/1989287","1989287")</f>
        <v>1989287</v>
      </c>
      <c r="D4033">
        <v>6</v>
      </c>
      <c r="E4033" t="s">
        <v>4354</v>
      </c>
      <c r="F4033" t="s">
        <v>11</v>
      </c>
    </row>
    <row r="4034" spans="1:6" x14ac:dyDescent="0.3">
      <c r="A4034" t="s">
        <v>1796</v>
      </c>
      <c r="B4034" t="s">
        <v>61</v>
      </c>
      <c r="C4034" t="str">
        <f>HYPERLINK("http://service.sap.com/sap/support/notes/1993206","1993206")</f>
        <v>1993206</v>
      </c>
      <c r="D4034">
        <v>4</v>
      </c>
      <c r="E4034" t="s">
        <v>4355</v>
      </c>
      <c r="F4034" t="s">
        <v>11</v>
      </c>
    </row>
    <row r="4035" spans="1:6" x14ac:dyDescent="0.3">
      <c r="A4035" t="s">
        <v>1796</v>
      </c>
      <c r="B4035" t="s">
        <v>61</v>
      </c>
      <c r="C4035" t="str">
        <f>HYPERLINK("http://service.sap.com/sap/support/notes/1994915","1994915")</f>
        <v>1994915</v>
      </c>
      <c r="D4035">
        <v>5</v>
      </c>
      <c r="E4035" t="s">
        <v>4356</v>
      </c>
      <c r="F4035" t="s">
        <v>11</v>
      </c>
    </row>
    <row r="4036" spans="1:6" x14ac:dyDescent="0.3">
      <c r="A4036" t="s">
        <v>1798</v>
      </c>
      <c r="B4036" t="s">
        <v>1799</v>
      </c>
      <c r="C4036" t="str">
        <f>HYPERLINK("http://service.sap.com/sap/support/notes/1994964","1994964")</f>
        <v>1994964</v>
      </c>
      <c r="D4036">
        <v>2</v>
      </c>
      <c r="E4036" t="s">
        <v>4357</v>
      </c>
      <c r="F4036" t="s">
        <v>17</v>
      </c>
    </row>
    <row r="4037" spans="1:6" x14ac:dyDescent="0.3">
      <c r="A4037" t="s">
        <v>1800</v>
      </c>
      <c r="B4037" t="s">
        <v>1801</v>
      </c>
      <c r="C4037" t="str">
        <f>HYPERLINK("http://service.sap.com/sap/support/notes/1988668","1988668")</f>
        <v>1988668</v>
      </c>
      <c r="D4037">
        <v>1</v>
      </c>
      <c r="E4037" t="s">
        <v>4358</v>
      </c>
      <c r="F4037" t="s">
        <v>17</v>
      </c>
    </row>
    <row r="4038" spans="1:6" x14ac:dyDescent="0.3">
      <c r="A4038" t="s">
        <v>1800</v>
      </c>
      <c r="B4038" t="s">
        <v>1801</v>
      </c>
      <c r="C4038" t="str">
        <f>HYPERLINK("http://service.sap.com/sap/support/notes/1991899","1991899")</f>
        <v>1991899</v>
      </c>
      <c r="D4038">
        <v>2</v>
      </c>
      <c r="E4038" t="s">
        <v>4359</v>
      </c>
      <c r="F4038" t="s">
        <v>17</v>
      </c>
    </row>
    <row r="4039" spans="1:6" x14ac:dyDescent="0.3">
      <c r="A4039" t="s">
        <v>4360</v>
      </c>
      <c r="B4039" t="s">
        <v>4361</v>
      </c>
      <c r="C4039" t="str">
        <f>HYPERLINK("http://service.sap.com/sap/support/notes/1979648","1979648")</f>
        <v>1979648</v>
      </c>
      <c r="D4039">
        <v>5</v>
      </c>
      <c r="E4039" t="s">
        <v>4362</v>
      </c>
      <c r="F4039" t="s">
        <v>17</v>
      </c>
    </row>
    <row r="4040" spans="1:6" x14ac:dyDescent="0.3">
      <c r="A4040" t="s">
        <v>4363</v>
      </c>
      <c r="B4040" t="s">
        <v>4364</v>
      </c>
      <c r="C4040" t="str">
        <f>HYPERLINK("http://service.sap.com/sap/support/notes/1971200","1971200")</f>
        <v>1971200</v>
      </c>
      <c r="D4040">
        <v>1</v>
      </c>
      <c r="E4040" t="s">
        <v>4365</v>
      </c>
      <c r="F4040" t="s">
        <v>17</v>
      </c>
    </row>
    <row r="4041" spans="1:6" x14ac:dyDescent="0.3">
      <c r="A4041" t="s">
        <v>1814</v>
      </c>
      <c r="B4041" t="s">
        <v>1815</v>
      </c>
    </row>
    <row r="4042" spans="1:6" x14ac:dyDescent="0.3">
      <c r="A4042" t="s">
        <v>1816</v>
      </c>
      <c r="B4042" t="s">
        <v>1817</v>
      </c>
      <c r="C4042" t="str">
        <f>HYPERLINK("http://service.sap.com/sap/support/notes/2002743","2002743")</f>
        <v>2002743</v>
      </c>
      <c r="D4042">
        <v>5</v>
      </c>
      <c r="E4042" t="s">
        <v>4366</v>
      </c>
      <c r="F4042" t="s">
        <v>17</v>
      </c>
    </row>
    <row r="4043" spans="1:6" x14ac:dyDescent="0.3">
      <c r="A4043" t="s">
        <v>1816</v>
      </c>
      <c r="B4043" t="s">
        <v>1817</v>
      </c>
      <c r="C4043" t="str">
        <f>HYPERLINK("http://service.sap.com/sap/support/notes/2006895","2006895")</f>
        <v>2006895</v>
      </c>
      <c r="D4043">
        <v>1</v>
      </c>
      <c r="E4043" t="s">
        <v>4367</v>
      </c>
      <c r="F4043" t="s">
        <v>11</v>
      </c>
    </row>
    <row r="4044" spans="1:6" x14ac:dyDescent="0.3">
      <c r="A4044" t="s">
        <v>1816</v>
      </c>
      <c r="B4044" t="s">
        <v>1817</v>
      </c>
      <c r="C4044" t="str">
        <f>HYPERLINK("http://service.sap.com/sap/support/notes/2012778","2012778")</f>
        <v>2012778</v>
      </c>
      <c r="D4044">
        <v>16</v>
      </c>
      <c r="E4044" t="s">
        <v>4368</v>
      </c>
      <c r="F4044" t="s">
        <v>17</v>
      </c>
    </row>
    <row r="4045" spans="1:6" x14ac:dyDescent="0.3">
      <c r="A4045" t="s">
        <v>1816</v>
      </c>
      <c r="B4045" t="s">
        <v>1817</v>
      </c>
      <c r="C4045" t="str">
        <f>HYPERLINK("http://service.sap.com/sap/support/notes/2017331","2017331")</f>
        <v>2017331</v>
      </c>
      <c r="D4045">
        <v>6</v>
      </c>
      <c r="E4045" t="s">
        <v>4369</v>
      </c>
      <c r="F4045" t="s">
        <v>17</v>
      </c>
    </row>
    <row r="4046" spans="1:6" x14ac:dyDescent="0.3">
      <c r="A4046" t="s">
        <v>1816</v>
      </c>
      <c r="B4046" t="s">
        <v>1817</v>
      </c>
      <c r="C4046" t="str">
        <f>HYPERLINK("http://service.sap.com/sap/support/notes/2029298","2029298")</f>
        <v>2029298</v>
      </c>
      <c r="D4046">
        <v>1</v>
      </c>
      <c r="E4046" t="s">
        <v>4370</v>
      </c>
      <c r="F4046" t="s">
        <v>11</v>
      </c>
    </row>
    <row r="4047" spans="1:6" x14ac:dyDescent="0.3">
      <c r="A4047" t="s">
        <v>1819</v>
      </c>
      <c r="B4047" t="s">
        <v>1820</v>
      </c>
    </row>
    <row r="4048" spans="1:6" x14ac:dyDescent="0.3">
      <c r="A4048" t="s">
        <v>1821</v>
      </c>
      <c r="B4048" t="s">
        <v>1822</v>
      </c>
    </row>
    <row r="4049" spans="1:6" x14ac:dyDescent="0.3">
      <c r="A4049" t="s">
        <v>1823</v>
      </c>
      <c r="B4049" t="s">
        <v>1824</v>
      </c>
    </row>
    <row r="4050" spans="1:6" x14ac:dyDescent="0.3">
      <c r="A4050" t="s">
        <v>1825</v>
      </c>
      <c r="B4050" t="s">
        <v>1826</v>
      </c>
      <c r="C4050" t="str">
        <f>HYPERLINK("http://service.sap.com/sap/support/notes/1978883","1978883")</f>
        <v>1978883</v>
      </c>
      <c r="D4050">
        <v>3</v>
      </c>
      <c r="E4050" t="s">
        <v>4371</v>
      </c>
      <c r="F4050" t="s">
        <v>17</v>
      </c>
    </row>
    <row r="4051" spans="1:6" x14ac:dyDescent="0.3">
      <c r="A4051" t="s">
        <v>1832</v>
      </c>
      <c r="B4051" t="s">
        <v>1833</v>
      </c>
    </row>
    <row r="4052" spans="1:6" x14ac:dyDescent="0.3">
      <c r="A4052" t="s">
        <v>4372</v>
      </c>
      <c r="B4052" t="s">
        <v>4373</v>
      </c>
      <c r="C4052" t="str">
        <f>HYPERLINK("http://service.sap.com/sap/support/notes/2016578","2016578")</f>
        <v>2016578</v>
      </c>
      <c r="D4052">
        <v>11</v>
      </c>
      <c r="E4052" t="s">
        <v>4374</v>
      </c>
      <c r="F4052" t="s">
        <v>17</v>
      </c>
    </row>
    <row r="4053" spans="1:6" x14ac:dyDescent="0.3">
      <c r="A4053" t="s">
        <v>6</v>
      </c>
      <c r="B4053" t="s">
        <v>7</v>
      </c>
    </row>
    <row r="4054" spans="1:6" x14ac:dyDescent="0.3">
      <c r="A4054" t="s">
        <v>8</v>
      </c>
      <c r="B4054" t="s">
        <v>9</v>
      </c>
      <c r="C4054" t="str">
        <f>HYPERLINK("http://service.sap.com/sap/support/notes/2038887","2038887")</f>
        <v>2038887</v>
      </c>
      <c r="D4054">
        <v>1</v>
      </c>
      <c r="E4054" t="s">
        <v>4375</v>
      </c>
      <c r="F4054" t="s">
        <v>17</v>
      </c>
    </row>
    <row r="4055" spans="1:6" x14ac:dyDescent="0.3">
      <c r="A4055" t="s">
        <v>14</v>
      </c>
      <c r="B4055" t="s">
        <v>15</v>
      </c>
      <c r="C4055" t="str">
        <f>HYPERLINK("http://service.sap.com/sap/support/notes/1923728","1923728")</f>
        <v>1923728</v>
      </c>
      <c r="D4055">
        <v>1</v>
      </c>
      <c r="E4055" t="s">
        <v>4376</v>
      </c>
      <c r="F4055" t="s">
        <v>94</v>
      </c>
    </row>
    <row r="4056" spans="1:6" x14ac:dyDescent="0.3">
      <c r="A4056" t="s">
        <v>14</v>
      </c>
      <c r="B4056" t="s">
        <v>15</v>
      </c>
      <c r="C4056" t="str">
        <f>HYPERLINK("http://service.sap.com/sap/support/notes/2027562","2027562")</f>
        <v>2027562</v>
      </c>
      <c r="D4056">
        <v>2</v>
      </c>
      <c r="E4056" t="s">
        <v>4377</v>
      </c>
      <c r="F4056" t="s">
        <v>17</v>
      </c>
    </row>
    <row r="4057" spans="1:6" x14ac:dyDescent="0.3">
      <c r="A4057" t="s">
        <v>14</v>
      </c>
      <c r="B4057" t="s">
        <v>15</v>
      </c>
      <c r="C4057" t="str">
        <f>HYPERLINK("http://service.sap.com/sap/support/notes/2030712","2030712")</f>
        <v>2030712</v>
      </c>
      <c r="D4057">
        <v>1</v>
      </c>
      <c r="E4057" t="s">
        <v>4378</v>
      </c>
      <c r="F4057" t="s">
        <v>17</v>
      </c>
    </row>
    <row r="4058" spans="1:6" x14ac:dyDescent="0.3">
      <c r="A4058" t="s">
        <v>14</v>
      </c>
      <c r="B4058" t="s">
        <v>15</v>
      </c>
      <c r="C4058" t="str">
        <f>HYPERLINK("http://service.sap.com/sap/support/notes/2035190","2035190")</f>
        <v>2035190</v>
      </c>
      <c r="D4058">
        <v>1</v>
      </c>
      <c r="E4058" t="s">
        <v>4379</v>
      </c>
      <c r="F4058" t="s">
        <v>17</v>
      </c>
    </row>
    <row r="4059" spans="1:6" x14ac:dyDescent="0.3">
      <c r="A4059" t="s">
        <v>14</v>
      </c>
      <c r="B4059" t="s">
        <v>15</v>
      </c>
      <c r="C4059" t="str">
        <f>HYPERLINK("http://service.sap.com/sap/support/notes/2037039","2037039")</f>
        <v>2037039</v>
      </c>
      <c r="D4059">
        <v>1</v>
      </c>
      <c r="E4059" t="s">
        <v>4380</v>
      </c>
      <c r="F4059" t="s">
        <v>13</v>
      </c>
    </row>
    <row r="4060" spans="1:6" x14ac:dyDescent="0.3">
      <c r="A4060" t="s">
        <v>26</v>
      </c>
      <c r="B4060" t="s">
        <v>27</v>
      </c>
      <c r="C4060" t="str">
        <f>HYPERLINK("http://service.sap.com/sap/support/notes/2034240","2034240")</f>
        <v>2034240</v>
      </c>
      <c r="D4060">
        <v>1</v>
      </c>
      <c r="E4060" t="s">
        <v>4381</v>
      </c>
      <c r="F4060" t="s">
        <v>17</v>
      </c>
    </row>
    <row r="4061" spans="1:6" x14ac:dyDescent="0.3">
      <c r="A4061" t="s">
        <v>26</v>
      </c>
      <c r="B4061" t="s">
        <v>27</v>
      </c>
      <c r="C4061" t="str">
        <f>HYPERLINK("http://service.sap.com/sap/support/notes/2038068","2038068")</f>
        <v>2038068</v>
      </c>
      <c r="D4061">
        <v>1</v>
      </c>
      <c r="E4061" t="s">
        <v>4382</v>
      </c>
      <c r="F4061" t="s">
        <v>17</v>
      </c>
    </row>
    <row r="4062" spans="1:6" x14ac:dyDescent="0.3">
      <c r="A4062" t="s">
        <v>26</v>
      </c>
      <c r="B4062" t="s">
        <v>27</v>
      </c>
      <c r="C4062" t="str">
        <f>HYPERLINK("http://service.sap.com/sap/support/notes/2056375","2056375")</f>
        <v>2056375</v>
      </c>
      <c r="D4062">
        <v>1</v>
      </c>
      <c r="E4062" t="s">
        <v>4383</v>
      </c>
      <c r="F4062" t="s">
        <v>17</v>
      </c>
    </row>
    <row r="4063" spans="1:6" x14ac:dyDescent="0.3">
      <c r="A4063" t="s">
        <v>26</v>
      </c>
      <c r="B4063" t="s">
        <v>27</v>
      </c>
      <c r="C4063" t="str">
        <f>HYPERLINK("http://service.sap.com/sap/support/notes/2060403","2060403")</f>
        <v>2060403</v>
      </c>
      <c r="D4063">
        <v>1</v>
      </c>
      <c r="E4063" t="s">
        <v>4384</v>
      </c>
      <c r="F4063" t="s">
        <v>13</v>
      </c>
    </row>
    <row r="4064" spans="1:6" x14ac:dyDescent="0.3">
      <c r="A4064" t="s">
        <v>32</v>
      </c>
      <c r="B4064" t="s">
        <v>33</v>
      </c>
    </row>
    <row r="4065" spans="1:6" x14ac:dyDescent="0.3">
      <c r="A4065" t="s">
        <v>4385</v>
      </c>
      <c r="B4065" t="s">
        <v>4386</v>
      </c>
    </row>
    <row r="4066" spans="1:6" x14ac:dyDescent="0.3">
      <c r="A4066" t="s">
        <v>4387</v>
      </c>
      <c r="B4066" t="s">
        <v>4388</v>
      </c>
    </row>
    <row r="4067" spans="1:6" x14ac:dyDescent="0.3">
      <c r="A4067" t="s">
        <v>4389</v>
      </c>
      <c r="B4067" t="s">
        <v>4390</v>
      </c>
      <c r="C4067" t="str">
        <f>HYPERLINK("http://service.sap.com/sap/support/notes/2061277","2061277")</f>
        <v>2061277</v>
      </c>
      <c r="D4067">
        <v>1</v>
      </c>
      <c r="E4067" t="s">
        <v>4391</v>
      </c>
      <c r="F4067" t="s">
        <v>17</v>
      </c>
    </row>
    <row r="4068" spans="1:6" x14ac:dyDescent="0.3">
      <c r="A4068" t="s">
        <v>46</v>
      </c>
      <c r="B4068" t="s">
        <v>47</v>
      </c>
    </row>
    <row r="4069" spans="1:6" x14ac:dyDescent="0.3">
      <c r="A4069" t="s">
        <v>48</v>
      </c>
      <c r="B4069" t="s">
        <v>49</v>
      </c>
    </row>
    <row r="4070" spans="1:6" x14ac:dyDescent="0.3">
      <c r="A4070" t="s">
        <v>50</v>
      </c>
      <c r="B4070" t="s">
        <v>51</v>
      </c>
    </row>
    <row r="4071" spans="1:6" x14ac:dyDescent="0.3">
      <c r="A4071" t="s">
        <v>52</v>
      </c>
      <c r="B4071" t="s">
        <v>53</v>
      </c>
      <c r="C4071" t="str">
        <f>HYPERLINK("http://service.sap.com/sap/support/notes/968529","968529")</f>
        <v>968529</v>
      </c>
      <c r="D4071">
        <v>4</v>
      </c>
      <c r="E4071" t="s">
        <v>4392</v>
      </c>
      <c r="F4071" t="s">
        <v>11</v>
      </c>
    </row>
    <row r="4072" spans="1:6" x14ac:dyDescent="0.3">
      <c r="A4072" t="s">
        <v>52</v>
      </c>
      <c r="B4072" t="s">
        <v>53</v>
      </c>
      <c r="C4072" t="str">
        <f>HYPERLINK("http://service.sap.com/sap/support/notes/1775336","1775336")</f>
        <v>1775336</v>
      </c>
      <c r="D4072">
        <v>12</v>
      </c>
      <c r="E4072" t="s">
        <v>4393</v>
      </c>
      <c r="F4072" t="s">
        <v>11</v>
      </c>
    </row>
    <row r="4073" spans="1:6" x14ac:dyDescent="0.3">
      <c r="A4073" t="s">
        <v>52</v>
      </c>
      <c r="B4073" t="s">
        <v>53</v>
      </c>
      <c r="C4073" t="str">
        <f>HYPERLINK("http://service.sap.com/sap/support/notes/1998890","1998890")</f>
        <v>1998890</v>
      </c>
      <c r="D4073">
        <v>6</v>
      </c>
      <c r="E4073" t="s">
        <v>4394</v>
      </c>
      <c r="F4073" t="s">
        <v>17</v>
      </c>
    </row>
    <row r="4074" spans="1:6" x14ac:dyDescent="0.3">
      <c r="A4074" t="s">
        <v>52</v>
      </c>
      <c r="B4074" t="s">
        <v>53</v>
      </c>
      <c r="C4074" t="str">
        <f>HYPERLINK("http://service.sap.com/sap/support/notes/2035331","2035331")</f>
        <v>2035331</v>
      </c>
      <c r="D4074">
        <v>1</v>
      </c>
      <c r="E4074" t="s">
        <v>4395</v>
      </c>
      <c r="F4074" t="s">
        <v>11</v>
      </c>
    </row>
    <row r="4075" spans="1:6" x14ac:dyDescent="0.3">
      <c r="A4075" t="s">
        <v>60</v>
      </c>
      <c r="B4075" t="s">
        <v>61</v>
      </c>
      <c r="C4075" t="str">
        <f>HYPERLINK("http://service.sap.com/sap/support/notes/1967459","1967459")</f>
        <v>1967459</v>
      </c>
      <c r="D4075">
        <v>2</v>
      </c>
      <c r="E4075" t="s">
        <v>4396</v>
      </c>
      <c r="F4075" t="s">
        <v>94</v>
      </c>
    </row>
    <row r="4076" spans="1:6" x14ac:dyDescent="0.3">
      <c r="A4076" t="s">
        <v>60</v>
      </c>
      <c r="B4076" t="s">
        <v>61</v>
      </c>
      <c r="C4076" t="str">
        <f>HYPERLINK("http://service.sap.com/sap/support/notes/2009014","2009014")</f>
        <v>2009014</v>
      </c>
      <c r="D4076">
        <v>2</v>
      </c>
      <c r="E4076" t="s">
        <v>4397</v>
      </c>
      <c r="F4076" t="s">
        <v>17</v>
      </c>
    </row>
    <row r="4077" spans="1:6" x14ac:dyDescent="0.3">
      <c r="A4077" t="s">
        <v>60</v>
      </c>
      <c r="B4077" t="s">
        <v>61</v>
      </c>
      <c r="C4077" t="str">
        <f>HYPERLINK("http://service.sap.com/sap/support/notes/2035421","2035421")</f>
        <v>2035421</v>
      </c>
      <c r="D4077">
        <v>1</v>
      </c>
      <c r="E4077" t="s">
        <v>4398</v>
      </c>
      <c r="F4077" t="s">
        <v>17</v>
      </c>
    </row>
    <row r="4078" spans="1:6" x14ac:dyDescent="0.3">
      <c r="A4078" t="s">
        <v>66</v>
      </c>
      <c r="B4078" t="s">
        <v>67</v>
      </c>
      <c r="C4078" t="str">
        <f>HYPERLINK("http://service.sap.com/sap/support/notes/1911137","1911137")</f>
        <v>1911137</v>
      </c>
      <c r="D4078">
        <v>4</v>
      </c>
      <c r="E4078" t="s">
        <v>4399</v>
      </c>
      <c r="F4078" t="s">
        <v>17</v>
      </c>
    </row>
    <row r="4079" spans="1:6" x14ac:dyDescent="0.3">
      <c r="A4079" t="s">
        <v>66</v>
      </c>
      <c r="B4079" t="s">
        <v>67</v>
      </c>
      <c r="C4079" t="str">
        <f>HYPERLINK("http://service.sap.com/sap/support/notes/2019280","2019280")</f>
        <v>2019280</v>
      </c>
      <c r="D4079">
        <v>2</v>
      </c>
      <c r="E4079" t="s">
        <v>4400</v>
      </c>
      <c r="F4079" t="s">
        <v>17</v>
      </c>
    </row>
    <row r="4080" spans="1:6" x14ac:dyDescent="0.3">
      <c r="A4080" t="s">
        <v>66</v>
      </c>
      <c r="B4080" t="s">
        <v>67</v>
      </c>
      <c r="C4080" t="str">
        <f>HYPERLINK("http://service.sap.com/sap/support/notes/2029412","2029412")</f>
        <v>2029412</v>
      </c>
      <c r="D4080">
        <v>1</v>
      </c>
      <c r="E4080" t="s">
        <v>4401</v>
      </c>
      <c r="F4080" t="s">
        <v>17</v>
      </c>
    </row>
    <row r="4081" spans="1:6" x14ac:dyDescent="0.3">
      <c r="A4081" t="s">
        <v>66</v>
      </c>
      <c r="B4081" t="s">
        <v>67</v>
      </c>
      <c r="C4081" t="str">
        <f>HYPERLINK("http://service.sap.com/sap/support/notes/2040597","2040597")</f>
        <v>2040597</v>
      </c>
      <c r="D4081">
        <v>1</v>
      </c>
      <c r="E4081" t="s">
        <v>4402</v>
      </c>
      <c r="F4081" t="s">
        <v>17</v>
      </c>
    </row>
    <row r="4082" spans="1:6" x14ac:dyDescent="0.3">
      <c r="A4082" t="s">
        <v>79</v>
      </c>
      <c r="B4082" t="s">
        <v>80</v>
      </c>
    </row>
    <row r="4083" spans="1:6" x14ac:dyDescent="0.3">
      <c r="A4083" t="s">
        <v>84</v>
      </c>
      <c r="B4083" t="s">
        <v>85</v>
      </c>
    </row>
    <row r="4084" spans="1:6" x14ac:dyDescent="0.3">
      <c r="A4084" t="s">
        <v>86</v>
      </c>
      <c r="B4084" t="s">
        <v>87</v>
      </c>
    </row>
    <row r="4085" spans="1:6" x14ac:dyDescent="0.3">
      <c r="A4085" t="s">
        <v>88</v>
      </c>
      <c r="B4085" t="s">
        <v>89</v>
      </c>
      <c r="C4085" t="str">
        <f>HYPERLINK("http://service.sap.com/sap/support/notes/2044461","2044461")</f>
        <v>2044461</v>
      </c>
      <c r="D4085">
        <v>3</v>
      </c>
      <c r="E4085" t="s">
        <v>4403</v>
      </c>
      <c r="F4085" t="s">
        <v>17</v>
      </c>
    </row>
    <row r="4086" spans="1:6" x14ac:dyDescent="0.3">
      <c r="A4086" t="s">
        <v>91</v>
      </c>
      <c r="B4086" t="s">
        <v>92</v>
      </c>
      <c r="C4086" t="str">
        <f>HYPERLINK("http://service.sap.com/sap/support/notes/1440783","1440783")</f>
        <v>1440783</v>
      </c>
      <c r="D4086">
        <v>7</v>
      </c>
      <c r="E4086" t="s">
        <v>4404</v>
      </c>
      <c r="F4086" t="s">
        <v>17</v>
      </c>
    </row>
    <row r="4087" spans="1:6" x14ac:dyDescent="0.3">
      <c r="A4087" t="s">
        <v>91</v>
      </c>
      <c r="B4087" t="s">
        <v>92</v>
      </c>
      <c r="C4087" t="str">
        <f>HYPERLINK("http://service.sap.com/sap/support/notes/1959716","1959716")</f>
        <v>1959716</v>
      </c>
      <c r="D4087">
        <v>1</v>
      </c>
      <c r="E4087" t="s">
        <v>4405</v>
      </c>
      <c r="F4087" t="s">
        <v>17</v>
      </c>
    </row>
    <row r="4088" spans="1:6" x14ac:dyDescent="0.3">
      <c r="A4088" t="s">
        <v>91</v>
      </c>
      <c r="B4088" t="s">
        <v>92</v>
      </c>
      <c r="C4088" t="str">
        <f>HYPERLINK("http://service.sap.com/sap/support/notes/2001686","2001686")</f>
        <v>2001686</v>
      </c>
      <c r="D4088">
        <v>1</v>
      </c>
      <c r="E4088" t="s">
        <v>4406</v>
      </c>
      <c r="F4088" t="s">
        <v>17</v>
      </c>
    </row>
    <row r="4089" spans="1:6" x14ac:dyDescent="0.3">
      <c r="A4089" t="s">
        <v>91</v>
      </c>
      <c r="B4089" t="s">
        <v>92</v>
      </c>
      <c r="C4089" t="str">
        <f>HYPERLINK("http://service.sap.com/sap/support/notes/2028928","2028928")</f>
        <v>2028928</v>
      </c>
      <c r="D4089">
        <v>4</v>
      </c>
      <c r="E4089" t="s">
        <v>4407</v>
      </c>
      <c r="F4089" t="s">
        <v>17</v>
      </c>
    </row>
    <row r="4090" spans="1:6" x14ac:dyDescent="0.3">
      <c r="A4090" t="s">
        <v>91</v>
      </c>
      <c r="B4090" t="s">
        <v>92</v>
      </c>
      <c r="C4090" t="str">
        <f>HYPERLINK("http://service.sap.com/sap/support/notes/2059400","2059400")</f>
        <v>2059400</v>
      </c>
      <c r="D4090">
        <v>1</v>
      </c>
      <c r="E4090" t="s">
        <v>4408</v>
      </c>
      <c r="F4090" t="s">
        <v>13</v>
      </c>
    </row>
    <row r="4091" spans="1:6" x14ac:dyDescent="0.3">
      <c r="A4091" t="s">
        <v>103</v>
      </c>
      <c r="B4091" t="s">
        <v>104</v>
      </c>
    </row>
    <row r="4092" spans="1:6" x14ac:dyDescent="0.3">
      <c r="A4092" t="s">
        <v>105</v>
      </c>
      <c r="B4092" t="s">
        <v>106</v>
      </c>
    </row>
    <row r="4093" spans="1:6" x14ac:dyDescent="0.3">
      <c r="A4093" t="s">
        <v>107</v>
      </c>
      <c r="B4093" t="s">
        <v>108</v>
      </c>
      <c r="C4093" t="str">
        <f>HYPERLINK("http://service.sap.com/sap/support/notes/2048675","2048675")</f>
        <v>2048675</v>
      </c>
      <c r="D4093">
        <v>1</v>
      </c>
      <c r="E4093" t="s">
        <v>4409</v>
      </c>
      <c r="F4093" t="s">
        <v>17</v>
      </c>
    </row>
    <row r="4094" spans="1:6" x14ac:dyDescent="0.3">
      <c r="A4094" t="s">
        <v>4410</v>
      </c>
      <c r="B4094" t="s">
        <v>4411</v>
      </c>
      <c r="C4094" t="str">
        <f>HYPERLINK("http://service.sap.com/sap/support/notes/2025794","2025794")</f>
        <v>2025794</v>
      </c>
      <c r="D4094">
        <v>2</v>
      </c>
      <c r="E4094" t="s">
        <v>4412</v>
      </c>
      <c r="F4094" t="s">
        <v>17</v>
      </c>
    </row>
    <row r="4095" spans="1:6" x14ac:dyDescent="0.3">
      <c r="A4095" t="s">
        <v>115</v>
      </c>
      <c r="B4095" t="s">
        <v>51</v>
      </c>
    </row>
    <row r="4096" spans="1:6" x14ac:dyDescent="0.3">
      <c r="A4096" t="s">
        <v>117</v>
      </c>
      <c r="B4096" t="s">
        <v>53</v>
      </c>
      <c r="C4096" t="str">
        <f>HYPERLINK("http://service.sap.com/sap/support/notes/1951615","1951615")</f>
        <v>1951615</v>
      </c>
      <c r="D4096">
        <v>3</v>
      </c>
      <c r="E4096" t="s">
        <v>4413</v>
      </c>
      <c r="F4096" t="s">
        <v>17</v>
      </c>
    </row>
    <row r="4097" spans="1:6" x14ac:dyDescent="0.3">
      <c r="A4097" t="s">
        <v>117</v>
      </c>
      <c r="B4097" t="s">
        <v>53</v>
      </c>
      <c r="C4097" t="str">
        <f>HYPERLINK("http://service.sap.com/sap/support/notes/2008144","2008144")</f>
        <v>2008144</v>
      </c>
      <c r="D4097">
        <v>1</v>
      </c>
      <c r="E4097" t="s">
        <v>4414</v>
      </c>
      <c r="F4097" t="s">
        <v>17</v>
      </c>
    </row>
    <row r="4098" spans="1:6" x14ac:dyDescent="0.3">
      <c r="A4098" t="s">
        <v>117</v>
      </c>
      <c r="B4098" t="s">
        <v>53</v>
      </c>
      <c r="C4098" t="str">
        <f>HYPERLINK("http://service.sap.com/sap/support/notes/2017984","2017984")</f>
        <v>2017984</v>
      </c>
      <c r="D4098">
        <v>2</v>
      </c>
      <c r="E4098" t="s">
        <v>4415</v>
      </c>
      <c r="F4098" t="s">
        <v>17</v>
      </c>
    </row>
    <row r="4099" spans="1:6" x14ac:dyDescent="0.3">
      <c r="A4099" t="s">
        <v>117</v>
      </c>
      <c r="B4099" t="s">
        <v>53</v>
      </c>
      <c r="C4099" t="str">
        <f>HYPERLINK("http://service.sap.com/sap/support/notes/2024225","2024225")</f>
        <v>2024225</v>
      </c>
      <c r="D4099">
        <v>2</v>
      </c>
      <c r="E4099" t="s">
        <v>4416</v>
      </c>
      <c r="F4099" t="s">
        <v>17</v>
      </c>
    </row>
    <row r="4100" spans="1:6" x14ac:dyDescent="0.3">
      <c r="A4100" t="s">
        <v>117</v>
      </c>
      <c r="B4100" t="s">
        <v>53</v>
      </c>
      <c r="C4100" t="str">
        <f>HYPERLINK("http://service.sap.com/sap/support/notes/2026321","2026321")</f>
        <v>2026321</v>
      </c>
      <c r="D4100">
        <v>1</v>
      </c>
      <c r="E4100" t="s">
        <v>3681</v>
      </c>
      <c r="F4100" t="s">
        <v>94</v>
      </c>
    </row>
    <row r="4101" spans="1:6" x14ac:dyDescent="0.3">
      <c r="A4101" t="s">
        <v>117</v>
      </c>
      <c r="B4101" t="s">
        <v>53</v>
      </c>
      <c r="C4101" t="str">
        <f>HYPERLINK("http://service.sap.com/sap/support/notes/2027411","2027411")</f>
        <v>2027411</v>
      </c>
      <c r="D4101">
        <v>1</v>
      </c>
      <c r="E4101" t="s">
        <v>4417</v>
      </c>
      <c r="F4101" t="s">
        <v>17</v>
      </c>
    </row>
    <row r="4102" spans="1:6" x14ac:dyDescent="0.3">
      <c r="A4102" t="s">
        <v>117</v>
      </c>
      <c r="B4102" t="s">
        <v>53</v>
      </c>
      <c r="C4102" t="str">
        <f>HYPERLINK("http://service.sap.com/sap/support/notes/2034077","2034077")</f>
        <v>2034077</v>
      </c>
      <c r="D4102">
        <v>1</v>
      </c>
      <c r="E4102" t="s">
        <v>4418</v>
      </c>
      <c r="F4102" t="s">
        <v>13</v>
      </c>
    </row>
    <row r="4103" spans="1:6" x14ac:dyDescent="0.3">
      <c r="A4103" t="s">
        <v>117</v>
      </c>
      <c r="B4103" t="s">
        <v>53</v>
      </c>
      <c r="C4103" t="str">
        <f>HYPERLINK("http://service.sap.com/sap/support/notes/2034324","2034324")</f>
        <v>2034324</v>
      </c>
      <c r="D4103">
        <v>2</v>
      </c>
      <c r="E4103" t="s">
        <v>4419</v>
      </c>
      <c r="F4103" t="s">
        <v>94</v>
      </c>
    </row>
    <row r="4104" spans="1:6" x14ac:dyDescent="0.3">
      <c r="A4104" t="s">
        <v>117</v>
      </c>
      <c r="B4104" t="s">
        <v>53</v>
      </c>
      <c r="C4104" t="str">
        <f>HYPERLINK("http://service.sap.com/sap/support/notes/2035623","2035623")</f>
        <v>2035623</v>
      </c>
      <c r="D4104">
        <v>1</v>
      </c>
      <c r="E4104" t="s">
        <v>4420</v>
      </c>
      <c r="F4104" t="s">
        <v>17</v>
      </c>
    </row>
    <row r="4105" spans="1:6" x14ac:dyDescent="0.3">
      <c r="A4105" t="s">
        <v>117</v>
      </c>
      <c r="B4105" t="s">
        <v>53</v>
      </c>
      <c r="C4105" t="str">
        <f>HYPERLINK("http://service.sap.com/sap/support/notes/2035960","2035960")</f>
        <v>2035960</v>
      </c>
      <c r="D4105">
        <v>2</v>
      </c>
      <c r="E4105" t="s">
        <v>4421</v>
      </c>
      <c r="F4105" t="s">
        <v>17</v>
      </c>
    </row>
    <row r="4106" spans="1:6" x14ac:dyDescent="0.3">
      <c r="A4106" t="s">
        <v>117</v>
      </c>
      <c r="B4106" t="s">
        <v>53</v>
      </c>
      <c r="C4106" t="str">
        <f>HYPERLINK("http://service.sap.com/sap/support/notes/2042719","2042719")</f>
        <v>2042719</v>
      </c>
      <c r="D4106">
        <v>1</v>
      </c>
      <c r="E4106" t="s">
        <v>4422</v>
      </c>
      <c r="F4106" t="s">
        <v>13</v>
      </c>
    </row>
    <row r="4107" spans="1:6" x14ac:dyDescent="0.3">
      <c r="A4107" t="s">
        <v>117</v>
      </c>
      <c r="B4107" t="s">
        <v>53</v>
      </c>
      <c r="C4107" t="str">
        <f>HYPERLINK("http://service.sap.com/sap/support/notes/2045681","2045681")</f>
        <v>2045681</v>
      </c>
      <c r="D4107">
        <v>1</v>
      </c>
      <c r="E4107" t="s">
        <v>4423</v>
      </c>
      <c r="F4107" t="s">
        <v>13</v>
      </c>
    </row>
    <row r="4108" spans="1:6" x14ac:dyDescent="0.3">
      <c r="A4108" t="s">
        <v>117</v>
      </c>
      <c r="B4108" t="s">
        <v>53</v>
      </c>
      <c r="C4108" t="str">
        <f>HYPERLINK("http://service.sap.com/sap/support/notes/2046800","2046800")</f>
        <v>2046800</v>
      </c>
      <c r="D4108">
        <v>1</v>
      </c>
      <c r="E4108" t="s">
        <v>4424</v>
      </c>
      <c r="F4108" t="s">
        <v>13</v>
      </c>
    </row>
    <row r="4109" spans="1:6" x14ac:dyDescent="0.3">
      <c r="A4109" t="s">
        <v>117</v>
      </c>
      <c r="B4109" t="s">
        <v>53</v>
      </c>
      <c r="C4109" t="str">
        <f>HYPERLINK("http://service.sap.com/sap/support/notes/2048009","2048009")</f>
        <v>2048009</v>
      </c>
      <c r="D4109">
        <v>2</v>
      </c>
      <c r="E4109" t="s">
        <v>4425</v>
      </c>
      <c r="F4109" t="s">
        <v>13</v>
      </c>
    </row>
    <row r="4110" spans="1:6" x14ac:dyDescent="0.3">
      <c r="A4110" t="s">
        <v>117</v>
      </c>
      <c r="B4110" t="s">
        <v>53</v>
      </c>
      <c r="C4110" t="str">
        <f>HYPERLINK("http://service.sap.com/sap/support/notes/2049677","2049677")</f>
        <v>2049677</v>
      </c>
      <c r="D4110">
        <v>1</v>
      </c>
      <c r="E4110" t="s">
        <v>4426</v>
      </c>
      <c r="F4110" t="s">
        <v>13</v>
      </c>
    </row>
    <row r="4111" spans="1:6" x14ac:dyDescent="0.3">
      <c r="A4111" t="s">
        <v>128</v>
      </c>
      <c r="B4111" t="s">
        <v>1904</v>
      </c>
      <c r="C4111" t="str">
        <f>HYPERLINK("http://service.sap.com/sap/support/notes/2034301","2034301")</f>
        <v>2034301</v>
      </c>
      <c r="D4111">
        <v>1</v>
      </c>
      <c r="E4111" t="s">
        <v>4427</v>
      </c>
      <c r="F4111" t="s">
        <v>17</v>
      </c>
    </row>
    <row r="4112" spans="1:6" x14ac:dyDescent="0.3">
      <c r="A4112" t="s">
        <v>130</v>
      </c>
      <c r="B4112" t="s">
        <v>131</v>
      </c>
      <c r="C4112" t="str">
        <f>HYPERLINK("http://service.sap.com/sap/support/notes/1505053","1505053")</f>
        <v>1505053</v>
      </c>
      <c r="D4112">
        <v>3</v>
      </c>
      <c r="E4112" t="s">
        <v>4428</v>
      </c>
      <c r="F4112" t="s">
        <v>94</v>
      </c>
    </row>
    <row r="4113" spans="1:6" x14ac:dyDescent="0.3">
      <c r="A4113" t="s">
        <v>130</v>
      </c>
      <c r="B4113" t="s">
        <v>131</v>
      </c>
      <c r="C4113" t="str">
        <f>HYPERLINK("http://service.sap.com/sap/support/notes/1550078","1550078")</f>
        <v>1550078</v>
      </c>
      <c r="D4113">
        <v>5</v>
      </c>
      <c r="E4113" t="s">
        <v>4429</v>
      </c>
      <c r="F4113" t="s">
        <v>17</v>
      </c>
    </row>
    <row r="4114" spans="1:6" x14ac:dyDescent="0.3">
      <c r="A4114" t="s">
        <v>130</v>
      </c>
      <c r="B4114" t="s">
        <v>131</v>
      </c>
      <c r="C4114" t="str">
        <f>HYPERLINK("http://service.sap.com/sap/support/notes/1617863","1617863")</f>
        <v>1617863</v>
      </c>
      <c r="D4114">
        <v>2</v>
      </c>
      <c r="E4114" t="s">
        <v>4430</v>
      </c>
      <c r="F4114" t="s">
        <v>17</v>
      </c>
    </row>
    <row r="4115" spans="1:6" x14ac:dyDescent="0.3">
      <c r="A4115" t="s">
        <v>130</v>
      </c>
      <c r="B4115" t="s">
        <v>131</v>
      </c>
      <c r="C4115" t="str">
        <f>HYPERLINK("http://service.sap.com/sap/support/notes/1976916","1976916")</f>
        <v>1976916</v>
      </c>
      <c r="D4115">
        <v>1</v>
      </c>
      <c r="E4115" t="s">
        <v>4431</v>
      </c>
      <c r="F4115" t="s">
        <v>17</v>
      </c>
    </row>
    <row r="4116" spans="1:6" x14ac:dyDescent="0.3">
      <c r="A4116" t="s">
        <v>130</v>
      </c>
      <c r="B4116" t="s">
        <v>131</v>
      </c>
      <c r="C4116" t="str">
        <f>HYPERLINK("http://service.sap.com/sap/support/notes/1981755","1981755")</f>
        <v>1981755</v>
      </c>
      <c r="D4116">
        <v>1</v>
      </c>
      <c r="E4116" t="s">
        <v>4432</v>
      </c>
      <c r="F4116" t="s">
        <v>17</v>
      </c>
    </row>
    <row r="4117" spans="1:6" x14ac:dyDescent="0.3">
      <c r="A4117" t="s">
        <v>135</v>
      </c>
      <c r="B4117" t="s">
        <v>136</v>
      </c>
    </row>
    <row r="4118" spans="1:6" x14ac:dyDescent="0.3">
      <c r="A4118" t="s">
        <v>140</v>
      </c>
      <c r="B4118" t="s">
        <v>131</v>
      </c>
      <c r="C4118" t="str">
        <f>HYPERLINK("http://service.sap.com/sap/support/notes/1535117","1535117")</f>
        <v>1535117</v>
      </c>
      <c r="D4118">
        <v>4</v>
      </c>
      <c r="E4118" t="s">
        <v>4433</v>
      </c>
      <c r="F4118" t="s">
        <v>13</v>
      </c>
    </row>
    <row r="4119" spans="1:6" x14ac:dyDescent="0.3">
      <c r="A4119" t="s">
        <v>140</v>
      </c>
      <c r="B4119" t="s">
        <v>131</v>
      </c>
      <c r="C4119" t="str">
        <f>HYPERLINK("http://service.sap.com/sap/support/notes/1982635","1982635")</f>
        <v>1982635</v>
      </c>
      <c r="D4119">
        <v>12</v>
      </c>
      <c r="E4119" t="s">
        <v>4434</v>
      </c>
      <c r="F4119" t="s">
        <v>11</v>
      </c>
    </row>
    <row r="4120" spans="1:6" x14ac:dyDescent="0.3">
      <c r="A4120" t="s">
        <v>140</v>
      </c>
      <c r="B4120" t="s">
        <v>131</v>
      </c>
      <c r="C4120" t="str">
        <f>HYPERLINK("http://service.sap.com/sap/support/notes/2009913","2009913")</f>
        <v>2009913</v>
      </c>
      <c r="D4120">
        <v>1</v>
      </c>
      <c r="E4120" t="s">
        <v>4435</v>
      </c>
      <c r="F4120" t="s">
        <v>17</v>
      </c>
    </row>
    <row r="4121" spans="1:6" x14ac:dyDescent="0.3">
      <c r="A4121" t="s">
        <v>140</v>
      </c>
      <c r="B4121" t="s">
        <v>131</v>
      </c>
      <c r="C4121" t="str">
        <f>HYPERLINK("http://service.sap.com/sap/support/notes/2021051","2021051")</f>
        <v>2021051</v>
      </c>
      <c r="D4121">
        <v>1</v>
      </c>
      <c r="E4121" t="s">
        <v>4436</v>
      </c>
      <c r="F4121" t="s">
        <v>17</v>
      </c>
    </row>
    <row r="4122" spans="1:6" x14ac:dyDescent="0.3">
      <c r="A4122" t="s">
        <v>140</v>
      </c>
      <c r="B4122" t="s">
        <v>131</v>
      </c>
      <c r="C4122" t="str">
        <f>HYPERLINK("http://service.sap.com/sap/support/notes/2033890","2033890")</f>
        <v>2033890</v>
      </c>
      <c r="D4122">
        <v>3</v>
      </c>
      <c r="E4122" t="s">
        <v>4437</v>
      </c>
      <c r="F4122" t="s">
        <v>17</v>
      </c>
    </row>
    <row r="4123" spans="1:6" x14ac:dyDescent="0.3">
      <c r="A4123" t="s">
        <v>147</v>
      </c>
      <c r="B4123" t="s">
        <v>4438</v>
      </c>
      <c r="C4123" t="str">
        <f>HYPERLINK("http://service.sap.com/sap/support/notes/2034754","2034754")</f>
        <v>2034754</v>
      </c>
      <c r="D4123">
        <v>3</v>
      </c>
      <c r="E4123" t="s">
        <v>4439</v>
      </c>
      <c r="F4123" t="s">
        <v>17</v>
      </c>
    </row>
    <row r="4124" spans="1:6" x14ac:dyDescent="0.3">
      <c r="A4124" t="s">
        <v>147</v>
      </c>
      <c r="B4124" t="s">
        <v>4438</v>
      </c>
      <c r="C4124" t="str">
        <f>HYPERLINK("http://service.sap.com/sap/support/notes/2039381","2039381")</f>
        <v>2039381</v>
      </c>
      <c r="D4124">
        <v>1</v>
      </c>
      <c r="E4124" t="s">
        <v>4440</v>
      </c>
      <c r="F4124" t="s">
        <v>17</v>
      </c>
    </row>
    <row r="4125" spans="1:6" x14ac:dyDescent="0.3">
      <c r="A4125" t="s">
        <v>149</v>
      </c>
      <c r="B4125" t="s">
        <v>138</v>
      </c>
      <c r="C4125" t="str">
        <f>HYPERLINK("http://service.sap.com/sap/support/notes/2039754","2039754")</f>
        <v>2039754</v>
      </c>
      <c r="D4125">
        <v>2</v>
      </c>
      <c r="E4125" t="s">
        <v>4441</v>
      </c>
      <c r="F4125" t="s">
        <v>17</v>
      </c>
    </row>
    <row r="4126" spans="1:6" x14ac:dyDescent="0.3">
      <c r="A4126" t="s">
        <v>152</v>
      </c>
      <c r="B4126" t="s">
        <v>153</v>
      </c>
      <c r="C4126" t="str">
        <f>HYPERLINK("http://service.sap.com/sap/support/notes/1799191","1799191")</f>
        <v>1799191</v>
      </c>
      <c r="D4126">
        <v>2</v>
      </c>
      <c r="E4126" t="s">
        <v>4442</v>
      </c>
      <c r="F4126" t="s">
        <v>13</v>
      </c>
    </row>
    <row r="4127" spans="1:6" x14ac:dyDescent="0.3">
      <c r="A4127" t="s">
        <v>152</v>
      </c>
      <c r="B4127" t="s">
        <v>153</v>
      </c>
      <c r="C4127" t="str">
        <f>HYPERLINK("http://service.sap.com/sap/support/notes/1940248","1940248")</f>
        <v>1940248</v>
      </c>
      <c r="D4127">
        <v>3</v>
      </c>
      <c r="E4127" t="s">
        <v>4443</v>
      </c>
      <c r="F4127" t="s">
        <v>17</v>
      </c>
    </row>
    <row r="4128" spans="1:6" x14ac:dyDescent="0.3">
      <c r="A4128" t="s">
        <v>152</v>
      </c>
      <c r="B4128" t="s">
        <v>153</v>
      </c>
      <c r="C4128" t="str">
        <f>HYPERLINK("http://service.sap.com/sap/support/notes/1973560","1973560")</f>
        <v>1973560</v>
      </c>
      <c r="D4128">
        <v>4</v>
      </c>
      <c r="E4128" t="s">
        <v>4444</v>
      </c>
      <c r="F4128" t="s">
        <v>17</v>
      </c>
    </row>
    <row r="4129" spans="1:6" x14ac:dyDescent="0.3">
      <c r="A4129" t="s">
        <v>152</v>
      </c>
      <c r="B4129" t="s">
        <v>153</v>
      </c>
      <c r="C4129" t="str">
        <f>HYPERLINK("http://service.sap.com/sap/support/notes/1995109","1995109")</f>
        <v>1995109</v>
      </c>
      <c r="D4129">
        <v>1</v>
      </c>
      <c r="E4129" t="s">
        <v>4445</v>
      </c>
      <c r="F4129" t="s">
        <v>17</v>
      </c>
    </row>
    <row r="4130" spans="1:6" x14ac:dyDescent="0.3">
      <c r="A4130" t="s">
        <v>152</v>
      </c>
      <c r="B4130" t="s">
        <v>153</v>
      </c>
      <c r="C4130" t="str">
        <f>HYPERLINK("http://service.sap.com/sap/support/notes/2032186","2032186")</f>
        <v>2032186</v>
      </c>
      <c r="D4130">
        <v>1</v>
      </c>
      <c r="E4130" t="s">
        <v>4446</v>
      </c>
      <c r="F4130" t="s">
        <v>17</v>
      </c>
    </row>
    <row r="4131" spans="1:6" x14ac:dyDescent="0.3">
      <c r="A4131" t="s">
        <v>152</v>
      </c>
      <c r="B4131" t="s">
        <v>153</v>
      </c>
      <c r="C4131" t="str">
        <f>HYPERLINK("http://service.sap.com/sap/support/notes/2047378","2047378")</f>
        <v>2047378</v>
      </c>
      <c r="D4131">
        <v>1</v>
      </c>
      <c r="E4131" t="s">
        <v>4447</v>
      </c>
      <c r="F4131" t="s">
        <v>17</v>
      </c>
    </row>
    <row r="4132" spans="1:6" x14ac:dyDescent="0.3">
      <c r="A4132" t="s">
        <v>152</v>
      </c>
      <c r="B4132" t="s">
        <v>153</v>
      </c>
      <c r="C4132" t="str">
        <f>HYPERLINK("http://service.sap.com/sap/support/notes/2048490","2048490")</f>
        <v>2048490</v>
      </c>
      <c r="D4132">
        <v>2</v>
      </c>
      <c r="E4132" t="s">
        <v>4448</v>
      </c>
      <c r="F4132" t="s">
        <v>17</v>
      </c>
    </row>
    <row r="4133" spans="1:6" x14ac:dyDescent="0.3">
      <c r="A4133" t="s">
        <v>152</v>
      </c>
      <c r="B4133" t="s">
        <v>153</v>
      </c>
      <c r="C4133" t="str">
        <f>HYPERLINK("http://service.sap.com/sap/support/notes/2049554","2049554")</f>
        <v>2049554</v>
      </c>
      <c r="D4133">
        <v>1</v>
      </c>
      <c r="E4133" t="s">
        <v>4449</v>
      </c>
      <c r="F4133" t="s">
        <v>17</v>
      </c>
    </row>
    <row r="4134" spans="1:6" x14ac:dyDescent="0.3">
      <c r="A4134" t="s">
        <v>152</v>
      </c>
      <c r="B4134" t="s">
        <v>153</v>
      </c>
      <c r="C4134" t="str">
        <f>HYPERLINK("http://service.sap.com/sap/support/notes/2051776","2051776")</f>
        <v>2051776</v>
      </c>
      <c r="D4134">
        <v>1</v>
      </c>
      <c r="E4134" t="s">
        <v>4450</v>
      </c>
      <c r="F4134" t="s">
        <v>17</v>
      </c>
    </row>
    <row r="4135" spans="1:6" x14ac:dyDescent="0.3">
      <c r="A4135" t="s">
        <v>159</v>
      </c>
      <c r="B4135" t="s">
        <v>160</v>
      </c>
      <c r="C4135" t="str">
        <f>HYPERLINK("http://service.sap.com/sap/support/notes/2027857","2027857")</f>
        <v>2027857</v>
      </c>
      <c r="D4135">
        <v>3</v>
      </c>
      <c r="E4135" t="s">
        <v>4451</v>
      </c>
      <c r="F4135" t="s">
        <v>13</v>
      </c>
    </row>
    <row r="4136" spans="1:6" x14ac:dyDescent="0.3">
      <c r="A4136" t="s">
        <v>159</v>
      </c>
      <c r="B4136" t="s">
        <v>160</v>
      </c>
      <c r="C4136" t="str">
        <f>HYPERLINK("http://service.sap.com/sap/support/notes/2050444","2050444")</f>
        <v>2050444</v>
      </c>
      <c r="D4136">
        <v>1</v>
      </c>
      <c r="E4136" t="s">
        <v>4452</v>
      </c>
      <c r="F4136" t="s">
        <v>17</v>
      </c>
    </row>
    <row r="4137" spans="1:6" x14ac:dyDescent="0.3">
      <c r="A4137" t="s">
        <v>165</v>
      </c>
      <c r="B4137" t="s">
        <v>131</v>
      </c>
      <c r="C4137" t="str">
        <f>HYPERLINK("http://service.sap.com/sap/support/notes/1316934","1316934")</f>
        <v>1316934</v>
      </c>
      <c r="D4137">
        <v>5</v>
      </c>
      <c r="E4137" t="s">
        <v>4453</v>
      </c>
      <c r="F4137" t="s">
        <v>17</v>
      </c>
    </row>
    <row r="4138" spans="1:6" x14ac:dyDescent="0.3">
      <c r="A4138" t="s">
        <v>165</v>
      </c>
      <c r="B4138" t="s">
        <v>131</v>
      </c>
      <c r="C4138" t="str">
        <f>HYPERLINK("http://service.sap.com/sap/support/notes/1523086","1523086")</f>
        <v>1523086</v>
      </c>
      <c r="D4138">
        <v>4</v>
      </c>
      <c r="E4138" t="s">
        <v>4454</v>
      </c>
      <c r="F4138" t="s">
        <v>17</v>
      </c>
    </row>
    <row r="4139" spans="1:6" x14ac:dyDescent="0.3">
      <c r="A4139" t="s">
        <v>165</v>
      </c>
      <c r="B4139" t="s">
        <v>131</v>
      </c>
      <c r="C4139" t="str">
        <f>HYPERLINK("http://service.sap.com/sap/support/notes/1556261","1556261")</f>
        <v>1556261</v>
      </c>
      <c r="D4139">
        <v>3</v>
      </c>
      <c r="E4139" t="s">
        <v>4455</v>
      </c>
      <c r="F4139" t="s">
        <v>17</v>
      </c>
    </row>
    <row r="4140" spans="1:6" x14ac:dyDescent="0.3">
      <c r="A4140" t="s">
        <v>165</v>
      </c>
      <c r="B4140" t="s">
        <v>131</v>
      </c>
      <c r="C4140" t="str">
        <f>HYPERLINK("http://service.sap.com/sap/support/notes/1652501","1652501")</f>
        <v>1652501</v>
      </c>
      <c r="D4140">
        <v>2</v>
      </c>
      <c r="E4140" t="s">
        <v>4456</v>
      </c>
      <c r="F4140" t="s">
        <v>17</v>
      </c>
    </row>
    <row r="4141" spans="1:6" x14ac:dyDescent="0.3">
      <c r="A4141" t="s">
        <v>165</v>
      </c>
      <c r="B4141" t="s">
        <v>131</v>
      </c>
      <c r="C4141" t="str">
        <f>HYPERLINK("http://service.sap.com/sap/support/notes/1861173","1861173")</f>
        <v>1861173</v>
      </c>
      <c r="D4141">
        <v>2</v>
      </c>
      <c r="E4141" t="s">
        <v>4457</v>
      </c>
      <c r="F4141" t="s">
        <v>17</v>
      </c>
    </row>
    <row r="4142" spans="1:6" x14ac:dyDescent="0.3">
      <c r="A4142" t="s">
        <v>165</v>
      </c>
      <c r="B4142" t="s">
        <v>131</v>
      </c>
      <c r="C4142" t="str">
        <f>HYPERLINK("http://service.sap.com/sap/support/notes/1971694","1971694")</f>
        <v>1971694</v>
      </c>
      <c r="D4142">
        <v>2</v>
      </c>
      <c r="E4142" t="s">
        <v>4458</v>
      </c>
      <c r="F4142" t="s">
        <v>17</v>
      </c>
    </row>
    <row r="4143" spans="1:6" x14ac:dyDescent="0.3">
      <c r="A4143" t="s">
        <v>165</v>
      </c>
      <c r="B4143" t="s">
        <v>131</v>
      </c>
      <c r="C4143" t="str">
        <f>HYPERLINK("http://service.sap.com/sap/support/notes/2035598","2035598")</f>
        <v>2035598</v>
      </c>
      <c r="D4143">
        <v>1</v>
      </c>
      <c r="E4143" t="s">
        <v>4459</v>
      </c>
      <c r="F4143" t="s">
        <v>13</v>
      </c>
    </row>
    <row r="4144" spans="1:6" x14ac:dyDescent="0.3">
      <c r="A4144" t="s">
        <v>165</v>
      </c>
      <c r="B4144" t="s">
        <v>131</v>
      </c>
      <c r="C4144" t="str">
        <f>HYPERLINK("http://service.sap.com/sap/support/notes/2039684","2039684")</f>
        <v>2039684</v>
      </c>
      <c r="D4144">
        <v>1</v>
      </c>
      <c r="E4144" t="s">
        <v>4460</v>
      </c>
      <c r="F4144" t="s">
        <v>17</v>
      </c>
    </row>
    <row r="4145" spans="1:6" x14ac:dyDescent="0.3">
      <c r="A4145" t="s">
        <v>172</v>
      </c>
      <c r="B4145" t="s">
        <v>173</v>
      </c>
      <c r="C4145" t="str">
        <f>HYPERLINK("http://service.sap.com/sap/support/notes/1970953","1970953")</f>
        <v>1970953</v>
      </c>
      <c r="D4145">
        <v>2</v>
      </c>
      <c r="E4145" t="s">
        <v>4461</v>
      </c>
      <c r="F4145" t="s">
        <v>17</v>
      </c>
    </row>
    <row r="4146" spans="1:6" x14ac:dyDescent="0.3">
      <c r="A4146" t="s">
        <v>172</v>
      </c>
      <c r="B4146" t="s">
        <v>173</v>
      </c>
      <c r="C4146" t="str">
        <f>HYPERLINK("http://service.sap.com/sap/support/notes/2042384","2042384")</f>
        <v>2042384</v>
      </c>
      <c r="D4146">
        <v>1</v>
      </c>
      <c r="E4146" t="s">
        <v>4462</v>
      </c>
      <c r="F4146" t="s">
        <v>11</v>
      </c>
    </row>
    <row r="4147" spans="1:6" x14ac:dyDescent="0.3">
      <c r="A4147" t="s">
        <v>175</v>
      </c>
      <c r="B4147" t="s">
        <v>176</v>
      </c>
    </row>
    <row r="4148" spans="1:6" x14ac:dyDescent="0.3">
      <c r="A4148" t="s">
        <v>177</v>
      </c>
      <c r="B4148" t="s">
        <v>138</v>
      </c>
      <c r="C4148" t="str">
        <f>HYPERLINK("http://service.sap.com/sap/support/notes/2038168","2038168")</f>
        <v>2038168</v>
      </c>
      <c r="D4148">
        <v>1</v>
      </c>
      <c r="E4148" t="s">
        <v>4463</v>
      </c>
      <c r="F4148" t="s">
        <v>13</v>
      </c>
    </row>
    <row r="4149" spans="1:6" x14ac:dyDescent="0.3">
      <c r="A4149" t="s">
        <v>179</v>
      </c>
      <c r="B4149" t="s">
        <v>160</v>
      </c>
      <c r="C4149" t="str">
        <f>HYPERLINK("http://service.sap.com/sap/support/notes/753071","753071")</f>
        <v>753071</v>
      </c>
      <c r="D4149">
        <v>14</v>
      </c>
      <c r="E4149" t="s">
        <v>4464</v>
      </c>
      <c r="F4149" t="s">
        <v>17</v>
      </c>
    </row>
    <row r="4150" spans="1:6" x14ac:dyDescent="0.3">
      <c r="A4150" t="s">
        <v>179</v>
      </c>
      <c r="B4150" t="s">
        <v>160</v>
      </c>
      <c r="C4150" t="str">
        <f>HYPERLINK("http://service.sap.com/sap/support/notes/2047806","2047806")</f>
        <v>2047806</v>
      </c>
      <c r="D4150">
        <v>2</v>
      </c>
      <c r="E4150" t="s">
        <v>4465</v>
      </c>
      <c r="F4150" t="s">
        <v>17</v>
      </c>
    </row>
    <row r="4151" spans="1:6" x14ac:dyDescent="0.3">
      <c r="A4151" t="s">
        <v>181</v>
      </c>
      <c r="B4151" t="s">
        <v>182</v>
      </c>
      <c r="C4151" t="str">
        <f>HYPERLINK("http://service.sap.com/sap/support/notes/1257215","1257215")</f>
        <v>1257215</v>
      </c>
      <c r="D4151">
        <v>7</v>
      </c>
      <c r="E4151" t="s">
        <v>4466</v>
      </c>
      <c r="F4151" t="s">
        <v>17</v>
      </c>
    </row>
    <row r="4152" spans="1:6" x14ac:dyDescent="0.3">
      <c r="A4152" t="s">
        <v>181</v>
      </c>
      <c r="B4152" t="s">
        <v>182</v>
      </c>
      <c r="C4152" t="str">
        <f>HYPERLINK("http://service.sap.com/sap/support/notes/1967136","1967136")</f>
        <v>1967136</v>
      </c>
      <c r="D4152">
        <v>2</v>
      </c>
      <c r="E4152" t="s">
        <v>4467</v>
      </c>
      <c r="F4152" t="s">
        <v>17</v>
      </c>
    </row>
    <row r="4153" spans="1:6" x14ac:dyDescent="0.3">
      <c r="A4153" t="s">
        <v>181</v>
      </c>
      <c r="B4153" t="s">
        <v>182</v>
      </c>
      <c r="C4153" t="str">
        <f>HYPERLINK("http://service.sap.com/sap/support/notes/2026660","2026660")</f>
        <v>2026660</v>
      </c>
      <c r="D4153">
        <v>4</v>
      </c>
      <c r="E4153" t="s">
        <v>4468</v>
      </c>
      <c r="F4153" t="s">
        <v>94</v>
      </c>
    </row>
    <row r="4154" spans="1:6" x14ac:dyDescent="0.3">
      <c r="A4154" t="s">
        <v>181</v>
      </c>
      <c r="B4154" t="s">
        <v>182</v>
      </c>
      <c r="C4154" t="str">
        <f>HYPERLINK("http://service.sap.com/sap/support/notes/2036486","2036486")</f>
        <v>2036486</v>
      </c>
      <c r="D4154">
        <v>1</v>
      </c>
      <c r="E4154" t="s">
        <v>4469</v>
      </c>
      <c r="F4154" t="s">
        <v>11</v>
      </c>
    </row>
    <row r="4155" spans="1:6" x14ac:dyDescent="0.3">
      <c r="A4155" t="s">
        <v>181</v>
      </c>
      <c r="B4155" t="s">
        <v>182</v>
      </c>
      <c r="C4155" t="str">
        <f>HYPERLINK("http://service.sap.com/sap/support/notes/2038602","2038602")</f>
        <v>2038602</v>
      </c>
      <c r="D4155">
        <v>1</v>
      </c>
      <c r="E4155" t="s">
        <v>4470</v>
      </c>
      <c r="F4155" t="s">
        <v>17</v>
      </c>
    </row>
    <row r="4156" spans="1:6" x14ac:dyDescent="0.3">
      <c r="A4156" t="s">
        <v>181</v>
      </c>
      <c r="B4156" t="s">
        <v>182</v>
      </c>
      <c r="C4156" t="str">
        <f>HYPERLINK("http://service.sap.com/sap/support/notes/2044905","2044905")</f>
        <v>2044905</v>
      </c>
      <c r="D4156">
        <v>1</v>
      </c>
      <c r="E4156" t="s">
        <v>4471</v>
      </c>
      <c r="F4156" t="s">
        <v>94</v>
      </c>
    </row>
    <row r="4157" spans="1:6" x14ac:dyDescent="0.3">
      <c r="A4157" t="s">
        <v>181</v>
      </c>
      <c r="B4157" t="s">
        <v>182</v>
      </c>
      <c r="C4157" t="str">
        <f>HYPERLINK("http://service.sap.com/sap/support/notes/2047248","2047248")</f>
        <v>2047248</v>
      </c>
      <c r="D4157">
        <v>3</v>
      </c>
      <c r="E4157" t="s">
        <v>4472</v>
      </c>
      <c r="F4157" t="s">
        <v>17</v>
      </c>
    </row>
    <row r="4158" spans="1:6" x14ac:dyDescent="0.3">
      <c r="A4158" t="s">
        <v>181</v>
      </c>
      <c r="B4158" t="s">
        <v>182</v>
      </c>
      <c r="C4158" t="str">
        <f>HYPERLINK("http://service.sap.com/sap/support/notes/2052151","2052151")</f>
        <v>2052151</v>
      </c>
      <c r="D4158">
        <v>1</v>
      </c>
      <c r="E4158" t="s">
        <v>4473</v>
      </c>
      <c r="F4158" t="s">
        <v>17</v>
      </c>
    </row>
    <row r="4159" spans="1:6" x14ac:dyDescent="0.3">
      <c r="A4159" t="s">
        <v>187</v>
      </c>
      <c r="B4159" t="s">
        <v>188</v>
      </c>
      <c r="C4159" t="str">
        <f>HYPERLINK("http://service.sap.com/sap/support/notes/2045872","2045872")</f>
        <v>2045872</v>
      </c>
      <c r="D4159">
        <v>1</v>
      </c>
      <c r="E4159" t="s">
        <v>4474</v>
      </c>
      <c r="F4159" t="s">
        <v>17</v>
      </c>
    </row>
    <row r="4160" spans="1:6" x14ac:dyDescent="0.3">
      <c r="A4160" t="s">
        <v>187</v>
      </c>
      <c r="B4160" t="s">
        <v>188</v>
      </c>
      <c r="C4160" t="str">
        <f>HYPERLINK("http://service.sap.com/sap/support/notes/2062240","2062240")</f>
        <v>2062240</v>
      </c>
      <c r="D4160">
        <v>1</v>
      </c>
      <c r="E4160" t="s">
        <v>4475</v>
      </c>
      <c r="F4160" t="s">
        <v>17</v>
      </c>
    </row>
    <row r="4161" spans="1:6" x14ac:dyDescent="0.3">
      <c r="A4161" t="s">
        <v>189</v>
      </c>
      <c r="B4161" t="s">
        <v>138</v>
      </c>
      <c r="C4161" t="str">
        <f>HYPERLINK("http://service.sap.com/sap/support/notes/1611946","1611946")</f>
        <v>1611946</v>
      </c>
      <c r="D4161">
        <v>3</v>
      </c>
      <c r="E4161" t="s">
        <v>4476</v>
      </c>
      <c r="F4161" t="s">
        <v>17</v>
      </c>
    </row>
    <row r="4162" spans="1:6" x14ac:dyDescent="0.3">
      <c r="A4162" t="s">
        <v>189</v>
      </c>
      <c r="B4162" t="s">
        <v>138</v>
      </c>
      <c r="C4162" t="str">
        <f>HYPERLINK("http://service.sap.com/sap/support/notes/1743735","1743735")</f>
        <v>1743735</v>
      </c>
      <c r="D4162">
        <v>3</v>
      </c>
      <c r="E4162" t="s">
        <v>4477</v>
      </c>
      <c r="F4162" t="s">
        <v>13</v>
      </c>
    </row>
    <row r="4163" spans="1:6" x14ac:dyDescent="0.3">
      <c r="A4163" t="s">
        <v>197</v>
      </c>
      <c r="B4163" t="s">
        <v>198</v>
      </c>
      <c r="C4163" t="str">
        <f>HYPERLINK("http://service.sap.com/sap/support/notes/1869933","1869933")</f>
        <v>1869933</v>
      </c>
      <c r="D4163">
        <v>2</v>
      </c>
      <c r="E4163" t="s">
        <v>4478</v>
      </c>
      <c r="F4163" t="s">
        <v>13</v>
      </c>
    </row>
    <row r="4164" spans="1:6" x14ac:dyDescent="0.3">
      <c r="A4164" t="s">
        <v>197</v>
      </c>
      <c r="B4164" t="s">
        <v>198</v>
      </c>
      <c r="C4164" t="str">
        <f>HYPERLINK("http://service.sap.com/sap/support/notes/2015968","2015968")</f>
        <v>2015968</v>
      </c>
      <c r="D4164">
        <v>1</v>
      </c>
      <c r="E4164" t="s">
        <v>4479</v>
      </c>
      <c r="F4164" t="s">
        <v>17</v>
      </c>
    </row>
    <row r="4165" spans="1:6" x14ac:dyDescent="0.3">
      <c r="A4165" t="s">
        <v>205</v>
      </c>
      <c r="B4165" t="s">
        <v>157</v>
      </c>
      <c r="C4165" t="str">
        <f>HYPERLINK("http://service.sap.com/sap/support/notes/1970727","1970727")</f>
        <v>1970727</v>
      </c>
      <c r="D4165">
        <v>1</v>
      </c>
      <c r="E4165" t="s">
        <v>4480</v>
      </c>
      <c r="F4165" t="s">
        <v>17</v>
      </c>
    </row>
    <row r="4166" spans="1:6" x14ac:dyDescent="0.3">
      <c r="A4166" t="s">
        <v>205</v>
      </c>
      <c r="B4166" t="s">
        <v>157</v>
      </c>
      <c r="C4166" t="str">
        <f>HYPERLINK("http://service.sap.com/sap/support/notes/1979467","1979467")</f>
        <v>1979467</v>
      </c>
      <c r="D4166">
        <v>2</v>
      </c>
      <c r="E4166" t="s">
        <v>4481</v>
      </c>
      <c r="F4166" t="s">
        <v>17</v>
      </c>
    </row>
    <row r="4167" spans="1:6" x14ac:dyDescent="0.3">
      <c r="A4167" t="s">
        <v>205</v>
      </c>
      <c r="B4167" t="s">
        <v>157</v>
      </c>
      <c r="C4167" t="str">
        <f>HYPERLINK("http://service.sap.com/sap/support/notes/2038698","2038698")</f>
        <v>2038698</v>
      </c>
      <c r="D4167">
        <v>1</v>
      </c>
      <c r="E4167" t="s">
        <v>4482</v>
      </c>
      <c r="F4167" t="s">
        <v>17</v>
      </c>
    </row>
    <row r="4168" spans="1:6" x14ac:dyDescent="0.3">
      <c r="A4168" t="s">
        <v>208</v>
      </c>
      <c r="B4168" t="s">
        <v>131</v>
      </c>
      <c r="C4168" t="str">
        <f>HYPERLINK("http://service.sap.com/sap/support/notes/1613368","1613368")</f>
        <v>1613368</v>
      </c>
      <c r="D4168">
        <v>3</v>
      </c>
      <c r="E4168" t="s">
        <v>4483</v>
      </c>
      <c r="F4168" t="s">
        <v>17</v>
      </c>
    </row>
    <row r="4169" spans="1:6" x14ac:dyDescent="0.3">
      <c r="A4169" t="s">
        <v>208</v>
      </c>
      <c r="B4169" t="s">
        <v>131</v>
      </c>
      <c r="C4169" t="str">
        <f>HYPERLINK("http://service.sap.com/sap/support/notes/1838960","1838960")</f>
        <v>1838960</v>
      </c>
      <c r="D4169">
        <v>2</v>
      </c>
      <c r="E4169" t="s">
        <v>4484</v>
      </c>
      <c r="F4169" t="s">
        <v>17</v>
      </c>
    </row>
    <row r="4170" spans="1:6" x14ac:dyDescent="0.3">
      <c r="A4170" t="s">
        <v>208</v>
      </c>
      <c r="B4170" t="s">
        <v>131</v>
      </c>
      <c r="C4170" t="str">
        <f>HYPERLINK("http://service.sap.com/sap/support/notes/1843176","1843176")</f>
        <v>1843176</v>
      </c>
      <c r="D4170">
        <v>2</v>
      </c>
      <c r="E4170" t="s">
        <v>4485</v>
      </c>
      <c r="F4170" t="s">
        <v>17</v>
      </c>
    </row>
    <row r="4171" spans="1:6" x14ac:dyDescent="0.3">
      <c r="A4171" t="s">
        <v>208</v>
      </c>
      <c r="B4171" t="s">
        <v>131</v>
      </c>
      <c r="C4171" t="str">
        <f>HYPERLINK("http://service.sap.com/sap/support/notes/1868825","1868825")</f>
        <v>1868825</v>
      </c>
      <c r="D4171">
        <v>1</v>
      </c>
      <c r="E4171" t="s">
        <v>4486</v>
      </c>
      <c r="F4171" t="s">
        <v>17</v>
      </c>
    </row>
    <row r="4172" spans="1:6" x14ac:dyDescent="0.3">
      <c r="A4172" t="s">
        <v>208</v>
      </c>
      <c r="B4172" t="s">
        <v>131</v>
      </c>
      <c r="C4172" t="str">
        <f>HYPERLINK("http://service.sap.com/sap/support/notes/1879919","1879919")</f>
        <v>1879919</v>
      </c>
      <c r="D4172">
        <v>3</v>
      </c>
      <c r="E4172" t="s">
        <v>4487</v>
      </c>
      <c r="F4172" t="s">
        <v>11</v>
      </c>
    </row>
    <row r="4173" spans="1:6" x14ac:dyDescent="0.3">
      <c r="A4173" t="s">
        <v>208</v>
      </c>
      <c r="B4173" t="s">
        <v>131</v>
      </c>
      <c r="C4173" t="str">
        <f>HYPERLINK("http://service.sap.com/sap/support/notes/1949599","1949599")</f>
        <v>1949599</v>
      </c>
      <c r="D4173">
        <v>3</v>
      </c>
      <c r="E4173" t="s">
        <v>4488</v>
      </c>
      <c r="F4173" t="s">
        <v>13</v>
      </c>
    </row>
    <row r="4174" spans="1:6" x14ac:dyDescent="0.3">
      <c r="A4174" t="s">
        <v>208</v>
      </c>
      <c r="B4174" t="s">
        <v>131</v>
      </c>
      <c r="C4174" t="str">
        <f>HYPERLINK("http://service.sap.com/sap/support/notes/1964557","1964557")</f>
        <v>1964557</v>
      </c>
      <c r="D4174">
        <v>3</v>
      </c>
      <c r="E4174" t="s">
        <v>4489</v>
      </c>
      <c r="F4174" t="s">
        <v>17</v>
      </c>
    </row>
    <row r="4175" spans="1:6" x14ac:dyDescent="0.3">
      <c r="A4175" t="s">
        <v>208</v>
      </c>
      <c r="B4175" t="s">
        <v>131</v>
      </c>
      <c r="C4175" t="str">
        <f>HYPERLINK("http://service.sap.com/sap/support/notes/1975282","1975282")</f>
        <v>1975282</v>
      </c>
      <c r="D4175">
        <v>9</v>
      </c>
      <c r="E4175" t="s">
        <v>2729</v>
      </c>
      <c r="F4175" t="s">
        <v>17</v>
      </c>
    </row>
    <row r="4176" spans="1:6" x14ac:dyDescent="0.3">
      <c r="A4176" t="s">
        <v>208</v>
      </c>
      <c r="B4176" t="s">
        <v>131</v>
      </c>
      <c r="C4176" t="str">
        <f>HYPERLINK("http://service.sap.com/sap/support/notes/2003388","2003388")</f>
        <v>2003388</v>
      </c>
      <c r="D4176">
        <v>2</v>
      </c>
      <c r="E4176" t="s">
        <v>4490</v>
      </c>
      <c r="F4176" t="s">
        <v>17</v>
      </c>
    </row>
    <row r="4177" spans="1:6" x14ac:dyDescent="0.3">
      <c r="A4177" t="s">
        <v>208</v>
      </c>
      <c r="B4177" t="s">
        <v>131</v>
      </c>
      <c r="C4177" t="str">
        <f>HYPERLINK("http://service.sap.com/sap/support/notes/2039346","2039346")</f>
        <v>2039346</v>
      </c>
      <c r="D4177">
        <v>1</v>
      </c>
      <c r="E4177" t="s">
        <v>4491</v>
      </c>
      <c r="F4177" t="s">
        <v>17</v>
      </c>
    </row>
    <row r="4178" spans="1:6" x14ac:dyDescent="0.3">
      <c r="A4178" t="s">
        <v>208</v>
      </c>
      <c r="B4178" t="s">
        <v>131</v>
      </c>
      <c r="C4178" t="str">
        <f>HYPERLINK("http://service.sap.com/sap/support/notes/2048391","2048391")</f>
        <v>2048391</v>
      </c>
      <c r="D4178">
        <v>2</v>
      </c>
      <c r="E4178" t="s">
        <v>4492</v>
      </c>
      <c r="F4178" t="s">
        <v>17</v>
      </c>
    </row>
    <row r="4179" spans="1:6" x14ac:dyDescent="0.3">
      <c r="A4179" t="s">
        <v>223</v>
      </c>
      <c r="B4179" t="s">
        <v>224</v>
      </c>
      <c r="C4179" t="str">
        <f>HYPERLINK("http://service.sap.com/sap/support/notes/1680551","1680551")</f>
        <v>1680551</v>
      </c>
      <c r="D4179">
        <v>4</v>
      </c>
      <c r="E4179" t="s">
        <v>4493</v>
      </c>
      <c r="F4179" t="s">
        <v>17</v>
      </c>
    </row>
    <row r="4180" spans="1:6" x14ac:dyDescent="0.3">
      <c r="A4180" t="s">
        <v>223</v>
      </c>
      <c r="B4180" t="s">
        <v>224</v>
      </c>
      <c r="C4180" t="str">
        <f>HYPERLINK("http://service.sap.com/sap/support/notes/1954836","1954836")</f>
        <v>1954836</v>
      </c>
      <c r="D4180">
        <v>3</v>
      </c>
      <c r="E4180" t="s">
        <v>4494</v>
      </c>
      <c r="F4180" t="s">
        <v>13</v>
      </c>
    </row>
    <row r="4181" spans="1:6" x14ac:dyDescent="0.3">
      <c r="A4181" t="s">
        <v>223</v>
      </c>
      <c r="B4181" t="s">
        <v>224</v>
      </c>
      <c r="C4181" t="str">
        <f>HYPERLINK("http://service.sap.com/sap/support/notes/2010951","2010951")</f>
        <v>2010951</v>
      </c>
      <c r="D4181">
        <v>1</v>
      </c>
      <c r="E4181" t="s">
        <v>4495</v>
      </c>
      <c r="F4181" t="s">
        <v>17</v>
      </c>
    </row>
    <row r="4182" spans="1:6" x14ac:dyDescent="0.3">
      <c r="A4182" t="s">
        <v>223</v>
      </c>
      <c r="B4182" t="s">
        <v>224</v>
      </c>
      <c r="C4182" t="str">
        <f>HYPERLINK("http://service.sap.com/sap/support/notes/2051932","2051932")</f>
        <v>2051932</v>
      </c>
      <c r="D4182">
        <v>1</v>
      </c>
      <c r="E4182" t="s">
        <v>4496</v>
      </c>
      <c r="F4182" t="s">
        <v>17</v>
      </c>
    </row>
    <row r="4183" spans="1:6" x14ac:dyDescent="0.3">
      <c r="A4183" t="s">
        <v>223</v>
      </c>
      <c r="B4183" t="s">
        <v>224</v>
      </c>
      <c r="C4183" t="str">
        <f>HYPERLINK("http://service.sap.com/sap/support/notes/2052898","2052898")</f>
        <v>2052898</v>
      </c>
      <c r="D4183">
        <v>2</v>
      </c>
      <c r="E4183" t="s">
        <v>4497</v>
      </c>
      <c r="F4183" t="s">
        <v>17</v>
      </c>
    </row>
    <row r="4184" spans="1:6" x14ac:dyDescent="0.3">
      <c r="A4184" t="s">
        <v>223</v>
      </c>
      <c r="B4184" t="s">
        <v>224</v>
      </c>
      <c r="C4184" t="str">
        <f>HYPERLINK("http://service.sap.com/sap/support/notes/2057905","2057905")</f>
        <v>2057905</v>
      </c>
      <c r="D4184">
        <v>2</v>
      </c>
      <c r="E4184" t="s">
        <v>4498</v>
      </c>
      <c r="F4184" t="s">
        <v>17</v>
      </c>
    </row>
    <row r="4185" spans="1:6" x14ac:dyDescent="0.3">
      <c r="A4185" t="s">
        <v>223</v>
      </c>
      <c r="B4185" t="s">
        <v>224</v>
      </c>
      <c r="C4185" t="str">
        <f>HYPERLINK("http://service.sap.com/sap/support/notes/2060024","2060024")</f>
        <v>2060024</v>
      </c>
      <c r="D4185">
        <v>1</v>
      </c>
      <c r="E4185" t="s">
        <v>4499</v>
      </c>
      <c r="F4185" t="s">
        <v>17</v>
      </c>
    </row>
    <row r="4186" spans="1:6" x14ac:dyDescent="0.3">
      <c r="A4186" t="s">
        <v>235</v>
      </c>
      <c r="B4186" t="s">
        <v>236</v>
      </c>
      <c r="C4186" t="str">
        <f>HYPERLINK("http://service.sap.com/sap/support/notes/826396","826396")</f>
        <v>826396</v>
      </c>
      <c r="D4186">
        <v>3</v>
      </c>
      <c r="E4186" t="s">
        <v>4500</v>
      </c>
      <c r="F4186" t="s">
        <v>17</v>
      </c>
    </row>
    <row r="4187" spans="1:6" x14ac:dyDescent="0.3">
      <c r="A4187" t="s">
        <v>235</v>
      </c>
      <c r="B4187" t="s">
        <v>236</v>
      </c>
      <c r="C4187" t="str">
        <f>HYPERLINK("http://service.sap.com/sap/support/notes/1865956","1865956")</f>
        <v>1865956</v>
      </c>
      <c r="D4187">
        <v>2</v>
      </c>
      <c r="E4187" t="s">
        <v>4501</v>
      </c>
      <c r="F4187" t="s">
        <v>94</v>
      </c>
    </row>
    <row r="4188" spans="1:6" x14ac:dyDescent="0.3">
      <c r="A4188" t="s">
        <v>235</v>
      </c>
      <c r="B4188" t="s">
        <v>236</v>
      </c>
      <c r="C4188" t="str">
        <f>HYPERLINK("http://service.sap.com/sap/support/notes/1994094","1994094")</f>
        <v>1994094</v>
      </c>
      <c r="D4188">
        <v>1</v>
      </c>
      <c r="E4188" t="s">
        <v>4502</v>
      </c>
      <c r="F4188" t="s">
        <v>13</v>
      </c>
    </row>
    <row r="4189" spans="1:6" x14ac:dyDescent="0.3">
      <c r="A4189" t="s">
        <v>235</v>
      </c>
      <c r="B4189" t="s">
        <v>236</v>
      </c>
      <c r="C4189" t="str">
        <f>HYPERLINK("http://service.sap.com/sap/support/notes/2015532","2015532")</f>
        <v>2015532</v>
      </c>
      <c r="D4189">
        <v>1</v>
      </c>
      <c r="E4189" t="s">
        <v>4503</v>
      </c>
      <c r="F4189" t="s">
        <v>13</v>
      </c>
    </row>
    <row r="4190" spans="1:6" x14ac:dyDescent="0.3">
      <c r="A4190" t="s">
        <v>235</v>
      </c>
      <c r="B4190" t="s">
        <v>236</v>
      </c>
      <c r="C4190" t="str">
        <f>HYPERLINK("http://service.sap.com/sap/support/notes/2044086","2044086")</f>
        <v>2044086</v>
      </c>
      <c r="D4190">
        <v>1</v>
      </c>
      <c r="E4190" t="s">
        <v>4504</v>
      </c>
      <c r="F4190" t="s">
        <v>17</v>
      </c>
    </row>
    <row r="4191" spans="1:6" x14ac:dyDescent="0.3">
      <c r="A4191" t="s">
        <v>247</v>
      </c>
      <c r="B4191" t="s">
        <v>138</v>
      </c>
      <c r="C4191" t="str">
        <f>HYPERLINK("http://service.sap.com/sap/support/notes/1928077","1928077")</f>
        <v>1928077</v>
      </c>
      <c r="D4191">
        <v>3</v>
      </c>
      <c r="E4191" t="s">
        <v>4505</v>
      </c>
      <c r="F4191" t="s">
        <v>17</v>
      </c>
    </row>
    <row r="4192" spans="1:6" x14ac:dyDescent="0.3">
      <c r="A4192" t="s">
        <v>247</v>
      </c>
      <c r="B4192" t="s">
        <v>138</v>
      </c>
      <c r="C4192" t="str">
        <f>HYPERLINK("http://service.sap.com/sap/support/notes/1995229","1995229")</f>
        <v>1995229</v>
      </c>
      <c r="D4192">
        <v>1</v>
      </c>
      <c r="E4192" t="s">
        <v>4506</v>
      </c>
      <c r="F4192" t="s">
        <v>17</v>
      </c>
    </row>
    <row r="4193" spans="1:6" x14ac:dyDescent="0.3">
      <c r="A4193" t="s">
        <v>254</v>
      </c>
      <c r="B4193" t="s">
        <v>255</v>
      </c>
      <c r="C4193" t="str">
        <f>HYPERLINK("http://service.sap.com/sap/support/notes/1757937","1757937")</f>
        <v>1757937</v>
      </c>
      <c r="D4193">
        <v>8</v>
      </c>
      <c r="E4193" t="s">
        <v>4507</v>
      </c>
      <c r="F4193" t="s">
        <v>13</v>
      </c>
    </row>
    <row r="4194" spans="1:6" x14ac:dyDescent="0.3">
      <c r="A4194" t="s">
        <v>254</v>
      </c>
      <c r="B4194" t="s">
        <v>255</v>
      </c>
      <c r="C4194" t="str">
        <f>HYPERLINK("http://service.sap.com/sap/support/notes/2004791","2004791")</f>
        <v>2004791</v>
      </c>
      <c r="D4194">
        <v>1</v>
      </c>
      <c r="E4194" t="s">
        <v>4508</v>
      </c>
      <c r="F4194" t="s">
        <v>17</v>
      </c>
    </row>
    <row r="4195" spans="1:6" x14ac:dyDescent="0.3">
      <c r="A4195" t="s">
        <v>262</v>
      </c>
      <c r="B4195" t="s">
        <v>56</v>
      </c>
      <c r="C4195" t="str">
        <f>HYPERLINK("http://service.sap.com/sap/support/notes/2026508","2026508")</f>
        <v>2026508</v>
      </c>
      <c r="D4195">
        <v>1</v>
      </c>
      <c r="E4195" t="s">
        <v>4509</v>
      </c>
      <c r="F4195" t="s">
        <v>17</v>
      </c>
    </row>
    <row r="4196" spans="1:6" x14ac:dyDescent="0.3">
      <c r="A4196" t="s">
        <v>264</v>
      </c>
      <c r="B4196" t="s">
        <v>265</v>
      </c>
      <c r="C4196" t="str">
        <f>HYPERLINK("http://service.sap.com/sap/support/notes/1838464","1838464")</f>
        <v>1838464</v>
      </c>
      <c r="D4196">
        <v>3</v>
      </c>
      <c r="E4196" t="s">
        <v>4510</v>
      </c>
      <c r="F4196" t="s">
        <v>17</v>
      </c>
    </row>
    <row r="4197" spans="1:6" x14ac:dyDescent="0.3">
      <c r="A4197" t="s">
        <v>264</v>
      </c>
      <c r="B4197" t="s">
        <v>265</v>
      </c>
      <c r="C4197" t="str">
        <f>HYPERLINK("http://service.sap.com/sap/support/notes/1882200","1882200")</f>
        <v>1882200</v>
      </c>
      <c r="D4197">
        <v>4</v>
      </c>
      <c r="E4197" t="s">
        <v>4511</v>
      </c>
      <c r="F4197" t="s">
        <v>17</v>
      </c>
    </row>
    <row r="4198" spans="1:6" x14ac:dyDescent="0.3">
      <c r="A4198" t="s">
        <v>264</v>
      </c>
      <c r="B4198" t="s">
        <v>265</v>
      </c>
      <c r="C4198" t="str">
        <f>HYPERLINK("http://service.sap.com/sap/support/notes/2008798","2008798")</f>
        <v>2008798</v>
      </c>
      <c r="D4198">
        <v>2</v>
      </c>
      <c r="E4198" t="s">
        <v>4512</v>
      </c>
      <c r="F4198" t="s">
        <v>17</v>
      </c>
    </row>
    <row r="4199" spans="1:6" x14ac:dyDescent="0.3">
      <c r="A4199" t="s">
        <v>264</v>
      </c>
      <c r="B4199" t="s">
        <v>265</v>
      </c>
      <c r="C4199" t="str">
        <f>HYPERLINK("http://service.sap.com/sap/support/notes/2017028","2017028")</f>
        <v>2017028</v>
      </c>
      <c r="D4199">
        <v>3</v>
      </c>
      <c r="E4199" t="s">
        <v>4513</v>
      </c>
      <c r="F4199" t="s">
        <v>17</v>
      </c>
    </row>
    <row r="4200" spans="1:6" x14ac:dyDescent="0.3">
      <c r="A4200" t="s">
        <v>264</v>
      </c>
      <c r="B4200" t="s">
        <v>265</v>
      </c>
      <c r="C4200" t="str">
        <f>HYPERLINK("http://service.sap.com/sap/support/notes/2020374","2020374")</f>
        <v>2020374</v>
      </c>
      <c r="D4200">
        <v>5</v>
      </c>
      <c r="E4200" t="s">
        <v>4514</v>
      </c>
      <c r="F4200" t="s">
        <v>17</v>
      </c>
    </row>
    <row r="4201" spans="1:6" x14ac:dyDescent="0.3">
      <c r="A4201" t="s">
        <v>264</v>
      </c>
      <c r="B4201" t="s">
        <v>265</v>
      </c>
      <c r="C4201" t="str">
        <f>HYPERLINK("http://service.sap.com/sap/support/notes/2023080","2023080")</f>
        <v>2023080</v>
      </c>
      <c r="D4201">
        <v>2</v>
      </c>
      <c r="E4201" t="s">
        <v>4515</v>
      </c>
      <c r="F4201" t="s">
        <v>17</v>
      </c>
    </row>
    <row r="4202" spans="1:6" x14ac:dyDescent="0.3">
      <c r="A4202" t="s">
        <v>264</v>
      </c>
      <c r="B4202" t="s">
        <v>265</v>
      </c>
      <c r="C4202" t="str">
        <f>HYPERLINK("http://service.sap.com/sap/support/notes/2023339","2023339")</f>
        <v>2023339</v>
      </c>
      <c r="D4202">
        <v>3</v>
      </c>
      <c r="E4202" t="s">
        <v>4516</v>
      </c>
      <c r="F4202" t="s">
        <v>17</v>
      </c>
    </row>
    <row r="4203" spans="1:6" x14ac:dyDescent="0.3">
      <c r="A4203" t="s">
        <v>264</v>
      </c>
      <c r="B4203" t="s">
        <v>265</v>
      </c>
      <c r="C4203" t="str">
        <f>HYPERLINK("http://service.sap.com/sap/support/notes/2030889","2030889")</f>
        <v>2030889</v>
      </c>
      <c r="D4203">
        <v>2</v>
      </c>
      <c r="E4203" t="s">
        <v>4517</v>
      </c>
      <c r="F4203" t="s">
        <v>17</v>
      </c>
    </row>
    <row r="4204" spans="1:6" x14ac:dyDescent="0.3">
      <c r="A4204" t="s">
        <v>264</v>
      </c>
      <c r="B4204" t="s">
        <v>265</v>
      </c>
      <c r="C4204" t="str">
        <f>HYPERLINK("http://service.sap.com/sap/support/notes/2031872","2031872")</f>
        <v>2031872</v>
      </c>
      <c r="D4204">
        <v>2</v>
      </c>
      <c r="E4204" t="s">
        <v>4518</v>
      </c>
      <c r="F4204" t="s">
        <v>17</v>
      </c>
    </row>
    <row r="4205" spans="1:6" x14ac:dyDescent="0.3">
      <c r="A4205" t="s">
        <v>264</v>
      </c>
      <c r="B4205" t="s">
        <v>265</v>
      </c>
      <c r="C4205" t="str">
        <f>HYPERLINK("http://service.sap.com/sap/support/notes/2037261","2037261")</f>
        <v>2037261</v>
      </c>
      <c r="D4205">
        <v>2</v>
      </c>
      <c r="E4205" t="s">
        <v>4519</v>
      </c>
      <c r="F4205" t="s">
        <v>17</v>
      </c>
    </row>
    <row r="4206" spans="1:6" x14ac:dyDescent="0.3">
      <c r="A4206" t="s">
        <v>264</v>
      </c>
      <c r="B4206" t="s">
        <v>265</v>
      </c>
      <c r="C4206" t="str">
        <f>HYPERLINK("http://service.sap.com/sap/support/notes/2038713","2038713")</f>
        <v>2038713</v>
      </c>
      <c r="D4206">
        <v>2</v>
      </c>
      <c r="E4206" t="s">
        <v>4520</v>
      </c>
      <c r="F4206" t="s">
        <v>17</v>
      </c>
    </row>
    <row r="4207" spans="1:6" x14ac:dyDescent="0.3">
      <c r="A4207" t="s">
        <v>264</v>
      </c>
      <c r="B4207" t="s">
        <v>265</v>
      </c>
      <c r="C4207" t="str">
        <f>HYPERLINK("http://service.sap.com/sap/support/notes/2040356","2040356")</f>
        <v>2040356</v>
      </c>
      <c r="D4207">
        <v>1</v>
      </c>
      <c r="E4207" t="s">
        <v>4521</v>
      </c>
      <c r="F4207" t="s">
        <v>17</v>
      </c>
    </row>
    <row r="4208" spans="1:6" x14ac:dyDescent="0.3">
      <c r="A4208" t="s">
        <v>264</v>
      </c>
      <c r="B4208" t="s">
        <v>265</v>
      </c>
      <c r="C4208" t="str">
        <f>HYPERLINK("http://service.sap.com/sap/support/notes/2040408","2040408")</f>
        <v>2040408</v>
      </c>
      <c r="D4208">
        <v>2</v>
      </c>
      <c r="E4208" t="s">
        <v>4522</v>
      </c>
      <c r="F4208" t="s">
        <v>13</v>
      </c>
    </row>
    <row r="4209" spans="1:6" x14ac:dyDescent="0.3">
      <c r="A4209" t="s">
        <v>264</v>
      </c>
      <c r="B4209" t="s">
        <v>265</v>
      </c>
      <c r="C4209" t="str">
        <f>HYPERLINK("http://service.sap.com/sap/support/notes/2047334","2047334")</f>
        <v>2047334</v>
      </c>
      <c r="D4209">
        <v>1</v>
      </c>
      <c r="E4209" t="s">
        <v>4523</v>
      </c>
      <c r="F4209" t="s">
        <v>17</v>
      </c>
    </row>
    <row r="4210" spans="1:6" x14ac:dyDescent="0.3">
      <c r="A4210" t="s">
        <v>264</v>
      </c>
      <c r="B4210" t="s">
        <v>265</v>
      </c>
      <c r="C4210" t="str">
        <f>HYPERLINK("http://service.sap.com/sap/support/notes/2047971","2047971")</f>
        <v>2047971</v>
      </c>
      <c r="D4210">
        <v>3</v>
      </c>
      <c r="E4210" t="s">
        <v>4524</v>
      </c>
      <c r="F4210" t="s">
        <v>17</v>
      </c>
    </row>
    <row r="4211" spans="1:6" x14ac:dyDescent="0.3">
      <c r="A4211" t="s">
        <v>264</v>
      </c>
      <c r="B4211" t="s">
        <v>265</v>
      </c>
      <c r="C4211" t="str">
        <f>HYPERLINK("http://service.sap.com/sap/support/notes/2050635","2050635")</f>
        <v>2050635</v>
      </c>
      <c r="D4211">
        <v>1</v>
      </c>
      <c r="E4211" t="s">
        <v>4525</v>
      </c>
      <c r="F4211" t="s">
        <v>17</v>
      </c>
    </row>
    <row r="4212" spans="1:6" x14ac:dyDescent="0.3">
      <c r="A4212" t="s">
        <v>264</v>
      </c>
      <c r="B4212" t="s">
        <v>265</v>
      </c>
      <c r="C4212" t="str">
        <f>HYPERLINK("http://service.sap.com/sap/support/notes/2051771","2051771")</f>
        <v>2051771</v>
      </c>
      <c r="D4212">
        <v>2</v>
      </c>
      <c r="E4212" t="s">
        <v>4526</v>
      </c>
      <c r="F4212" t="s">
        <v>17</v>
      </c>
    </row>
    <row r="4213" spans="1:6" x14ac:dyDescent="0.3">
      <c r="A4213" t="s">
        <v>264</v>
      </c>
      <c r="B4213" t="s">
        <v>265</v>
      </c>
      <c r="C4213" t="str">
        <f>HYPERLINK("http://service.sap.com/sap/support/notes/2054150","2054150")</f>
        <v>2054150</v>
      </c>
      <c r="D4213">
        <v>1</v>
      </c>
      <c r="E4213" t="s">
        <v>4527</v>
      </c>
      <c r="F4213" t="s">
        <v>17</v>
      </c>
    </row>
    <row r="4214" spans="1:6" x14ac:dyDescent="0.3">
      <c r="A4214" t="s">
        <v>2778</v>
      </c>
      <c r="B4214" t="s">
        <v>2779</v>
      </c>
      <c r="C4214" t="str">
        <f>HYPERLINK("http://service.sap.com/sap/support/notes/1951592","1951592")</f>
        <v>1951592</v>
      </c>
      <c r="D4214">
        <v>3</v>
      </c>
      <c r="E4214" t="s">
        <v>4528</v>
      </c>
      <c r="F4214" t="s">
        <v>17</v>
      </c>
    </row>
    <row r="4215" spans="1:6" x14ac:dyDescent="0.3">
      <c r="A4215" t="s">
        <v>2778</v>
      </c>
      <c r="B4215" t="s">
        <v>2779</v>
      </c>
      <c r="C4215" t="str">
        <f>HYPERLINK("http://service.sap.com/sap/support/notes/1989787","1989787")</f>
        <v>1989787</v>
      </c>
      <c r="D4215">
        <v>2</v>
      </c>
      <c r="E4215" t="s">
        <v>4529</v>
      </c>
      <c r="F4215" t="s">
        <v>17</v>
      </c>
    </row>
    <row r="4216" spans="1:6" x14ac:dyDescent="0.3">
      <c r="A4216" t="s">
        <v>280</v>
      </c>
      <c r="B4216" t="s">
        <v>281</v>
      </c>
      <c r="C4216" t="str">
        <f>HYPERLINK("http://service.sap.com/sap/support/notes/859910","859910")</f>
        <v>859910</v>
      </c>
      <c r="D4216">
        <v>6</v>
      </c>
      <c r="E4216" t="s">
        <v>4530</v>
      </c>
      <c r="F4216" t="s">
        <v>13</v>
      </c>
    </row>
    <row r="4217" spans="1:6" x14ac:dyDescent="0.3">
      <c r="A4217" t="s">
        <v>280</v>
      </c>
      <c r="B4217" t="s">
        <v>281</v>
      </c>
      <c r="C4217" t="str">
        <f>HYPERLINK("http://service.sap.com/sap/support/notes/2030524","2030524")</f>
        <v>2030524</v>
      </c>
      <c r="D4217">
        <v>1</v>
      </c>
      <c r="E4217" t="s">
        <v>4531</v>
      </c>
      <c r="F4217" t="s">
        <v>13</v>
      </c>
    </row>
    <row r="4218" spans="1:6" x14ac:dyDescent="0.3">
      <c r="A4218" t="s">
        <v>280</v>
      </c>
      <c r="B4218" t="s">
        <v>281</v>
      </c>
      <c r="C4218" t="str">
        <f>HYPERLINK("http://service.sap.com/sap/support/notes/2033663","2033663")</f>
        <v>2033663</v>
      </c>
      <c r="D4218">
        <v>1</v>
      </c>
      <c r="E4218" t="s">
        <v>4532</v>
      </c>
      <c r="F4218" t="s">
        <v>17</v>
      </c>
    </row>
    <row r="4219" spans="1:6" x14ac:dyDescent="0.3">
      <c r="A4219" t="s">
        <v>280</v>
      </c>
      <c r="B4219" t="s">
        <v>281</v>
      </c>
      <c r="C4219" t="str">
        <f>HYPERLINK("http://service.sap.com/sap/support/notes/2035463","2035463")</f>
        <v>2035463</v>
      </c>
      <c r="D4219">
        <v>1</v>
      </c>
      <c r="E4219" t="s">
        <v>4533</v>
      </c>
      <c r="F4219" t="s">
        <v>17</v>
      </c>
    </row>
    <row r="4220" spans="1:6" x14ac:dyDescent="0.3">
      <c r="A4220" t="s">
        <v>280</v>
      </c>
      <c r="B4220" t="s">
        <v>281</v>
      </c>
      <c r="C4220" t="str">
        <f>HYPERLINK("http://service.sap.com/sap/support/notes/2036911","2036911")</f>
        <v>2036911</v>
      </c>
      <c r="D4220">
        <v>2</v>
      </c>
      <c r="E4220" t="s">
        <v>4534</v>
      </c>
      <c r="F4220" t="s">
        <v>13</v>
      </c>
    </row>
    <row r="4221" spans="1:6" x14ac:dyDescent="0.3">
      <c r="A4221" t="s">
        <v>280</v>
      </c>
      <c r="B4221" t="s">
        <v>281</v>
      </c>
      <c r="C4221" t="str">
        <f>HYPERLINK("http://service.sap.com/sap/support/notes/2042325","2042325")</f>
        <v>2042325</v>
      </c>
      <c r="D4221">
        <v>1</v>
      </c>
      <c r="E4221" t="s">
        <v>4535</v>
      </c>
      <c r="F4221" t="s">
        <v>13</v>
      </c>
    </row>
    <row r="4222" spans="1:6" x14ac:dyDescent="0.3">
      <c r="A4222" t="s">
        <v>280</v>
      </c>
      <c r="B4222" t="s">
        <v>281</v>
      </c>
      <c r="C4222" t="str">
        <f>HYPERLINK("http://service.sap.com/sap/support/notes/2058665","2058665")</f>
        <v>2058665</v>
      </c>
      <c r="D4222">
        <v>1</v>
      </c>
      <c r="E4222" t="s">
        <v>4536</v>
      </c>
      <c r="F4222" t="s">
        <v>13</v>
      </c>
    </row>
    <row r="4223" spans="1:6" x14ac:dyDescent="0.3">
      <c r="A4223" t="s">
        <v>288</v>
      </c>
      <c r="B4223" t="s">
        <v>289</v>
      </c>
      <c r="C4223" t="str">
        <f>HYPERLINK("http://service.sap.com/sap/support/notes/1925829","1925829")</f>
        <v>1925829</v>
      </c>
      <c r="D4223">
        <v>2</v>
      </c>
      <c r="E4223" t="s">
        <v>4537</v>
      </c>
      <c r="F4223" t="s">
        <v>13</v>
      </c>
    </row>
    <row r="4224" spans="1:6" x14ac:dyDescent="0.3">
      <c r="A4224" t="s">
        <v>288</v>
      </c>
      <c r="B4224" t="s">
        <v>289</v>
      </c>
      <c r="C4224" t="str">
        <f>HYPERLINK("http://service.sap.com/sap/support/notes/2042946","2042946")</f>
        <v>2042946</v>
      </c>
      <c r="D4224">
        <v>1</v>
      </c>
      <c r="E4224" t="s">
        <v>4538</v>
      </c>
      <c r="F4224" t="s">
        <v>17</v>
      </c>
    </row>
    <row r="4225" spans="1:6" x14ac:dyDescent="0.3">
      <c r="A4225" t="s">
        <v>4539</v>
      </c>
      <c r="B4225" t="s">
        <v>4540</v>
      </c>
      <c r="C4225" t="str">
        <f>HYPERLINK("http://service.sap.com/sap/support/notes/1597926","1597926")</f>
        <v>1597926</v>
      </c>
      <c r="D4225">
        <v>4</v>
      </c>
      <c r="E4225" t="s">
        <v>4541</v>
      </c>
      <c r="F4225" t="s">
        <v>13</v>
      </c>
    </row>
    <row r="4226" spans="1:6" x14ac:dyDescent="0.3">
      <c r="A4226" t="s">
        <v>301</v>
      </c>
      <c r="B4226" t="s">
        <v>302</v>
      </c>
      <c r="C4226" t="str">
        <f>HYPERLINK("http://service.sap.com/sap/support/notes/2011569","2011569")</f>
        <v>2011569</v>
      </c>
      <c r="D4226">
        <v>1</v>
      </c>
      <c r="E4226" t="s">
        <v>4542</v>
      </c>
      <c r="F4226" t="s">
        <v>17</v>
      </c>
    </row>
    <row r="4227" spans="1:6" x14ac:dyDescent="0.3">
      <c r="A4227" t="s">
        <v>301</v>
      </c>
      <c r="B4227" t="s">
        <v>302</v>
      </c>
      <c r="C4227" t="str">
        <f>HYPERLINK("http://service.sap.com/sap/support/notes/2034629","2034629")</f>
        <v>2034629</v>
      </c>
      <c r="D4227">
        <v>2</v>
      </c>
      <c r="E4227" t="s">
        <v>4543</v>
      </c>
      <c r="F4227" t="s">
        <v>17</v>
      </c>
    </row>
    <row r="4228" spans="1:6" x14ac:dyDescent="0.3">
      <c r="A4228" t="s">
        <v>301</v>
      </c>
      <c r="B4228" t="s">
        <v>302</v>
      </c>
      <c r="C4228" t="str">
        <f>HYPERLINK("http://service.sap.com/sap/support/notes/2037845","2037845")</f>
        <v>2037845</v>
      </c>
      <c r="D4228">
        <v>2</v>
      </c>
      <c r="E4228" t="s">
        <v>4544</v>
      </c>
      <c r="F4228" t="s">
        <v>17</v>
      </c>
    </row>
    <row r="4229" spans="1:6" x14ac:dyDescent="0.3">
      <c r="A4229" t="s">
        <v>301</v>
      </c>
      <c r="B4229" t="s">
        <v>302</v>
      </c>
      <c r="C4229" t="str">
        <f>HYPERLINK("http://service.sap.com/sap/support/notes/2039764","2039764")</f>
        <v>2039764</v>
      </c>
      <c r="D4229">
        <v>2</v>
      </c>
      <c r="E4229" t="s">
        <v>4545</v>
      </c>
      <c r="F4229" t="s">
        <v>17</v>
      </c>
    </row>
    <row r="4230" spans="1:6" x14ac:dyDescent="0.3">
      <c r="A4230" t="s">
        <v>301</v>
      </c>
      <c r="B4230" t="s">
        <v>302</v>
      </c>
      <c r="C4230" t="str">
        <f>HYPERLINK("http://service.sap.com/sap/support/notes/2052788","2052788")</f>
        <v>2052788</v>
      </c>
      <c r="D4230">
        <v>1</v>
      </c>
      <c r="E4230" t="s">
        <v>4546</v>
      </c>
      <c r="F4230" t="s">
        <v>17</v>
      </c>
    </row>
    <row r="4231" spans="1:6" x14ac:dyDescent="0.3">
      <c r="A4231" t="s">
        <v>324</v>
      </c>
      <c r="B4231" t="s">
        <v>325</v>
      </c>
      <c r="C4231" t="str">
        <f>HYPERLINK("http://service.sap.com/sap/support/notes/2015834","2015834")</f>
        <v>2015834</v>
      </c>
      <c r="D4231">
        <v>3</v>
      </c>
      <c r="E4231" t="s">
        <v>4547</v>
      </c>
      <c r="F4231" t="s">
        <v>17</v>
      </c>
    </row>
    <row r="4232" spans="1:6" x14ac:dyDescent="0.3">
      <c r="A4232" t="s">
        <v>332</v>
      </c>
      <c r="B4232" t="s">
        <v>333</v>
      </c>
      <c r="C4232" t="str">
        <f>HYPERLINK("http://service.sap.com/sap/support/notes/2016918","2016918")</f>
        <v>2016918</v>
      </c>
      <c r="D4232">
        <v>4</v>
      </c>
      <c r="E4232" t="s">
        <v>4548</v>
      </c>
      <c r="F4232" t="s">
        <v>17</v>
      </c>
    </row>
    <row r="4233" spans="1:6" x14ac:dyDescent="0.3">
      <c r="A4233" t="s">
        <v>332</v>
      </c>
      <c r="B4233" t="s">
        <v>333</v>
      </c>
      <c r="C4233" t="str">
        <f>HYPERLINK("http://service.sap.com/sap/support/notes/2052782","2052782")</f>
        <v>2052782</v>
      </c>
      <c r="D4233">
        <v>1</v>
      </c>
      <c r="E4233" t="s">
        <v>4549</v>
      </c>
      <c r="F4233" t="s">
        <v>17</v>
      </c>
    </row>
    <row r="4234" spans="1:6" x14ac:dyDescent="0.3">
      <c r="A4234" t="s">
        <v>360</v>
      </c>
      <c r="B4234" t="s">
        <v>361</v>
      </c>
    </row>
    <row r="4235" spans="1:6" x14ac:dyDescent="0.3">
      <c r="A4235" t="s">
        <v>362</v>
      </c>
      <c r="B4235" t="s">
        <v>363</v>
      </c>
    </row>
    <row r="4236" spans="1:6" x14ac:dyDescent="0.3">
      <c r="A4236" t="s">
        <v>364</v>
      </c>
      <c r="B4236" t="s">
        <v>365</v>
      </c>
    </row>
    <row r="4237" spans="1:6" x14ac:dyDescent="0.3">
      <c r="A4237" t="s">
        <v>4550</v>
      </c>
      <c r="B4237" t="s">
        <v>4551</v>
      </c>
      <c r="C4237" t="str">
        <f>HYPERLINK("http://service.sap.com/sap/support/notes/2058913","2058913")</f>
        <v>2058913</v>
      </c>
      <c r="D4237">
        <v>1</v>
      </c>
      <c r="E4237" t="s">
        <v>4552</v>
      </c>
      <c r="F4237" t="s">
        <v>17</v>
      </c>
    </row>
    <row r="4238" spans="1:6" x14ac:dyDescent="0.3">
      <c r="A4238" t="s">
        <v>4553</v>
      </c>
      <c r="B4238" t="s">
        <v>4184</v>
      </c>
      <c r="C4238" t="str">
        <f>HYPERLINK("http://service.sap.com/sap/support/notes/2009996","2009996")</f>
        <v>2009996</v>
      </c>
      <c r="D4238">
        <v>1</v>
      </c>
      <c r="E4238" t="s">
        <v>4554</v>
      </c>
      <c r="F4238" t="s">
        <v>13</v>
      </c>
    </row>
    <row r="4239" spans="1:6" x14ac:dyDescent="0.3">
      <c r="A4239" t="s">
        <v>366</v>
      </c>
      <c r="B4239" t="s">
        <v>367</v>
      </c>
      <c r="C4239" t="str">
        <f>HYPERLINK("http://service.sap.com/sap/support/notes/2040205","2040205")</f>
        <v>2040205</v>
      </c>
      <c r="D4239">
        <v>1</v>
      </c>
      <c r="E4239" t="s">
        <v>4555</v>
      </c>
      <c r="F4239" t="s">
        <v>17</v>
      </c>
    </row>
    <row r="4240" spans="1:6" x14ac:dyDescent="0.3">
      <c r="A4240" t="s">
        <v>369</v>
      </c>
      <c r="B4240" t="s">
        <v>370</v>
      </c>
      <c r="C4240" t="str">
        <f>HYPERLINK("http://service.sap.com/sap/support/notes/2016567","2016567")</f>
        <v>2016567</v>
      </c>
      <c r="D4240">
        <v>3</v>
      </c>
      <c r="E4240" t="s">
        <v>4556</v>
      </c>
      <c r="F4240" t="s">
        <v>17</v>
      </c>
    </row>
    <row r="4241" spans="1:6" x14ac:dyDescent="0.3">
      <c r="A4241" t="s">
        <v>369</v>
      </c>
      <c r="B4241" t="s">
        <v>370</v>
      </c>
      <c r="C4241" t="str">
        <f>HYPERLINK("http://service.sap.com/sap/support/notes/2028811","2028811")</f>
        <v>2028811</v>
      </c>
      <c r="D4241">
        <v>2</v>
      </c>
      <c r="E4241" t="s">
        <v>4557</v>
      </c>
      <c r="F4241" t="s">
        <v>17</v>
      </c>
    </row>
    <row r="4242" spans="1:6" x14ac:dyDescent="0.3">
      <c r="A4242" t="s">
        <v>373</v>
      </c>
      <c r="B4242" t="s">
        <v>243</v>
      </c>
      <c r="C4242" t="str">
        <f>HYPERLINK("http://service.sap.com/sap/support/notes/1674065","1674065")</f>
        <v>1674065</v>
      </c>
      <c r="D4242">
        <v>2</v>
      </c>
      <c r="E4242" t="s">
        <v>4558</v>
      </c>
      <c r="F4242" t="s">
        <v>17</v>
      </c>
    </row>
    <row r="4243" spans="1:6" x14ac:dyDescent="0.3">
      <c r="A4243" t="s">
        <v>373</v>
      </c>
      <c r="B4243" t="s">
        <v>243</v>
      </c>
      <c r="C4243" t="str">
        <f>HYPERLINK("http://service.sap.com/sap/support/notes/1988960","1988960")</f>
        <v>1988960</v>
      </c>
      <c r="D4243">
        <v>4</v>
      </c>
      <c r="E4243" t="s">
        <v>4559</v>
      </c>
      <c r="F4243" t="s">
        <v>17</v>
      </c>
    </row>
    <row r="4244" spans="1:6" x14ac:dyDescent="0.3">
      <c r="A4244" t="s">
        <v>376</v>
      </c>
      <c r="B4244" t="s">
        <v>377</v>
      </c>
    </row>
    <row r="4245" spans="1:6" x14ac:dyDescent="0.3">
      <c r="A4245" t="s">
        <v>378</v>
      </c>
      <c r="B4245" t="s">
        <v>379</v>
      </c>
      <c r="C4245" t="str">
        <f>HYPERLINK("http://service.sap.com/sap/support/notes/1467948","1467948")</f>
        <v>1467948</v>
      </c>
      <c r="D4245">
        <v>2</v>
      </c>
      <c r="E4245" t="s">
        <v>380</v>
      </c>
      <c r="F4245" t="s">
        <v>17</v>
      </c>
    </row>
    <row r="4246" spans="1:6" x14ac:dyDescent="0.3">
      <c r="A4246" t="s">
        <v>386</v>
      </c>
      <c r="B4246" t="s">
        <v>387</v>
      </c>
      <c r="C4246" t="str">
        <f>HYPERLINK("http://service.sap.com/sap/support/notes/2027882","2027882")</f>
        <v>2027882</v>
      </c>
      <c r="D4246">
        <v>1</v>
      </c>
      <c r="E4246" t="s">
        <v>4560</v>
      </c>
      <c r="F4246" t="s">
        <v>13</v>
      </c>
    </row>
    <row r="4247" spans="1:6" x14ac:dyDescent="0.3">
      <c r="A4247" t="s">
        <v>386</v>
      </c>
      <c r="B4247" t="s">
        <v>387</v>
      </c>
      <c r="C4247" t="str">
        <f>HYPERLINK("http://service.sap.com/sap/support/notes/2029061","2029061")</f>
        <v>2029061</v>
      </c>
      <c r="D4247">
        <v>1</v>
      </c>
      <c r="E4247" t="s">
        <v>4561</v>
      </c>
      <c r="F4247" t="s">
        <v>13</v>
      </c>
    </row>
    <row r="4248" spans="1:6" x14ac:dyDescent="0.3">
      <c r="A4248" t="s">
        <v>386</v>
      </c>
      <c r="B4248" t="s">
        <v>387</v>
      </c>
      <c r="C4248" t="str">
        <f>HYPERLINK("http://service.sap.com/sap/support/notes/2035146","2035146")</f>
        <v>2035146</v>
      </c>
      <c r="D4248">
        <v>2</v>
      </c>
      <c r="E4248" t="s">
        <v>4562</v>
      </c>
      <c r="F4248" t="s">
        <v>13</v>
      </c>
    </row>
    <row r="4249" spans="1:6" x14ac:dyDescent="0.3">
      <c r="A4249" t="s">
        <v>386</v>
      </c>
      <c r="B4249" t="s">
        <v>387</v>
      </c>
      <c r="C4249" t="str">
        <f>HYPERLINK("http://service.sap.com/sap/support/notes/2036197","2036197")</f>
        <v>2036197</v>
      </c>
      <c r="D4249">
        <v>2</v>
      </c>
      <c r="E4249" t="s">
        <v>4563</v>
      </c>
      <c r="F4249" t="s">
        <v>13</v>
      </c>
    </row>
    <row r="4250" spans="1:6" x14ac:dyDescent="0.3">
      <c r="A4250" t="s">
        <v>386</v>
      </c>
      <c r="B4250" t="s">
        <v>387</v>
      </c>
      <c r="C4250" t="str">
        <f>HYPERLINK("http://service.sap.com/sap/support/notes/2045179","2045179")</f>
        <v>2045179</v>
      </c>
      <c r="D4250">
        <v>1</v>
      </c>
      <c r="E4250" t="s">
        <v>4564</v>
      </c>
      <c r="F4250" t="s">
        <v>17</v>
      </c>
    </row>
    <row r="4251" spans="1:6" x14ac:dyDescent="0.3">
      <c r="A4251" t="s">
        <v>386</v>
      </c>
      <c r="B4251" t="s">
        <v>387</v>
      </c>
      <c r="C4251" t="str">
        <f>HYPERLINK("http://service.sap.com/sap/support/notes/2047402","2047402")</f>
        <v>2047402</v>
      </c>
      <c r="D4251">
        <v>1</v>
      </c>
      <c r="E4251" t="s">
        <v>4565</v>
      </c>
      <c r="F4251" t="s">
        <v>13</v>
      </c>
    </row>
    <row r="4252" spans="1:6" x14ac:dyDescent="0.3">
      <c r="A4252" t="s">
        <v>394</v>
      </c>
      <c r="B4252" t="s">
        <v>395</v>
      </c>
    </row>
    <row r="4253" spans="1:6" x14ac:dyDescent="0.3">
      <c r="A4253" t="s">
        <v>396</v>
      </c>
      <c r="B4253" t="s">
        <v>397</v>
      </c>
      <c r="C4253" t="str">
        <f>HYPERLINK("http://service.sap.com/sap/support/notes/915845","915845")</f>
        <v>915845</v>
      </c>
      <c r="D4253">
        <v>6</v>
      </c>
      <c r="E4253" t="s">
        <v>4566</v>
      </c>
      <c r="F4253" t="s">
        <v>17</v>
      </c>
    </row>
    <row r="4254" spans="1:6" x14ac:dyDescent="0.3">
      <c r="A4254" t="s">
        <v>396</v>
      </c>
      <c r="B4254" t="s">
        <v>397</v>
      </c>
      <c r="C4254" t="str">
        <f>HYPERLINK("http://service.sap.com/sap/support/notes/1653211","1653211")</f>
        <v>1653211</v>
      </c>
      <c r="D4254">
        <v>4</v>
      </c>
      <c r="E4254" t="s">
        <v>4567</v>
      </c>
      <c r="F4254" t="s">
        <v>17</v>
      </c>
    </row>
    <row r="4255" spans="1:6" x14ac:dyDescent="0.3">
      <c r="A4255" t="s">
        <v>396</v>
      </c>
      <c r="B4255" t="s">
        <v>397</v>
      </c>
      <c r="C4255" t="str">
        <f>HYPERLINK("http://service.sap.com/sap/support/notes/1671998","1671998")</f>
        <v>1671998</v>
      </c>
      <c r="D4255">
        <v>3</v>
      </c>
      <c r="E4255" t="s">
        <v>4568</v>
      </c>
      <c r="F4255" t="s">
        <v>13</v>
      </c>
    </row>
    <row r="4256" spans="1:6" x14ac:dyDescent="0.3">
      <c r="A4256" t="s">
        <v>396</v>
      </c>
      <c r="B4256" t="s">
        <v>397</v>
      </c>
      <c r="C4256" t="str">
        <f>HYPERLINK("http://service.sap.com/sap/support/notes/1675896","1675896")</f>
        <v>1675896</v>
      </c>
      <c r="D4256">
        <v>8</v>
      </c>
      <c r="E4256" t="s">
        <v>4569</v>
      </c>
      <c r="F4256" t="s">
        <v>13</v>
      </c>
    </row>
    <row r="4257" spans="1:6" x14ac:dyDescent="0.3">
      <c r="A4257" t="s">
        <v>396</v>
      </c>
      <c r="B4257" t="s">
        <v>397</v>
      </c>
      <c r="C4257" t="str">
        <f>HYPERLINK("http://service.sap.com/sap/support/notes/1686743","1686743")</f>
        <v>1686743</v>
      </c>
      <c r="D4257">
        <v>4</v>
      </c>
      <c r="E4257" t="s">
        <v>4570</v>
      </c>
      <c r="F4257" t="s">
        <v>17</v>
      </c>
    </row>
    <row r="4258" spans="1:6" x14ac:dyDescent="0.3">
      <c r="A4258" t="s">
        <v>396</v>
      </c>
      <c r="B4258" t="s">
        <v>397</v>
      </c>
      <c r="C4258" t="str">
        <f>HYPERLINK("http://service.sap.com/sap/support/notes/1695174","1695174")</f>
        <v>1695174</v>
      </c>
      <c r="D4258">
        <v>3</v>
      </c>
      <c r="E4258" t="s">
        <v>4571</v>
      </c>
      <c r="F4258" t="s">
        <v>17</v>
      </c>
    </row>
    <row r="4259" spans="1:6" x14ac:dyDescent="0.3">
      <c r="A4259" t="s">
        <v>396</v>
      </c>
      <c r="B4259" t="s">
        <v>397</v>
      </c>
      <c r="C4259" t="str">
        <f>HYPERLINK("http://service.sap.com/sap/support/notes/1717470","1717470")</f>
        <v>1717470</v>
      </c>
      <c r="D4259">
        <v>3</v>
      </c>
      <c r="E4259" t="s">
        <v>4572</v>
      </c>
      <c r="F4259" t="s">
        <v>13</v>
      </c>
    </row>
    <row r="4260" spans="1:6" x14ac:dyDescent="0.3">
      <c r="A4260" t="s">
        <v>396</v>
      </c>
      <c r="B4260" t="s">
        <v>397</v>
      </c>
      <c r="C4260" t="str">
        <f>HYPERLINK("http://service.sap.com/sap/support/notes/2045083","2045083")</f>
        <v>2045083</v>
      </c>
      <c r="D4260">
        <v>1</v>
      </c>
      <c r="E4260" t="s">
        <v>4573</v>
      </c>
      <c r="F4260" t="s">
        <v>17</v>
      </c>
    </row>
    <row r="4261" spans="1:6" x14ac:dyDescent="0.3">
      <c r="A4261" t="s">
        <v>404</v>
      </c>
      <c r="B4261" t="s">
        <v>405</v>
      </c>
      <c r="C4261" t="str">
        <f>HYPERLINK("http://service.sap.com/sap/support/notes/2036724","2036724")</f>
        <v>2036724</v>
      </c>
      <c r="D4261">
        <v>2</v>
      </c>
      <c r="E4261" t="s">
        <v>4574</v>
      </c>
      <c r="F4261" t="s">
        <v>17</v>
      </c>
    </row>
    <row r="4262" spans="1:6" x14ac:dyDescent="0.3">
      <c r="A4262" t="s">
        <v>404</v>
      </c>
      <c r="B4262" t="s">
        <v>405</v>
      </c>
      <c r="C4262" t="str">
        <f>HYPERLINK("http://service.sap.com/sap/support/notes/2050193","2050193")</f>
        <v>2050193</v>
      </c>
      <c r="D4262">
        <v>2</v>
      </c>
      <c r="E4262" t="s">
        <v>4575</v>
      </c>
      <c r="F4262" t="s">
        <v>17</v>
      </c>
    </row>
    <row r="4263" spans="1:6" x14ac:dyDescent="0.3">
      <c r="A4263" t="s">
        <v>4576</v>
      </c>
      <c r="B4263" t="s">
        <v>4577</v>
      </c>
      <c r="C4263" t="str">
        <f>HYPERLINK("http://service.sap.com/sap/support/notes/1643198","1643198")</f>
        <v>1643198</v>
      </c>
      <c r="D4263">
        <v>2</v>
      </c>
      <c r="E4263" t="s">
        <v>4578</v>
      </c>
      <c r="F4263" t="s">
        <v>13</v>
      </c>
    </row>
    <row r="4264" spans="1:6" x14ac:dyDescent="0.3">
      <c r="A4264" t="s">
        <v>407</v>
      </c>
      <c r="B4264" t="s">
        <v>243</v>
      </c>
      <c r="C4264" t="str">
        <f>HYPERLINK("http://service.sap.com/sap/support/notes/164410","164410")</f>
        <v>164410</v>
      </c>
      <c r="D4264">
        <v>9</v>
      </c>
      <c r="E4264" t="s">
        <v>4579</v>
      </c>
      <c r="F4264" t="s">
        <v>13</v>
      </c>
    </row>
    <row r="4265" spans="1:6" x14ac:dyDescent="0.3">
      <c r="A4265" t="s">
        <v>407</v>
      </c>
      <c r="B4265" t="s">
        <v>243</v>
      </c>
      <c r="C4265" t="str">
        <f>HYPERLINK("http://service.sap.com/sap/support/notes/1651045","1651045")</f>
        <v>1651045</v>
      </c>
      <c r="D4265">
        <v>4</v>
      </c>
      <c r="E4265" t="s">
        <v>4580</v>
      </c>
      <c r="F4265" t="s">
        <v>17</v>
      </c>
    </row>
    <row r="4266" spans="1:6" x14ac:dyDescent="0.3">
      <c r="A4266" t="s">
        <v>407</v>
      </c>
      <c r="B4266" t="s">
        <v>243</v>
      </c>
      <c r="C4266" t="str">
        <f>HYPERLINK("http://service.sap.com/sap/support/notes/2051636","2051636")</f>
        <v>2051636</v>
      </c>
      <c r="D4266">
        <v>1</v>
      </c>
      <c r="E4266" t="s">
        <v>4581</v>
      </c>
      <c r="F4266" t="s">
        <v>17</v>
      </c>
    </row>
    <row r="4267" spans="1:6" x14ac:dyDescent="0.3">
      <c r="A4267" t="s">
        <v>409</v>
      </c>
      <c r="B4267" t="s">
        <v>138</v>
      </c>
      <c r="C4267" t="str">
        <f>HYPERLINK("http://service.sap.com/sap/support/notes/1672209","1672209")</f>
        <v>1672209</v>
      </c>
      <c r="D4267">
        <v>3</v>
      </c>
      <c r="E4267" t="s">
        <v>4582</v>
      </c>
      <c r="F4267" t="s">
        <v>13</v>
      </c>
    </row>
    <row r="4268" spans="1:6" x14ac:dyDescent="0.3">
      <c r="A4268" t="s">
        <v>409</v>
      </c>
      <c r="B4268" t="s">
        <v>138</v>
      </c>
      <c r="C4268" t="str">
        <f>HYPERLINK("http://service.sap.com/sap/support/notes/1978748","1978748")</f>
        <v>1978748</v>
      </c>
      <c r="D4268">
        <v>2</v>
      </c>
      <c r="E4268" t="s">
        <v>4583</v>
      </c>
      <c r="F4268" t="s">
        <v>17</v>
      </c>
    </row>
    <row r="4269" spans="1:6" x14ac:dyDescent="0.3">
      <c r="A4269" t="s">
        <v>409</v>
      </c>
      <c r="B4269" t="s">
        <v>138</v>
      </c>
      <c r="C4269" t="str">
        <f>HYPERLINK("http://service.sap.com/sap/support/notes/1998856","1998856")</f>
        <v>1998856</v>
      </c>
      <c r="D4269">
        <v>2</v>
      </c>
      <c r="E4269" t="s">
        <v>4584</v>
      </c>
      <c r="F4269" t="s">
        <v>17</v>
      </c>
    </row>
    <row r="4270" spans="1:6" x14ac:dyDescent="0.3">
      <c r="A4270" t="s">
        <v>409</v>
      </c>
      <c r="B4270" t="s">
        <v>138</v>
      </c>
      <c r="C4270" t="str">
        <f>HYPERLINK("http://service.sap.com/sap/support/notes/2025251","2025251")</f>
        <v>2025251</v>
      </c>
      <c r="D4270">
        <v>1</v>
      </c>
      <c r="E4270" t="s">
        <v>4585</v>
      </c>
      <c r="F4270" t="s">
        <v>17</v>
      </c>
    </row>
    <row r="4271" spans="1:6" x14ac:dyDescent="0.3">
      <c r="A4271" t="s">
        <v>413</v>
      </c>
      <c r="B4271" t="s">
        <v>414</v>
      </c>
      <c r="C4271" t="str">
        <f>HYPERLINK("http://service.sap.com/sap/support/notes/2022828","2022828")</f>
        <v>2022828</v>
      </c>
      <c r="D4271">
        <v>1</v>
      </c>
      <c r="E4271" t="s">
        <v>4586</v>
      </c>
      <c r="F4271" t="s">
        <v>17</v>
      </c>
    </row>
    <row r="4272" spans="1:6" x14ac:dyDescent="0.3">
      <c r="A4272" t="s">
        <v>4587</v>
      </c>
      <c r="B4272" t="s">
        <v>4588</v>
      </c>
    </row>
    <row r="4273" spans="1:6" x14ac:dyDescent="0.3">
      <c r="A4273" t="s">
        <v>4589</v>
      </c>
      <c r="B4273" t="s">
        <v>4590</v>
      </c>
      <c r="C4273" t="str">
        <f>HYPERLINK("http://service.sap.com/sap/support/notes/1754646","1754646")</f>
        <v>1754646</v>
      </c>
      <c r="D4273">
        <v>2</v>
      </c>
      <c r="E4273" t="s">
        <v>4591</v>
      </c>
      <c r="F4273" t="s">
        <v>17</v>
      </c>
    </row>
    <row r="4274" spans="1:6" x14ac:dyDescent="0.3">
      <c r="A4274" t="s">
        <v>4592</v>
      </c>
      <c r="B4274" t="s">
        <v>4593</v>
      </c>
      <c r="C4274" t="str">
        <f>HYPERLINK("http://service.sap.com/sap/support/notes/1349910","1349910")</f>
        <v>1349910</v>
      </c>
      <c r="D4274">
        <v>6</v>
      </c>
      <c r="E4274" t="s">
        <v>4566</v>
      </c>
      <c r="F4274" t="s">
        <v>17</v>
      </c>
    </row>
    <row r="4275" spans="1:6" x14ac:dyDescent="0.3">
      <c r="A4275" t="s">
        <v>417</v>
      </c>
      <c r="B4275" t="s">
        <v>418</v>
      </c>
    </row>
    <row r="4276" spans="1:6" x14ac:dyDescent="0.3">
      <c r="A4276" t="s">
        <v>419</v>
      </c>
      <c r="B4276" t="s">
        <v>420</v>
      </c>
    </row>
    <row r="4277" spans="1:6" x14ac:dyDescent="0.3">
      <c r="A4277" t="s">
        <v>421</v>
      </c>
      <c r="B4277" t="s">
        <v>422</v>
      </c>
    </row>
    <row r="4278" spans="1:6" x14ac:dyDescent="0.3">
      <c r="A4278" t="s">
        <v>423</v>
      </c>
      <c r="B4278" t="s">
        <v>424</v>
      </c>
      <c r="C4278" t="str">
        <f>HYPERLINK("http://service.sap.com/sap/support/notes/2044535","2044535")</f>
        <v>2044535</v>
      </c>
      <c r="D4278">
        <v>1</v>
      </c>
      <c r="E4278" t="s">
        <v>4594</v>
      </c>
      <c r="F4278" t="s">
        <v>17</v>
      </c>
    </row>
    <row r="4279" spans="1:6" x14ac:dyDescent="0.3">
      <c r="A4279" t="s">
        <v>426</v>
      </c>
      <c r="B4279" t="s">
        <v>61</v>
      </c>
    </row>
    <row r="4280" spans="1:6" x14ac:dyDescent="0.3">
      <c r="A4280" t="s">
        <v>427</v>
      </c>
      <c r="B4280" t="s">
        <v>63</v>
      </c>
      <c r="C4280" t="str">
        <f>HYPERLINK("http://service.sap.com/sap/support/notes/2023126","2023126")</f>
        <v>2023126</v>
      </c>
      <c r="D4280">
        <v>1</v>
      </c>
      <c r="E4280" t="s">
        <v>4595</v>
      </c>
      <c r="F4280" t="s">
        <v>17</v>
      </c>
    </row>
    <row r="4281" spans="1:6" x14ac:dyDescent="0.3">
      <c r="A4281" t="s">
        <v>427</v>
      </c>
      <c r="B4281" t="s">
        <v>63</v>
      </c>
      <c r="C4281" t="str">
        <f>HYPERLINK("http://service.sap.com/sap/support/notes/2027693","2027693")</f>
        <v>2027693</v>
      </c>
      <c r="D4281">
        <v>1</v>
      </c>
      <c r="E4281" t="s">
        <v>4596</v>
      </c>
      <c r="F4281" t="s">
        <v>17</v>
      </c>
    </row>
    <row r="4282" spans="1:6" x14ac:dyDescent="0.3">
      <c r="A4282" t="s">
        <v>427</v>
      </c>
      <c r="B4282" t="s">
        <v>63</v>
      </c>
      <c r="C4282" t="str">
        <f>HYPERLINK("http://service.sap.com/sap/support/notes/2035833","2035833")</f>
        <v>2035833</v>
      </c>
      <c r="D4282">
        <v>2</v>
      </c>
      <c r="E4282" t="s">
        <v>4597</v>
      </c>
      <c r="F4282" t="s">
        <v>17</v>
      </c>
    </row>
    <row r="4283" spans="1:6" x14ac:dyDescent="0.3">
      <c r="A4283" t="s">
        <v>427</v>
      </c>
      <c r="B4283" t="s">
        <v>63</v>
      </c>
      <c r="C4283" t="str">
        <f>HYPERLINK("http://service.sap.com/sap/support/notes/2048935","2048935")</f>
        <v>2048935</v>
      </c>
      <c r="D4283">
        <v>1</v>
      </c>
      <c r="E4283" t="s">
        <v>4598</v>
      </c>
      <c r="F4283" t="s">
        <v>17</v>
      </c>
    </row>
    <row r="4284" spans="1:6" x14ac:dyDescent="0.3">
      <c r="A4284" t="s">
        <v>427</v>
      </c>
      <c r="B4284" t="s">
        <v>63</v>
      </c>
      <c r="C4284" t="str">
        <f>HYPERLINK("http://service.sap.com/sap/support/notes/2051480","2051480")</f>
        <v>2051480</v>
      </c>
      <c r="D4284">
        <v>1</v>
      </c>
      <c r="E4284" t="s">
        <v>4599</v>
      </c>
      <c r="F4284" t="s">
        <v>17</v>
      </c>
    </row>
    <row r="4285" spans="1:6" x14ac:dyDescent="0.3">
      <c r="A4285" t="s">
        <v>427</v>
      </c>
      <c r="B4285" t="s">
        <v>63</v>
      </c>
      <c r="C4285" t="str">
        <f>HYPERLINK("http://service.sap.com/sap/support/notes/2053146","2053146")</f>
        <v>2053146</v>
      </c>
      <c r="D4285">
        <v>1</v>
      </c>
      <c r="E4285" t="s">
        <v>4600</v>
      </c>
      <c r="F4285" t="s">
        <v>17</v>
      </c>
    </row>
    <row r="4286" spans="1:6" x14ac:dyDescent="0.3">
      <c r="A4286" t="s">
        <v>427</v>
      </c>
      <c r="B4286" t="s">
        <v>63</v>
      </c>
      <c r="C4286" t="str">
        <f>HYPERLINK("http://service.sap.com/sap/support/notes/2061553","2061553")</f>
        <v>2061553</v>
      </c>
      <c r="D4286">
        <v>2</v>
      </c>
      <c r="E4286" t="s">
        <v>4601</v>
      </c>
      <c r="F4286" t="s">
        <v>17</v>
      </c>
    </row>
    <row r="4287" spans="1:6" x14ac:dyDescent="0.3">
      <c r="A4287" t="s">
        <v>441</v>
      </c>
      <c r="B4287" t="s">
        <v>346</v>
      </c>
      <c r="C4287" t="str">
        <f>HYPERLINK("http://service.sap.com/sap/support/notes/1994021","1994021")</f>
        <v>1994021</v>
      </c>
      <c r="D4287">
        <v>3</v>
      </c>
      <c r="E4287" t="s">
        <v>4602</v>
      </c>
      <c r="F4287" t="s">
        <v>17</v>
      </c>
    </row>
    <row r="4288" spans="1:6" x14ac:dyDescent="0.3">
      <c r="A4288" t="s">
        <v>441</v>
      </c>
      <c r="B4288" t="s">
        <v>346</v>
      </c>
      <c r="C4288" t="str">
        <f>HYPERLINK("http://service.sap.com/sap/support/notes/2028792","2028792")</f>
        <v>2028792</v>
      </c>
      <c r="D4288">
        <v>1</v>
      </c>
      <c r="E4288" t="s">
        <v>4603</v>
      </c>
      <c r="F4288" t="s">
        <v>17</v>
      </c>
    </row>
    <row r="4289" spans="1:6" x14ac:dyDescent="0.3">
      <c r="A4289" t="s">
        <v>441</v>
      </c>
      <c r="B4289" t="s">
        <v>346</v>
      </c>
      <c r="C4289" t="str">
        <f>HYPERLINK("http://service.sap.com/sap/support/notes/2039029","2039029")</f>
        <v>2039029</v>
      </c>
      <c r="D4289">
        <v>3</v>
      </c>
      <c r="E4289" t="s">
        <v>4604</v>
      </c>
      <c r="F4289" t="s">
        <v>13</v>
      </c>
    </row>
    <row r="4290" spans="1:6" x14ac:dyDescent="0.3">
      <c r="A4290" t="s">
        <v>441</v>
      </c>
      <c r="B4290" t="s">
        <v>346</v>
      </c>
      <c r="C4290" t="str">
        <f>HYPERLINK("http://service.sap.com/sap/support/notes/2055304","2055304")</f>
        <v>2055304</v>
      </c>
      <c r="D4290">
        <v>1</v>
      </c>
      <c r="E4290" t="s">
        <v>4605</v>
      </c>
      <c r="F4290" t="s">
        <v>17</v>
      </c>
    </row>
    <row r="4291" spans="1:6" x14ac:dyDescent="0.3">
      <c r="A4291" t="s">
        <v>441</v>
      </c>
      <c r="B4291" t="s">
        <v>346</v>
      </c>
      <c r="C4291" t="str">
        <f>HYPERLINK("http://service.sap.com/sap/support/notes/2057208","2057208")</f>
        <v>2057208</v>
      </c>
      <c r="D4291">
        <v>1</v>
      </c>
      <c r="E4291" t="s">
        <v>4606</v>
      </c>
      <c r="F4291" t="s">
        <v>17</v>
      </c>
    </row>
    <row r="4292" spans="1:6" x14ac:dyDescent="0.3">
      <c r="A4292" t="s">
        <v>451</v>
      </c>
      <c r="B4292" t="s">
        <v>138</v>
      </c>
      <c r="C4292" t="str">
        <f>HYPERLINK("http://service.sap.com/sap/support/notes/1952184","1952184")</f>
        <v>1952184</v>
      </c>
      <c r="D4292">
        <v>2</v>
      </c>
      <c r="E4292" t="s">
        <v>4607</v>
      </c>
      <c r="F4292" t="s">
        <v>17</v>
      </c>
    </row>
    <row r="4293" spans="1:6" x14ac:dyDescent="0.3">
      <c r="A4293" t="s">
        <v>451</v>
      </c>
      <c r="B4293" t="s">
        <v>138</v>
      </c>
      <c r="C4293" t="str">
        <f>HYPERLINK("http://service.sap.com/sap/support/notes/2016114","2016114")</f>
        <v>2016114</v>
      </c>
      <c r="D4293">
        <v>2</v>
      </c>
      <c r="E4293" t="s">
        <v>4608</v>
      </c>
      <c r="F4293" t="s">
        <v>17</v>
      </c>
    </row>
    <row r="4294" spans="1:6" x14ac:dyDescent="0.3">
      <c r="A4294" t="s">
        <v>451</v>
      </c>
      <c r="B4294" t="s">
        <v>138</v>
      </c>
      <c r="C4294" t="str">
        <f>HYPERLINK("http://service.sap.com/sap/support/notes/2032234","2032234")</f>
        <v>2032234</v>
      </c>
      <c r="D4294">
        <v>1</v>
      </c>
      <c r="E4294" t="s">
        <v>4609</v>
      </c>
      <c r="F4294" t="s">
        <v>13</v>
      </c>
    </row>
    <row r="4295" spans="1:6" x14ac:dyDescent="0.3">
      <c r="A4295" t="s">
        <v>451</v>
      </c>
      <c r="B4295" t="s">
        <v>138</v>
      </c>
      <c r="C4295" t="str">
        <f>HYPERLINK("http://service.sap.com/sap/support/notes/2035654","2035654")</f>
        <v>2035654</v>
      </c>
      <c r="D4295">
        <v>2</v>
      </c>
      <c r="E4295" t="s">
        <v>4610</v>
      </c>
      <c r="F4295" t="s">
        <v>17</v>
      </c>
    </row>
    <row r="4296" spans="1:6" x14ac:dyDescent="0.3">
      <c r="A4296" t="s">
        <v>451</v>
      </c>
      <c r="B4296" t="s">
        <v>138</v>
      </c>
      <c r="C4296" t="str">
        <f>HYPERLINK("http://service.sap.com/sap/support/notes/2051257","2051257")</f>
        <v>2051257</v>
      </c>
      <c r="D4296">
        <v>1</v>
      </c>
      <c r="E4296" t="s">
        <v>4611</v>
      </c>
      <c r="F4296" t="s">
        <v>17</v>
      </c>
    </row>
    <row r="4297" spans="1:6" x14ac:dyDescent="0.3">
      <c r="A4297" t="s">
        <v>451</v>
      </c>
      <c r="B4297" t="s">
        <v>138</v>
      </c>
      <c r="C4297" t="str">
        <f>HYPERLINK("http://service.sap.com/sap/support/notes/2052765","2052765")</f>
        <v>2052765</v>
      </c>
      <c r="D4297">
        <v>2</v>
      </c>
      <c r="E4297" t="s">
        <v>4612</v>
      </c>
      <c r="F4297" t="s">
        <v>13</v>
      </c>
    </row>
    <row r="4298" spans="1:6" x14ac:dyDescent="0.3">
      <c r="A4298" t="s">
        <v>451</v>
      </c>
      <c r="B4298" t="s">
        <v>138</v>
      </c>
      <c r="C4298" t="str">
        <f>HYPERLINK("http://service.sap.com/sap/support/notes/2058895","2058895")</f>
        <v>2058895</v>
      </c>
      <c r="D4298">
        <v>1</v>
      </c>
      <c r="E4298" t="s">
        <v>4613</v>
      </c>
      <c r="F4298" t="s">
        <v>17</v>
      </c>
    </row>
    <row r="4299" spans="1:6" x14ac:dyDescent="0.3">
      <c r="A4299" t="s">
        <v>462</v>
      </c>
      <c r="B4299" t="s">
        <v>463</v>
      </c>
      <c r="C4299" t="str">
        <f>HYPERLINK("http://service.sap.com/sap/support/notes/1979106","1979106")</f>
        <v>1979106</v>
      </c>
      <c r="D4299">
        <v>1</v>
      </c>
      <c r="E4299" t="s">
        <v>4614</v>
      </c>
      <c r="F4299" t="s">
        <v>17</v>
      </c>
    </row>
    <row r="4300" spans="1:6" x14ac:dyDescent="0.3">
      <c r="A4300" t="s">
        <v>466</v>
      </c>
      <c r="B4300" t="s">
        <v>467</v>
      </c>
      <c r="C4300" t="str">
        <f>HYPERLINK("http://service.sap.com/sap/support/notes/2043907","2043907")</f>
        <v>2043907</v>
      </c>
      <c r="D4300">
        <v>1</v>
      </c>
      <c r="E4300" t="s">
        <v>4615</v>
      </c>
      <c r="F4300" t="s">
        <v>17</v>
      </c>
    </row>
    <row r="4301" spans="1:6" x14ac:dyDescent="0.3">
      <c r="A4301" t="s">
        <v>489</v>
      </c>
      <c r="B4301" t="s">
        <v>490</v>
      </c>
      <c r="C4301" t="str">
        <f>HYPERLINK("http://service.sap.com/sap/support/notes/2007213","2007213")</f>
        <v>2007213</v>
      </c>
      <c r="D4301">
        <v>1</v>
      </c>
      <c r="E4301" t="s">
        <v>4616</v>
      </c>
      <c r="F4301" t="s">
        <v>17</v>
      </c>
    </row>
    <row r="4302" spans="1:6" x14ac:dyDescent="0.3">
      <c r="A4302" t="s">
        <v>489</v>
      </c>
      <c r="B4302" t="s">
        <v>490</v>
      </c>
      <c r="C4302" t="str">
        <f>HYPERLINK("http://service.sap.com/sap/support/notes/2017593","2017593")</f>
        <v>2017593</v>
      </c>
      <c r="D4302">
        <v>1</v>
      </c>
      <c r="E4302" t="s">
        <v>4617</v>
      </c>
      <c r="F4302" t="s">
        <v>17</v>
      </c>
    </row>
    <row r="4303" spans="1:6" x14ac:dyDescent="0.3">
      <c r="A4303" t="s">
        <v>489</v>
      </c>
      <c r="B4303" t="s">
        <v>490</v>
      </c>
      <c r="C4303" t="str">
        <f>HYPERLINK("http://service.sap.com/sap/support/notes/2037051","2037051")</f>
        <v>2037051</v>
      </c>
      <c r="D4303">
        <v>1</v>
      </c>
      <c r="E4303" t="s">
        <v>4618</v>
      </c>
      <c r="F4303" t="s">
        <v>17</v>
      </c>
    </row>
    <row r="4304" spans="1:6" x14ac:dyDescent="0.3">
      <c r="A4304" t="s">
        <v>489</v>
      </c>
      <c r="B4304" t="s">
        <v>490</v>
      </c>
      <c r="C4304" t="str">
        <f>HYPERLINK("http://service.sap.com/sap/support/notes/2043316","2043316")</f>
        <v>2043316</v>
      </c>
      <c r="D4304">
        <v>4</v>
      </c>
      <c r="E4304" t="s">
        <v>4619</v>
      </c>
      <c r="F4304" t="s">
        <v>17</v>
      </c>
    </row>
    <row r="4305" spans="1:6" x14ac:dyDescent="0.3">
      <c r="A4305" t="s">
        <v>495</v>
      </c>
      <c r="B4305" t="s">
        <v>496</v>
      </c>
      <c r="C4305" t="str">
        <f>HYPERLINK("http://service.sap.com/sap/support/notes/2033268","2033268")</f>
        <v>2033268</v>
      </c>
      <c r="D4305">
        <v>2</v>
      </c>
      <c r="E4305" t="s">
        <v>4620</v>
      </c>
      <c r="F4305" t="s">
        <v>17</v>
      </c>
    </row>
    <row r="4306" spans="1:6" x14ac:dyDescent="0.3">
      <c r="A4306" t="s">
        <v>498</v>
      </c>
      <c r="B4306" t="s">
        <v>243</v>
      </c>
      <c r="C4306" t="str">
        <f>HYPERLINK("http://service.sap.com/sap/support/notes/2015209","2015209")</f>
        <v>2015209</v>
      </c>
      <c r="D4306">
        <v>1</v>
      </c>
      <c r="E4306" t="s">
        <v>4621</v>
      </c>
      <c r="F4306" t="s">
        <v>17</v>
      </c>
    </row>
    <row r="4307" spans="1:6" x14ac:dyDescent="0.3">
      <c r="A4307" t="s">
        <v>498</v>
      </c>
      <c r="B4307" t="s">
        <v>243</v>
      </c>
      <c r="C4307" t="str">
        <f>HYPERLINK("http://service.sap.com/sap/support/notes/2015407","2015407")</f>
        <v>2015407</v>
      </c>
      <c r="D4307">
        <v>3</v>
      </c>
      <c r="E4307" t="s">
        <v>4622</v>
      </c>
      <c r="F4307" t="s">
        <v>17</v>
      </c>
    </row>
    <row r="4308" spans="1:6" x14ac:dyDescent="0.3">
      <c r="A4308" t="s">
        <v>498</v>
      </c>
      <c r="B4308" t="s">
        <v>243</v>
      </c>
      <c r="C4308" t="str">
        <f>HYPERLINK("http://service.sap.com/sap/support/notes/2046855","2046855")</f>
        <v>2046855</v>
      </c>
      <c r="D4308">
        <v>1</v>
      </c>
      <c r="E4308" t="s">
        <v>4623</v>
      </c>
      <c r="F4308" t="s">
        <v>17</v>
      </c>
    </row>
    <row r="4309" spans="1:6" x14ac:dyDescent="0.3">
      <c r="A4309" t="s">
        <v>498</v>
      </c>
      <c r="B4309" t="s">
        <v>243</v>
      </c>
      <c r="C4309" t="str">
        <f>HYPERLINK("http://service.sap.com/sap/support/notes/2051861","2051861")</f>
        <v>2051861</v>
      </c>
      <c r="D4309">
        <v>2</v>
      </c>
      <c r="E4309" t="s">
        <v>4624</v>
      </c>
      <c r="F4309" t="s">
        <v>17</v>
      </c>
    </row>
    <row r="4310" spans="1:6" x14ac:dyDescent="0.3">
      <c r="A4310" t="s">
        <v>498</v>
      </c>
      <c r="B4310" t="s">
        <v>243</v>
      </c>
      <c r="C4310" t="str">
        <f>HYPERLINK("http://service.sap.com/sap/support/notes/2056613","2056613")</f>
        <v>2056613</v>
      </c>
      <c r="D4310">
        <v>1</v>
      </c>
      <c r="E4310" t="s">
        <v>4625</v>
      </c>
      <c r="F4310" t="s">
        <v>17</v>
      </c>
    </row>
    <row r="4311" spans="1:6" x14ac:dyDescent="0.3">
      <c r="A4311" t="s">
        <v>520</v>
      </c>
      <c r="B4311" t="s">
        <v>521</v>
      </c>
    </row>
    <row r="4312" spans="1:6" x14ac:dyDescent="0.3">
      <c r="A4312" t="s">
        <v>522</v>
      </c>
      <c r="B4312" t="s">
        <v>523</v>
      </c>
      <c r="C4312" t="str">
        <f>HYPERLINK("http://service.sap.com/sap/support/notes/2038093","2038093")</f>
        <v>2038093</v>
      </c>
      <c r="D4312">
        <v>1</v>
      </c>
      <c r="E4312" t="s">
        <v>4626</v>
      </c>
      <c r="F4312" t="s">
        <v>17</v>
      </c>
    </row>
    <row r="4313" spans="1:6" x14ac:dyDescent="0.3">
      <c r="A4313" t="s">
        <v>526</v>
      </c>
      <c r="B4313" t="s">
        <v>527</v>
      </c>
      <c r="C4313" t="str">
        <f>HYPERLINK("http://service.sap.com/sap/support/notes/2057928","2057928")</f>
        <v>2057928</v>
      </c>
      <c r="D4313">
        <v>2</v>
      </c>
      <c r="E4313" t="s">
        <v>4627</v>
      </c>
      <c r="F4313" t="s">
        <v>17</v>
      </c>
    </row>
    <row r="4314" spans="1:6" x14ac:dyDescent="0.3">
      <c r="A4314" t="s">
        <v>529</v>
      </c>
      <c r="B4314" t="s">
        <v>346</v>
      </c>
      <c r="C4314" t="str">
        <f>HYPERLINK("http://service.sap.com/sap/support/notes/2058848","2058848")</f>
        <v>2058848</v>
      </c>
      <c r="D4314">
        <v>1</v>
      </c>
      <c r="E4314" t="s">
        <v>2867</v>
      </c>
      <c r="F4314" t="s">
        <v>17</v>
      </c>
    </row>
    <row r="4315" spans="1:6" x14ac:dyDescent="0.3">
      <c r="A4315" t="s">
        <v>530</v>
      </c>
      <c r="B4315" t="s">
        <v>531</v>
      </c>
      <c r="C4315" t="str">
        <f>HYPERLINK("http://service.sap.com/sap/support/notes/2028492","2028492")</f>
        <v>2028492</v>
      </c>
      <c r="D4315">
        <v>2</v>
      </c>
      <c r="E4315" t="s">
        <v>4628</v>
      </c>
      <c r="F4315" t="s">
        <v>17</v>
      </c>
    </row>
    <row r="4316" spans="1:6" x14ac:dyDescent="0.3">
      <c r="A4316" t="s">
        <v>530</v>
      </c>
      <c r="B4316" t="s">
        <v>531</v>
      </c>
      <c r="C4316" t="str">
        <f>HYPERLINK("http://service.sap.com/sap/support/notes/2040551","2040551")</f>
        <v>2040551</v>
      </c>
      <c r="D4316">
        <v>1</v>
      </c>
      <c r="E4316" t="s">
        <v>4629</v>
      </c>
      <c r="F4316" t="s">
        <v>17</v>
      </c>
    </row>
    <row r="4317" spans="1:6" x14ac:dyDescent="0.3">
      <c r="A4317" t="s">
        <v>530</v>
      </c>
      <c r="B4317" t="s">
        <v>531</v>
      </c>
      <c r="C4317" t="str">
        <f>HYPERLINK("http://service.sap.com/sap/support/notes/2041056","2041056")</f>
        <v>2041056</v>
      </c>
      <c r="D4317">
        <v>2</v>
      </c>
      <c r="E4317" t="s">
        <v>4630</v>
      </c>
      <c r="F4317" t="s">
        <v>17</v>
      </c>
    </row>
    <row r="4318" spans="1:6" x14ac:dyDescent="0.3">
      <c r="A4318" t="s">
        <v>530</v>
      </c>
      <c r="B4318" t="s">
        <v>531</v>
      </c>
      <c r="C4318" t="str">
        <f>HYPERLINK("http://service.sap.com/sap/support/notes/2044080","2044080")</f>
        <v>2044080</v>
      </c>
      <c r="D4318">
        <v>1</v>
      </c>
      <c r="E4318" t="s">
        <v>4631</v>
      </c>
      <c r="F4318" t="s">
        <v>17</v>
      </c>
    </row>
    <row r="4319" spans="1:6" x14ac:dyDescent="0.3">
      <c r="A4319" t="s">
        <v>530</v>
      </c>
      <c r="B4319" t="s">
        <v>531</v>
      </c>
      <c r="C4319" t="str">
        <f>HYPERLINK("http://service.sap.com/sap/support/notes/2047881","2047881")</f>
        <v>2047881</v>
      </c>
      <c r="D4319">
        <v>2</v>
      </c>
      <c r="E4319" t="s">
        <v>4632</v>
      </c>
      <c r="F4319" t="s">
        <v>17</v>
      </c>
    </row>
    <row r="4320" spans="1:6" x14ac:dyDescent="0.3">
      <c r="A4320" t="s">
        <v>549</v>
      </c>
      <c r="B4320" t="s">
        <v>550</v>
      </c>
      <c r="C4320" t="str">
        <f>HYPERLINK("http://service.sap.com/sap/support/notes/2015842","2015842")</f>
        <v>2015842</v>
      </c>
      <c r="D4320">
        <v>4</v>
      </c>
      <c r="E4320" t="s">
        <v>4633</v>
      </c>
      <c r="F4320" t="s">
        <v>17</v>
      </c>
    </row>
    <row r="4321" spans="1:6" x14ac:dyDescent="0.3">
      <c r="A4321" t="s">
        <v>549</v>
      </c>
      <c r="B4321" t="s">
        <v>550</v>
      </c>
      <c r="C4321" t="str">
        <f>HYPERLINK("http://service.sap.com/sap/support/notes/2026474","2026474")</f>
        <v>2026474</v>
      </c>
      <c r="D4321">
        <v>3</v>
      </c>
      <c r="E4321" t="s">
        <v>4634</v>
      </c>
      <c r="F4321" t="s">
        <v>17</v>
      </c>
    </row>
    <row r="4322" spans="1:6" x14ac:dyDescent="0.3">
      <c r="A4322" t="s">
        <v>549</v>
      </c>
      <c r="B4322" t="s">
        <v>550</v>
      </c>
      <c r="C4322" t="str">
        <f>HYPERLINK("http://service.sap.com/sap/support/notes/2031402","2031402")</f>
        <v>2031402</v>
      </c>
      <c r="D4322">
        <v>2</v>
      </c>
      <c r="E4322" t="s">
        <v>4635</v>
      </c>
      <c r="F4322" t="s">
        <v>17</v>
      </c>
    </row>
    <row r="4323" spans="1:6" x14ac:dyDescent="0.3">
      <c r="A4323" t="s">
        <v>549</v>
      </c>
      <c r="B4323" t="s">
        <v>550</v>
      </c>
      <c r="C4323" t="str">
        <f>HYPERLINK("http://service.sap.com/sap/support/notes/2037006","2037006")</f>
        <v>2037006</v>
      </c>
      <c r="D4323">
        <v>1</v>
      </c>
      <c r="E4323" t="s">
        <v>4636</v>
      </c>
      <c r="F4323" t="s">
        <v>17</v>
      </c>
    </row>
    <row r="4324" spans="1:6" x14ac:dyDescent="0.3">
      <c r="A4324" t="s">
        <v>549</v>
      </c>
      <c r="B4324" t="s">
        <v>550</v>
      </c>
      <c r="C4324" t="str">
        <f>HYPERLINK("http://service.sap.com/sap/support/notes/2039295","2039295")</f>
        <v>2039295</v>
      </c>
      <c r="D4324">
        <v>2</v>
      </c>
      <c r="E4324" t="s">
        <v>4637</v>
      </c>
      <c r="F4324" t="s">
        <v>17</v>
      </c>
    </row>
    <row r="4325" spans="1:6" x14ac:dyDescent="0.3">
      <c r="A4325" t="s">
        <v>549</v>
      </c>
      <c r="B4325" t="s">
        <v>550</v>
      </c>
      <c r="C4325" t="str">
        <f>HYPERLINK("http://service.sap.com/sap/support/notes/2039502","2039502")</f>
        <v>2039502</v>
      </c>
      <c r="D4325">
        <v>1</v>
      </c>
      <c r="E4325" t="s">
        <v>4638</v>
      </c>
      <c r="F4325" t="s">
        <v>17</v>
      </c>
    </row>
    <row r="4326" spans="1:6" x14ac:dyDescent="0.3">
      <c r="A4326" t="s">
        <v>549</v>
      </c>
      <c r="B4326" t="s">
        <v>550</v>
      </c>
      <c r="C4326" t="str">
        <f>HYPERLINK("http://service.sap.com/sap/support/notes/2040922","2040922")</f>
        <v>2040922</v>
      </c>
      <c r="D4326">
        <v>1</v>
      </c>
      <c r="E4326" t="s">
        <v>4639</v>
      </c>
      <c r="F4326" t="s">
        <v>17</v>
      </c>
    </row>
    <row r="4327" spans="1:6" x14ac:dyDescent="0.3">
      <c r="A4327" t="s">
        <v>549</v>
      </c>
      <c r="B4327" t="s">
        <v>550</v>
      </c>
      <c r="C4327" t="str">
        <f>HYPERLINK("http://service.sap.com/sap/support/notes/2042789","2042789")</f>
        <v>2042789</v>
      </c>
      <c r="D4327">
        <v>1</v>
      </c>
      <c r="E4327" t="s">
        <v>4640</v>
      </c>
      <c r="F4327" t="s">
        <v>17</v>
      </c>
    </row>
    <row r="4328" spans="1:6" x14ac:dyDescent="0.3">
      <c r="A4328" t="s">
        <v>549</v>
      </c>
      <c r="B4328" t="s">
        <v>550</v>
      </c>
      <c r="C4328" t="str">
        <f>HYPERLINK("http://service.sap.com/sap/support/notes/2050218","2050218")</f>
        <v>2050218</v>
      </c>
      <c r="D4328">
        <v>1</v>
      </c>
      <c r="E4328" t="s">
        <v>4641</v>
      </c>
      <c r="F4328" t="s">
        <v>17</v>
      </c>
    </row>
    <row r="4329" spans="1:6" x14ac:dyDescent="0.3">
      <c r="A4329" t="s">
        <v>549</v>
      </c>
      <c r="B4329" t="s">
        <v>550</v>
      </c>
      <c r="C4329" t="str">
        <f>HYPERLINK("http://service.sap.com/sap/support/notes/2053299","2053299")</f>
        <v>2053299</v>
      </c>
      <c r="D4329">
        <v>2</v>
      </c>
      <c r="E4329" t="s">
        <v>4642</v>
      </c>
      <c r="F4329" t="s">
        <v>17</v>
      </c>
    </row>
    <row r="4330" spans="1:6" x14ac:dyDescent="0.3">
      <c r="A4330" t="s">
        <v>549</v>
      </c>
      <c r="B4330" t="s">
        <v>550</v>
      </c>
      <c r="C4330" t="str">
        <f>HYPERLINK("http://service.sap.com/sap/support/notes/2054650","2054650")</f>
        <v>2054650</v>
      </c>
      <c r="D4330">
        <v>2</v>
      </c>
      <c r="E4330" t="s">
        <v>4643</v>
      </c>
      <c r="F4330" t="s">
        <v>17</v>
      </c>
    </row>
    <row r="4331" spans="1:6" x14ac:dyDescent="0.3">
      <c r="A4331" t="s">
        <v>549</v>
      </c>
      <c r="B4331" t="s">
        <v>550</v>
      </c>
      <c r="C4331" t="str">
        <f>HYPERLINK("http://service.sap.com/sap/support/notes/2054695","2054695")</f>
        <v>2054695</v>
      </c>
      <c r="D4331">
        <v>1</v>
      </c>
      <c r="E4331" t="s">
        <v>4644</v>
      </c>
      <c r="F4331" t="s">
        <v>17</v>
      </c>
    </row>
    <row r="4332" spans="1:6" x14ac:dyDescent="0.3">
      <c r="A4332" t="s">
        <v>549</v>
      </c>
      <c r="B4332" t="s">
        <v>550</v>
      </c>
      <c r="C4332" t="str">
        <f>HYPERLINK("http://service.sap.com/sap/support/notes/2055045","2055045")</f>
        <v>2055045</v>
      </c>
      <c r="D4332">
        <v>2</v>
      </c>
      <c r="E4332" t="s">
        <v>4645</v>
      </c>
      <c r="F4332" t="s">
        <v>17</v>
      </c>
    </row>
    <row r="4333" spans="1:6" x14ac:dyDescent="0.3">
      <c r="A4333" t="s">
        <v>549</v>
      </c>
      <c r="B4333" t="s">
        <v>550</v>
      </c>
      <c r="C4333" t="str">
        <f>HYPERLINK("http://service.sap.com/sap/support/notes/2056384","2056384")</f>
        <v>2056384</v>
      </c>
      <c r="D4333">
        <v>3</v>
      </c>
      <c r="E4333" t="s">
        <v>4646</v>
      </c>
      <c r="F4333" t="s">
        <v>17</v>
      </c>
    </row>
    <row r="4334" spans="1:6" x14ac:dyDescent="0.3">
      <c r="A4334" t="s">
        <v>549</v>
      </c>
      <c r="B4334" t="s">
        <v>550</v>
      </c>
      <c r="C4334" t="str">
        <f>HYPERLINK("http://service.sap.com/sap/support/notes/2061672","2061672")</f>
        <v>2061672</v>
      </c>
      <c r="D4334">
        <v>1</v>
      </c>
      <c r="E4334" t="s">
        <v>4647</v>
      </c>
      <c r="F4334" t="s">
        <v>17</v>
      </c>
    </row>
    <row r="4335" spans="1:6" x14ac:dyDescent="0.3">
      <c r="A4335" t="s">
        <v>549</v>
      </c>
      <c r="B4335" t="s">
        <v>550</v>
      </c>
      <c r="C4335" t="str">
        <f>HYPERLINK("http://service.sap.com/sap/support/notes/2063035","2063035")</f>
        <v>2063035</v>
      </c>
      <c r="D4335">
        <v>1</v>
      </c>
      <c r="E4335" t="s">
        <v>4648</v>
      </c>
      <c r="F4335" t="s">
        <v>11</v>
      </c>
    </row>
    <row r="4336" spans="1:6" x14ac:dyDescent="0.3">
      <c r="A4336" t="s">
        <v>599</v>
      </c>
      <c r="B4336" t="s">
        <v>600</v>
      </c>
      <c r="C4336" t="str">
        <f>HYPERLINK("http://service.sap.com/sap/support/notes/1979220","1979220")</f>
        <v>1979220</v>
      </c>
      <c r="D4336">
        <v>2</v>
      </c>
      <c r="E4336" t="s">
        <v>4649</v>
      </c>
      <c r="F4336" t="s">
        <v>17</v>
      </c>
    </row>
    <row r="4337" spans="1:6" x14ac:dyDescent="0.3">
      <c r="A4337" t="s">
        <v>599</v>
      </c>
      <c r="B4337" t="s">
        <v>600</v>
      </c>
      <c r="C4337" t="str">
        <f>HYPERLINK("http://service.sap.com/sap/support/notes/2007449","2007449")</f>
        <v>2007449</v>
      </c>
      <c r="D4337">
        <v>1</v>
      </c>
      <c r="E4337" t="s">
        <v>4650</v>
      </c>
      <c r="F4337" t="s">
        <v>17</v>
      </c>
    </row>
    <row r="4338" spans="1:6" x14ac:dyDescent="0.3">
      <c r="A4338" t="s">
        <v>599</v>
      </c>
      <c r="B4338" t="s">
        <v>600</v>
      </c>
      <c r="C4338" t="str">
        <f>HYPERLINK("http://service.sap.com/sap/support/notes/2007739","2007739")</f>
        <v>2007739</v>
      </c>
      <c r="D4338">
        <v>1</v>
      </c>
      <c r="E4338" t="s">
        <v>4651</v>
      </c>
      <c r="F4338" t="s">
        <v>17</v>
      </c>
    </row>
    <row r="4339" spans="1:6" x14ac:dyDescent="0.3">
      <c r="A4339" t="s">
        <v>599</v>
      </c>
      <c r="B4339" t="s">
        <v>600</v>
      </c>
      <c r="C4339" t="str">
        <f>HYPERLINK("http://service.sap.com/sap/support/notes/2009011","2009011")</f>
        <v>2009011</v>
      </c>
      <c r="D4339">
        <v>2</v>
      </c>
      <c r="E4339" t="s">
        <v>4652</v>
      </c>
      <c r="F4339" t="s">
        <v>11</v>
      </c>
    </row>
    <row r="4340" spans="1:6" x14ac:dyDescent="0.3">
      <c r="A4340" t="s">
        <v>599</v>
      </c>
      <c r="B4340" t="s">
        <v>600</v>
      </c>
      <c r="C4340" t="str">
        <f>HYPERLINK("http://service.sap.com/sap/support/notes/2027092","2027092")</f>
        <v>2027092</v>
      </c>
      <c r="D4340">
        <v>1</v>
      </c>
      <c r="E4340" t="s">
        <v>4653</v>
      </c>
      <c r="F4340" t="s">
        <v>17</v>
      </c>
    </row>
    <row r="4341" spans="1:6" x14ac:dyDescent="0.3">
      <c r="A4341" t="s">
        <v>599</v>
      </c>
      <c r="B4341" t="s">
        <v>600</v>
      </c>
      <c r="C4341" t="str">
        <f>HYPERLINK("http://service.sap.com/sap/support/notes/2028579","2028579")</f>
        <v>2028579</v>
      </c>
      <c r="D4341">
        <v>1</v>
      </c>
      <c r="E4341" t="s">
        <v>4654</v>
      </c>
      <c r="F4341" t="s">
        <v>17</v>
      </c>
    </row>
    <row r="4342" spans="1:6" x14ac:dyDescent="0.3">
      <c r="A4342" t="s">
        <v>599</v>
      </c>
      <c r="B4342" t="s">
        <v>600</v>
      </c>
      <c r="C4342" t="str">
        <f>HYPERLINK("http://service.sap.com/sap/support/notes/2029233","2029233")</f>
        <v>2029233</v>
      </c>
      <c r="D4342">
        <v>1</v>
      </c>
      <c r="E4342" t="s">
        <v>4655</v>
      </c>
      <c r="F4342" t="s">
        <v>17</v>
      </c>
    </row>
    <row r="4343" spans="1:6" x14ac:dyDescent="0.3">
      <c r="A4343" t="s">
        <v>599</v>
      </c>
      <c r="B4343" t="s">
        <v>600</v>
      </c>
      <c r="C4343" t="str">
        <f>HYPERLINK("http://service.sap.com/sap/support/notes/2034378","2034378")</f>
        <v>2034378</v>
      </c>
      <c r="D4343">
        <v>1</v>
      </c>
      <c r="E4343" t="s">
        <v>4656</v>
      </c>
      <c r="F4343" t="s">
        <v>17</v>
      </c>
    </row>
    <row r="4344" spans="1:6" x14ac:dyDescent="0.3">
      <c r="A4344" t="s">
        <v>599</v>
      </c>
      <c r="B4344" t="s">
        <v>600</v>
      </c>
      <c r="C4344" t="str">
        <f>HYPERLINK("http://service.sap.com/sap/support/notes/2035046","2035046")</f>
        <v>2035046</v>
      </c>
      <c r="D4344">
        <v>3</v>
      </c>
      <c r="E4344" t="s">
        <v>4657</v>
      </c>
      <c r="F4344" t="s">
        <v>11</v>
      </c>
    </row>
    <row r="4345" spans="1:6" x14ac:dyDescent="0.3">
      <c r="A4345" t="s">
        <v>599</v>
      </c>
      <c r="B4345" t="s">
        <v>600</v>
      </c>
      <c r="C4345" t="str">
        <f>HYPERLINK("http://service.sap.com/sap/support/notes/2037841","2037841")</f>
        <v>2037841</v>
      </c>
      <c r="D4345">
        <v>4</v>
      </c>
      <c r="E4345" t="s">
        <v>4658</v>
      </c>
      <c r="F4345" t="s">
        <v>17</v>
      </c>
    </row>
    <row r="4346" spans="1:6" x14ac:dyDescent="0.3">
      <c r="A4346" t="s">
        <v>599</v>
      </c>
      <c r="B4346" t="s">
        <v>600</v>
      </c>
      <c r="C4346" t="str">
        <f>HYPERLINK("http://service.sap.com/sap/support/notes/2038207","2038207")</f>
        <v>2038207</v>
      </c>
      <c r="D4346">
        <v>3</v>
      </c>
      <c r="E4346" t="s">
        <v>4659</v>
      </c>
      <c r="F4346" t="s">
        <v>17</v>
      </c>
    </row>
    <row r="4347" spans="1:6" x14ac:dyDescent="0.3">
      <c r="A4347" t="s">
        <v>599</v>
      </c>
      <c r="B4347" t="s">
        <v>600</v>
      </c>
      <c r="C4347" t="str">
        <f>HYPERLINK("http://service.sap.com/sap/support/notes/2042275","2042275")</f>
        <v>2042275</v>
      </c>
      <c r="D4347">
        <v>3</v>
      </c>
      <c r="E4347" t="s">
        <v>4660</v>
      </c>
      <c r="F4347" t="s">
        <v>17</v>
      </c>
    </row>
    <row r="4348" spans="1:6" x14ac:dyDescent="0.3">
      <c r="A4348" t="s">
        <v>599</v>
      </c>
      <c r="B4348" t="s">
        <v>600</v>
      </c>
      <c r="C4348" t="str">
        <f>HYPERLINK("http://service.sap.com/sap/support/notes/2042334","2042334")</f>
        <v>2042334</v>
      </c>
      <c r="D4348">
        <v>6</v>
      </c>
      <c r="E4348" t="s">
        <v>4661</v>
      </c>
      <c r="F4348" t="s">
        <v>17</v>
      </c>
    </row>
    <row r="4349" spans="1:6" x14ac:dyDescent="0.3">
      <c r="A4349" t="s">
        <v>599</v>
      </c>
      <c r="B4349" t="s">
        <v>600</v>
      </c>
      <c r="C4349" t="str">
        <f>HYPERLINK("http://service.sap.com/sap/support/notes/2043763","2043763")</f>
        <v>2043763</v>
      </c>
      <c r="D4349">
        <v>3</v>
      </c>
      <c r="E4349" t="s">
        <v>4662</v>
      </c>
      <c r="F4349" t="s">
        <v>17</v>
      </c>
    </row>
    <row r="4350" spans="1:6" x14ac:dyDescent="0.3">
      <c r="A4350" t="s">
        <v>599</v>
      </c>
      <c r="B4350" t="s">
        <v>600</v>
      </c>
      <c r="C4350" t="str">
        <f>HYPERLINK("http://service.sap.com/sap/support/notes/2043906","2043906")</f>
        <v>2043906</v>
      </c>
      <c r="D4350">
        <v>2</v>
      </c>
      <c r="E4350" t="s">
        <v>4663</v>
      </c>
      <c r="F4350" t="s">
        <v>17</v>
      </c>
    </row>
    <row r="4351" spans="1:6" x14ac:dyDescent="0.3">
      <c r="A4351" t="s">
        <v>599</v>
      </c>
      <c r="B4351" t="s">
        <v>600</v>
      </c>
      <c r="C4351" t="str">
        <f>HYPERLINK("http://service.sap.com/sap/support/notes/2047637","2047637")</f>
        <v>2047637</v>
      </c>
      <c r="D4351">
        <v>1</v>
      </c>
      <c r="E4351" t="s">
        <v>4664</v>
      </c>
      <c r="F4351" t="s">
        <v>17</v>
      </c>
    </row>
    <row r="4352" spans="1:6" x14ac:dyDescent="0.3">
      <c r="A4352" t="s">
        <v>599</v>
      </c>
      <c r="B4352" t="s">
        <v>600</v>
      </c>
      <c r="C4352" t="str">
        <f>HYPERLINK("http://service.sap.com/sap/support/notes/2049907","2049907")</f>
        <v>2049907</v>
      </c>
      <c r="D4352">
        <v>1</v>
      </c>
      <c r="E4352" t="s">
        <v>4665</v>
      </c>
      <c r="F4352" t="s">
        <v>17</v>
      </c>
    </row>
    <row r="4353" spans="1:6" x14ac:dyDescent="0.3">
      <c r="A4353" t="s">
        <v>599</v>
      </c>
      <c r="B4353" t="s">
        <v>600</v>
      </c>
      <c r="C4353" t="str">
        <f>HYPERLINK("http://service.sap.com/sap/support/notes/2050269","2050269")</f>
        <v>2050269</v>
      </c>
      <c r="D4353">
        <v>2</v>
      </c>
      <c r="E4353" t="s">
        <v>4666</v>
      </c>
      <c r="F4353" t="s">
        <v>17</v>
      </c>
    </row>
    <row r="4354" spans="1:6" x14ac:dyDescent="0.3">
      <c r="A4354" t="s">
        <v>599</v>
      </c>
      <c r="B4354" t="s">
        <v>600</v>
      </c>
      <c r="C4354" t="str">
        <f>HYPERLINK("http://service.sap.com/sap/support/notes/2051691","2051691")</f>
        <v>2051691</v>
      </c>
      <c r="D4354">
        <v>2</v>
      </c>
      <c r="E4354" t="s">
        <v>4667</v>
      </c>
      <c r="F4354" t="s">
        <v>17</v>
      </c>
    </row>
    <row r="4355" spans="1:6" x14ac:dyDescent="0.3">
      <c r="A4355" t="s">
        <v>599</v>
      </c>
      <c r="B4355" t="s">
        <v>600</v>
      </c>
      <c r="C4355" t="str">
        <f>HYPERLINK("http://service.sap.com/sap/support/notes/2051741","2051741")</f>
        <v>2051741</v>
      </c>
      <c r="D4355">
        <v>1</v>
      </c>
      <c r="E4355" t="s">
        <v>4668</v>
      </c>
      <c r="F4355" t="s">
        <v>17</v>
      </c>
    </row>
    <row r="4356" spans="1:6" x14ac:dyDescent="0.3">
      <c r="A4356" t="s">
        <v>599</v>
      </c>
      <c r="B4356" t="s">
        <v>600</v>
      </c>
      <c r="C4356" t="str">
        <f>HYPERLINK("http://service.sap.com/sap/support/notes/2052557","2052557")</f>
        <v>2052557</v>
      </c>
      <c r="D4356">
        <v>1</v>
      </c>
      <c r="E4356" t="s">
        <v>4669</v>
      </c>
      <c r="F4356" t="s">
        <v>17</v>
      </c>
    </row>
    <row r="4357" spans="1:6" x14ac:dyDescent="0.3">
      <c r="A4357" t="s">
        <v>599</v>
      </c>
      <c r="B4357" t="s">
        <v>600</v>
      </c>
      <c r="C4357" t="str">
        <f>HYPERLINK("http://service.sap.com/sap/support/notes/2052567","2052567")</f>
        <v>2052567</v>
      </c>
      <c r="D4357">
        <v>1</v>
      </c>
      <c r="E4357" t="s">
        <v>4670</v>
      </c>
      <c r="F4357" t="s">
        <v>17</v>
      </c>
    </row>
    <row r="4358" spans="1:6" x14ac:dyDescent="0.3">
      <c r="A4358" t="s">
        <v>599</v>
      </c>
      <c r="B4358" t="s">
        <v>600</v>
      </c>
      <c r="C4358" t="str">
        <f>HYPERLINK("http://service.sap.com/sap/support/notes/2053381","2053381")</f>
        <v>2053381</v>
      </c>
      <c r="D4358">
        <v>1</v>
      </c>
      <c r="E4358" t="s">
        <v>4671</v>
      </c>
      <c r="F4358" t="s">
        <v>17</v>
      </c>
    </row>
    <row r="4359" spans="1:6" x14ac:dyDescent="0.3">
      <c r="A4359" t="s">
        <v>599</v>
      </c>
      <c r="B4359" t="s">
        <v>600</v>
      </c>
      <c r="C4359" t="str">
        <f>HYPERLINK("http://service.sap.com/sap/support/notes/2055877","2055877")</f>
        <v>2055877</v>
      </c>
      <c r="D4359">
        <v>2</v>
      </c>
      <c r="E4359" t="s">
        <v>4672</v>
      </c>
      <c r="F4359" t="s">
        <v>17</v>
      </c>
    </row>
    <row r="4360" spans="1:6" x14ac:dyDescent="0.3">
      <c r="A4360" t="s">
        <v>599</v>
      </c>
      <c r="B4360" t="s">
        <v>600</v>
      </c>
      <c r="C4360" t="str">
        <f>HYPERLINK("http://service.sap.com/sap/support/notes/2056491","2056491")</f>
        <v>2056491</v>
      </c>
      <c r="D4360">
        <v>1</v>
      </c>
      <c r="E4360" t="s">
        <v>4673</v>
      </c>
      <c r="F4360" t="s">
        <v>17</v>
      </c>
    </row>
    <row r="4361" spans="1:6" x14ac:dyDescent="0.3">
      <c r="A4361" t="s">
        <v>599</v>
      </c>
      <c r="B4361" t="s">
        <v>600</v>
      </c>
      <c r="C4361" t="str">
        <f>HYPERLINK("http://service.sap.com/sap/support/notes/2058814","2058814")</f>
        <v>2058814</v>
      </c>
      <c r="D4361">
        <v>1</v>
      </c>
      <c r="E4361" t="s">
        <v>4674</v>
      </c>
      <c r="F4361" t="s">
        <v>17</v>
      </c>
    </row>
    <row r="4362" spans="1:6" x14ac:dyDescent="0.3">
      <c r="A4362" t="s">
        <v>599</v>
      </c>
      <c r="B4362" t="s">
        <v>600</v>
      </c>
      <c r="C4362" t="str">
        <f>HYPERLINK("http://service.sap.com/sap/support/notes/2063471","2063471")</f>
        <v>2063471</v>
      </c>
      <c r="D4362">
        <v>1</v>
      </c>
      <c r="E4362" t="s">
        <v>4675</v>
      </c>
      <c r="F4362" t="s">
        <v>17</v>
      </c>
    </row>
    <row r="4363" spans="1:6" x14ac:dyDescent="0.3">
      <c r="A4363" t="s">
        <v>630</v>
      </c>
      <c r="B4363" t="s">
        <v>631</v>
      </c>
      <c r="C4363" t="str">
        <f>HYPERLINK("http://service.sap.com/sap/support/notes/1674287","1674287")</f>
        <v>1674287</v>
      </c>
      <c r="D4363">
        <v>6</v>
      </c>
      <c r="E4363" t="s">
        <v>4676</v>
      </c>
      <c r="F4363" t="s">
        <v>13</v>
      </c>
    </row>
    <row r="4364" spans="1:6" x14ac:dyDescent="0.3">
      <c r="A4364" t="s">
        <v>630</v>
      </c>
      <c r="B4364" t="s">
        <v>631</v>
      </c>
      <c r="C4364" t="str">
        <f>HYPERLINK("http://service.sap.com/sap/support/notes/1809001","1809001")</f>
        <v>1809001</v>
      </c>
      <c r="D4364">
        <v>2</v>
      </c>
      <c r="E4364" t="s">
        <v>4677</v>
      </c>
      <c r="F4364" t="s">
        <v>17</v>
      </c>
    </row>
    <row r="4365" spans="1:6" x14ac:dyDescent="0.3">
      <c r="A4365" t="s">
        <v>4678</v>
      </c>
      <c r="B4365" t="s">
        <v>738</v>
      </c>
      <c r="C4365" t="str">
        <f>HYPERLINK("http://service.sap.com/sap/support/notes/1988193","1988193")</f>
        <v>1988193</v>
      </c>
      <c r="D4365">
        <v>3</v>
      </c>
      <c r="E4365" t="s">
        <v>4679</v>
      </c>
      <c r="F4365" t="s">
        <v>17</v>
      </c>
    </row>
    <row r="4366" spans="1:6" x14ac:dyDescent="0.3">
      <c r="A4366" t="s">
        <v>4678</v>
      </c>
      <c r="B4366" t="s">
        <v>738</v>
      </c>
      <c r="C4366" t="str">
        <f>HYPERLINK("http://service.sap.com/sap/support/notes/2001977","2001977")</f>
        <v>2001977</v>
      </c>
      <c r="D4366">
        <v>1</v>
      </c>
      <c r="E4366" t="s">
        <v>4680</v>
      </c>
      <c r="F4366" t="s">
        <v>17</v>
      </c>
    </row>
    <row r="4367" spans="1:6" x14ac:dyDescent="0.3">
      <c r="A4367" t="s">
        <v>634</v>
      </c>
      <c r="B4367" t="s">
        <v>635</v>
      </c>
      <c r="C4367" t="str">
        <f>HYPERLINK("http://service.sap.com/sap/support/notes/2019904","2019904")</f>
        <v>2019904</v>
      </c>
      <c r="D4367">
        <v>3</v>
      </c>
      <c r="E4367" t="s">
        <v>4681</v>
      </c>
      <c r="F4367" t="s">
        <v>94</v>
      </c>
    </row>
    <row r="4368" spans="1:6" x14ac:dyDescent="0.3">
      <c r="A4368" t="s">
        <v>634</v>
      </c>
      <c r="B4368" t="s">
        <v>635</v>
      </c>
      <c r="C4368" t="str">
        <f>HYPERLINK("http://service.sap.com/sap/support/notes/2032777","2032777")</f>
        <v>2032777</v>
      </c>
      <c r="D4368">
        <v>1</v>
      </c>
      <c r="E4368" t="s">
        <v>4682</v>
      </c>
      <c r="F4368" t="s">
        <v>17</v>
      </c>
    </row>
    <row r="4369" spans="1:6" x14ac:dyDescent="0.3">
      <c r="A4369" t="s">
        <v>634</v>
      </c>
      <c r="B4369" t="s">
        <v>635</v>
      </c>
      <c r="C4369" t="str">
        <f>HYPERLINK("http://service.sap.com/sap/support/notes/2034963","2034963")</f>
        <v>2034963</v>
      </c>
      <c r="D4369">
        <v>3</v>
      </c>
      <c r="E4369" t="s">
        <v>4683</v>
      </c>
      <c r="F4369" t="s">
        <v>94</v>
      </c>
    </row>
    <row r="4370" spans="1:6" x14ac:dyDescent="0.3">
      <c r="A4370" t="s">
        <v>634</v>
      </c>
      <c r="B4370" t="s">
        <v>635</v>
      </c>
      <c r="C4370" t="str">
        <f>HYPERLINK("http://service.sap.com/sap/support/notes/2037362","2037362")</f>
        <v>2037362</v>
      </c>
      <c r="D4370">
        <v>3</v>
      </c>
      <c r="E4370" t="s">
        <v>4684</v>
      </c>
      <c r="F4370" t="s">
        <v>17</v>
      </c>
    </row>
    <row r="4371" spans="1:6" x14ac:dyDescent="0.3">
      <c r="A4371" t="s">
        <v>634</v>
      </c>
      <c r="B4371" t="s">
        <v>635</v>
      </c>
      <c r="C4371" t="str">
        <f>HYPERLINK("http://service.sap.com/sap/support/notes/2038003","2038003")</f>
        <v>2038003</v>
      </c>
      <c r="D4371">
        <v>1</v>
      </c>
      <c r="E4371" t="s">
        <v>4685</v>
      </c>
      <c r="F4371" t="s">
        <v>17</v>
      </c>
    </row>
    <row r="4372" spans="1:6" x14ac:dyDescent="0.3">
      <c r="A4372" t="s">
        <v>634</v>
      </c>
      <c r="B4372" t="s">
        <v>635</v>
      </c>
      <c r="C4372" t="str">
        <f>HYPERLINK("http://service.sap.com/sap/support/notes/2043386","2043386")</f>
        <v>2043386</v>
      </c>
      <c r="D4372">
        <v>1</v>
      </c>
      <c r="E4372" t="s">
        <v>4686</v>
      </c>
      <c r="F4372" t="s">
        <v>17</v>
      </c>
    </row>
    <row r="4373" spans="1:6" x14ac:dyDescent="0.3">
      <c r="A4373" t="s">
        <v>634</v>
      </c>
      <c r="B4373" t="s">
        <v>635</v>
      </c>
      <c r="C4373" t="str">
        <f>HYPERLINK("http://service.sap.com/sap/support/notes/2047407","2047407")</f>
        <v>2047407</v>
      </c>
      <c r="D4373">
        <v>1</v>
      </c>
      <c r="E4373" t="s">
        <v>4687</v>
      </c>
      <c r="F4373" t="s">
        <v>17</v>
      </c>
    </row>
    <row r="4374" spans="1:6" x14ac:dyDescent="0.3">
      <c r="A4374" t="s">
        <v>634</v>
      </c>
      <c r="B4374" t="s">
        <v>635</v>
      </c>
      <c r="C4374" t="str">
        <f>HYPERLINK("http://service.sap.com/sap/support/notes/2052851","2052851")</f>
        <v>2052851</v>
      </c>
      <c r="D4374">
        <v>1</v>
      </c>
      <c r="E4374" t="s">
        <v>4688</v>
      </c>
      <c r="F4374" t="s">
        <v>13</v>
      </c>
    </row>
    <row r="4375" spans="1:6" x14ac:dyDescent="0.3">
      <c r="A4375" t="s">
        <v>645</v>
      </c>
      <c r="B4375" t="s">
        <v>646</v>
      </c>
      <c r="C4375" t="str">
        <f>HYPERLINK("http://service.sap.com/sap/support/notes/2033657","2033657")</f>
        <v>2033657</v>
      </c>
      <c r="D4375">
        <v>5</v>
      </c>
      <c r="E4375" t="s">
        <v>4689</v>
      </c>
      <c r="F4375" t="s">
        <v>17</v>
      </c>
    </row>
    <row r="4376" spans="1:6" x14ac:dyDescent="0.3">
      <c r="A4376" t="s">
        <v>648</v>
      </c>
      <c r="B4376" t="s">
        <v>138</v>
      </c>
      <c r="C4376" t="str">
        <f>HYPERLINK("http://service.sap.com/sap/support/notes/2040774","2040774")</f>
        <v>2040774</v>
      </c>
      <c r="D4376">
        <v>1</v>
      </c>
      <c r="E4376" t="s">
        <v>4690</v>
      </c>
      <c r="F4376" t="s">
        <v>17</v>
      </c>
    </row>
    <row r="4377" spans="1:6" x14ac:dyDescent="0.3">
      <c r="A4377" t="s">
        <v>648</v>
      </c>
      <c r="B4377" t="s">
        <v>138</v>
      </c>
      <c r="C4377" t="str">
        <f>HYPERLINK("http://service.sap.com/sap/support/notes/2041942","2041942")</f>
        <v>2041942</v>
      </c>
      <c r="D4377">
        <v>1</v>
      </c>
      <c r="E4377" t="s">
        <v>4691</v>
      </c>
      <c r="F4377" t="s">
        <v>17</v>
      </c>
    </row>
    <row r="4378" spans="1:6" x14ac:dyDescent="0.3">
      <c r="A4378" t="s">
        <v>648</v>
      </c>
      <c r="B4378" t="s">
        <v>138</v>
      </c>
      <c r="C4378" t="str">
        <f>HYPERLINK("http://service.sap.com/sap/support/notes/2046783","2046783")</f>
        <v>2046783</v>
      </c>
      <c r="D4378">
        <v>1</v>
      </c>
      <c r="E4378" t="s">
        <v>4692</v>
      </c>
      <c r="F4378" t="s">
        <v>17</v>
      </c>
    </row>
    <row r="4379" spans="1:6" x14ac:dyDescent="0.3">
      <c r="A4379" t="s">
        <v>655</v>
      </c>
      <c r="B4379" t="s">
        <v>656</v>
      </c>
      <c r="C4379" t="str">
        <f>HYPERLINK("http://service.sap.com/sap/support/notes/1102893","1102893")</f>
        <v>1102893</v>
      </c>
      <c r="D4379">
        <v>12</v>
      </c>
      <c r="E4379" t="s">
        <v>4693</v>
      </c>
      <c r="F4379" t="s">
        <v>17</v>
      </c>
    </row>
    <row r="4380" spans="1:6" x14ac:dyDescent="0.3">
      <c r="A4380" t="s">
        <v>655</v>
      </c>
      <c r="B4380" t="s">
        <v>656</v>
      </c>
      <c r="C4380" t="str">
        <f>HYPERLINK("http://service.sap.com/sap/support/notes/1427383","1427383")</f>
        <v>1427383</v>
      </c>
      <c r="D4380">
        <v>7</v>
      </c>
      <c r="E4380" t="s">
        <v>4694</v>
      </c>
      <c r="F4380" t="s">
        <v>11</v>
      </c>
    </row>
    <row r="4381" spans="1:6" x14ac:dyDescent="0.3">
      <c r="A4381" t="s">
        <v>655</v>
      </c>
      <c r="B4381" t="s">
        <v>656</v>
      </c>
      <c r="C4381" t="str">
        <f>HYPERLINK("http://service.sap.com/sap/support/notes/1455455","1455455")</f>
        <v>1455455</v>
      </c>
      <c r="D4381">
        <v>4</v>
      </c>
      <c r="E4381" t="s">
        <v>4695</v>
      </c>
      <c r="F4381" t="s">
        <v>13</v>
      </c>
    </row>
    <row r="4382" spans="1:6" x14ac:dyDescent="0.3">
      <c r="A4382" t="s">
        <v>655</v>
      </c>
      <c r="B4382" t="s">
        <v>656</v>
      </c>
      <c r="C4382" t="str">
        <f>HYPERLINK("http://service.sap.com/sap/support/notes/1564242","1564242")</f>
        <v>1564242</v>
      </c>
      <c r="D4382">
        <v>3</v>
      </c>
      <c r="E4382" t="s">
        <v>4696</v>
      </c>
      <c r="F4382" t="s">
        <v>13</v>
      </c>
    </row>
    <row r="4383" spans="1:6" x14ac:dyDescent="0.3">
      <c r="A4383" t="s">
        <v>655</v>
      </c>
      <c r="B4383" t="s">
        <v>656</v>
      </c>
      <c r="C4383" t="str">
        <f>HYPERLINK("http://service.sap.com/sap/support/notes/1810534","1810534")</f>
        <v>1810534</v>
      </c>
      <c r="D4383">
        <v>3</v>
      </c>
      <c r="E4383" t="s">
        <v>4697</v>
      </c>
      <c r="F4383" t="s">
        <v>13</v>
      </c>
    </row>
    <row r="4384" spans="1:6" x14ac:dyDescent="0.3">
      <c r="A4384" t="s">
        <v>655</v>
      </c>
      <c r="B4384" t="s">
        <v>656</v>
      </c>
      <c r="C4384" t="str">
        <f>HYPERLINK("http://service.sap.com/sap/support/notes/1981727","1981727")</f>
        <v>1981727</v>
      </c>
      <c r="D4384">
        <v>1</v>
      </c>
      <c r="E4384" t="s">
        <v>4698</v>
      </c>
      <c r="F4384" t="s">
        <v>17</v>
      </c>
    </row>
    <row r="4385" spans="1:6" x14ac:dyDescent="0.3">
      <c r="A4385" t="s">
        <v>655</v>
      </c>
      <c r="B4385" t="s">
        <v>656</v>
      </c>
      <c r="C4385" t="str">
        <f>HYPERLINK("http://service.sap.com/sap/support/notes/1994160","1994160")</f>
        <v>1994160</v>
      </c>
      <c r="D4385">
        <v>2</v>
      </c>
      <c r="E4385" t="s">
        <v>4699</v>
      </c>
      <c r="F4385" t="s">
        <v>17</v>
      </c>
    </row>
    <row r="4386" spans="1:6" x14ac:dyDescent="0.3">
      <c r="A4386" t="s">
        <v>655</v>
      </c>
      <c r="B4386" t="s">
        <v>656</v>
      </c>
      <c r="C4386" t="str">
        <f>HYPERLINK("http://service.sap.com/sap/support/notes/2002984","2002984")</f>
        <v>2002984</v>
      </c>
      <c r="D4386">
        <v>1</v>
      </c>
      <c r="E4386" t="s">
        <v>4700</v>
      </c>
      <c r="F4386" t="s">
        <v>17</v>
      </c>
    </row>
    <row r="4387" spans="1:6" x14ac:dyDescent="0.3">
      <c r="A4387" t="s">
        <v>655</v>
      </c>
      <c r="B4387" t="s">
        <v>656</v>
      </c>
      <c r="C4387" t="str">
        <f>HYPERLINK("http://service.sap.com/sap/support/notes/2019948","2019948")</f>
        <v>2019948</v>
      </c>
      <c r="D4387">
        <v>1</v>
      </c>
      <c r="E4387" t="s">
        <v>4701</v>
      </c>
      <c r="F4387" t="s">
        <v>17</v>
      </c>
    </row>
    <row r="4388" spans="1:6" x14ac:dyDescent="0.3">
      <c r="A4388" t="s">
        <v>655</v>
      </c>
      <c r="B4388" t="s">
        <v>656</v>
      </c>
      <c r="C4388" t="str">
        <f>HYPERLINK("http://service.sap.com/sap/support/notes/2038320","2038320")</f>
        <v>2038320</v>
      </c>
      <c r="D4388">
        <v>2</v>
      </c>
      <c r="E4388" t="s">
        <v>4702</v>
      </c>
      <c r="F4388" t="s">
        <v>17</v>
      </c>
    </row>
    <row r="4389" spans="1:6" x14ac:dyDescent="0.3">
      <c r="A4389" t="s">
        <v>655</v>
      </c>
      <c r="B4389" t="s">
        <v>656</v>
      </c>
      <c r="C4389" t="str">
        <f>HYPERLINK("http://service.sap.com/sap/support/notes/2047136","2047136")</f>
        <v>2047136</v>
      </c>
      <c r="D4389">
        <v>1</v>
      </c>
      <c r="E4389" t="s">
        <v>4703</v>
      </c>
      <c r="F4389" t="s">
        <v>17</v>
      </c>
    </row>
    <row r="4390" spans="1:6" x14ac:dyDescent="0.3">
      <c r="A4390" t="s">
        <v>655</v>
      </c>
      <c r="B4390" t="s">
        <v>656</v>
      </c>
      <c r="C4390" t="str">
        <f>HYPERLINK("http://service.sap.com/sap/support/notes/2053372","2053372")</f>
        <v>2053372</v>
      </c>
      <c r="D4390">
        <v>1</v>
      </c>
      <c r="E4390" t="s">
        <v>4704</v>
      </c>
      <c r="F4390" t="s">
        <v>17</v>
      </c>
    </row>
    <row r="4391" spans="1:6" x14ac:dyDescent="0.3">
      <c r="A4391" t="s">
        <v>660</v>
      </c>
      <c r="B4391" t="s">
        <v>661</v>
      </c>
      <c r="C4391" t="str">
        <f>HYPERLINK("http://service.sap.com/sap/support/notes/1823599","1823599")</f>
        <v>1823599</v>
      </c>
      <c r="D4391">
        <v>2</v>
      </c>
      <c r="E4391" t="s">
        <v>4705</v>
      </c>
      <c r="F4391" t="s">
        <v>11</v>
      </c>
    </row>
    <row r="4392" spans="1:6" x14ac:dyDescent="0.3">
      <c r="A4392" t="s">
        <v>660</v>
      </c>
      <c r="B4392" t="s">
        <v>661</v>
      </c>
      <c r="C4392" t="str">
        <f>HYPERLINK("http://service.sap.com/sap/support/notes/2006146","2006146")</f>
        <v>2006146</v>
      </c>
      <c r="D4392">
        <v>2</v>
      </c>
      <c r="E4392" t="s">
        <v>4706</v>
      </c>
      <c r="F4392" t="s">
        <v>17</v>
      </c>
    </row>
    <row r="4393" spans="1:6" x14ac:dyDescent="0.3">
      <c r="A4393" t="s">
        <v>660</v>
      </c>
      <c r="B4393" t="s">
        <v>661</v>
      </c>
      <c r="C4393" t="str">
        <f>HYPERLINK("http://service.sap.com/sap/support/notes/2008904","2008904")</f>
        <v>2008904</v>
      </c>
      <c r="D4393">
        <v>2</v>
      </c>
      <c r="E4393" t="s">
        <v>4707</v>
      </c>
      <c r="F4393" t="s">
        <v>17</v>
      </c>
    </row>
    <row r="4394" spans="1:6" x14ac:dyDescent="0.3">
      <c r="A4394" t="s">
        <v>660</v>
      </c>
      <c r="B4394" t="s">
        <v>661</v>
      </c>
      <c r="C4394" t="str">
        <f>HYPERLINK("http://service.sap.com/sap/support/notes/2021522","2021522")</f>
        <v>2021522</v>
      </c>
      <c r="D4394">
        <v>3</v>
      </c>
      <c r="E4394" t="s">
        <v>4708</v>
      </c>
      <c r="F4394" t="s">
        <v>17</v>
      </c>
    </row>
    <row r="4395" spans="1:6" x14ac:dyDescent="0.3">
      <c r="A4395" t="s">
        <v>660</v>
      </c>
      <c r="B4395" t="s">
        <v>661</v>
      </c>
      <c r="C4395" t="str">
        <f>HYPERLINK("http://service.sap.com/sap/support/notes/2023422","2023422")</f>
        <v>2023422</v>
      </c>
      <c r="D4395">
        <v>1</v>
      </c>
      <c r="E4395" t="s">
        <v>4709</v>
      </c>
      <c r="F4395" t="s">
        <v>17</v>
      </c>
    </row>
    <row r="4396" spans="1:6" x14ac:dyDescent="0.3">
      <c r="A4396" t="s">
        <v>660</v>
      </c>
      <c r="B4396" t="s">
        <v>661</v>
      </c>
      <c r="C4396" t="str">
        <f>HYPERLINK("http://service.sap.com/sap/support/notes/2023851","2023851")</f>
        <v>2023851</v>
      </c>
      <c r="D4396">
        <v>3</v>
      </c>
      <c r="E4396" t="s">
        <v>4710</v>
      </c>
      <c r="F4396" t="s">
        <v>17</v>
      </c>
    </row>
    <row r="4397" spans="1:6" x14ac:dyDescent="0.3">
      <c r="A4397" t="s">
        <v>660</v>
      </c>
      <c r="B4397" t="s">
        <v>661</v>
      </c>
      <c r="C4397" t="str">
        <f>HYPERLINK("http://service.sap.com/sap/support/notes/2029527","2029527")</f>
        <v>2029527</v>
      </c>
      <c r="D4397">
        <v>3</v>
      </c>
      <c r="E4397" t="s">
        <v>4711</v>
      </c>
      <c r="F4397" t="s">
        <v>17</v>
      </c>
    </row>
    <row r="4398" spans="1:6" x14ac:dyDescent="0.3">
      <c r="A4398" t="s">
        <v>660</v>
      </c>
      <c r="B4398" t="s">
        <v>661</v>
      </c>
      <c r="C4398" t="str">
        <f>HYPERLINK("http://service.sap.com/sap/support/notes/2033191","2033191")</f>
        <v>2033191</v>
      </c>
      <c r="D4398">
        <v>2</v>
      </c>
      <c r="E4398" t="s">
        <v>4712</v>
      </c>
      <c r="F4398" t="s">
        <v>17</v>
      </c>
    </row>
    <row r="4399" spans="1:6" x14ac:dyDescent="0.3">
      <c r="A4399" t="s">
        <v>660</v>
      </c>
      <c r="B4399" t="s">
        <v>661</v>
      </c>
      <c r="C4399" t="str">
        <f>HYPERLINK("http://service.sap.com/sap/support/notes/2033367","2033367")</f>
        <v>2033367</v>
      </c>
      <c r="D4399">
        <v>3</v>
      </c>
      <c r="E4399" t="s">
        <v>4713</v>
      </c>
      <c r="F4399" t="s">
        <v>17</v>
      </c>
    </row>
    <row r="4400" spans="1:6" x14ac:dyDescent="0.3">
      <c r="A4400" t="s">
        <v>660</v>
      </c>
      <c r="B4400" t="s">
        <v>661</v>
      </c>
      <c r="C4400" t="str">
        <f>HYPERLINK("http://service.sap.com/sap/support/notes/2037321","2037321")</f>
        <v>2037321</v>
      </c>
      <c r="D4400">
        <v>3</v>
      </c>
      <c r="E4400" t="s">
        <v>4714</v>
      </c>
      <c r="F4400" t="s">
        <v>17</v>
      </c>
    </row>
    <row r="4401" spans="1:6" x14ac:dyDescent="0.3">
      <c r="A4401" t="s">
        <v>660</v>
      </c>
      <c r="B4401" t="s">
        <v>661</v>
      </c>
      <c r="C4401" t="str">
        <f>HYPERLINK("http://service.sap.com/sap/support/notes/2040521","2040521")</f>
        <v>2040521</v>
      </c>
      <c r="D4401">
        <v>1</v>
      </c>
      <c r="E4401" t="s">
        <v>4715</v>
      </c>
      <c r="F4401" t="s">
        <v>17</v>
      </c>
    </row>
    <row r="4402" spans="1:6" x14ac:dyDescent="0.3">
      <c r="A4402" t="s">
        <v>660</v>
      </c>
      <c r="B4402" t="s">
        <v>661</v>
      </c>
      <c r="C4402" t="str">
        <f>HYPERLINK("http://service.sap.com/sap/support/notes/2043801","2043801")</f>
        <v>2043801</v>
      </c>
      <c r="D4402">
        <v>3</v>
      </c>
      <c r="E4402" t="s">
        <v>4716</v>
      </c>
      <c r="F4402" t="s">
        <v>17</v>
      </c>
    </row>
    <row r="4403" spans="1:6" x14ac:dyDescent="0.3">
      <c r="A4403" t="s">
        <v>660</v>
      </c>
      <c r="B4403" t="s">
        <v>661</v>
      </c>
      <c r="C4403" t="str">
        <f>HYPERLINK("http://service.sap.com/sap/support/notes/2045032","2045032")</f>
        <v>2045032</v>
      </c>
      <c r="D4403">
        <v>1</v>
      </c>
      <c r="E4403" t="s">
        <v>4717</v>
      </c>
      <c r="F4403" t="s">
        <v>17</v>
      </c>
    </row>
    <row r="4404" spans="1:6" x14ac:dyDescent="0.3">
      <c r="A4404" t="s">
        <v>683</v>
      </c>
      <c r="B4404" t="s">
        <v>684</v>
      </c>
      <c r="C4404" t="str">
        <f>HYPERLINK("http://service.sap.com/sap/support/notes/1983342","1983342")</f>
        <v>1983342</v>
      </c>
      <c r="D4404">
        <v>1</v>
      </c>
      <c r="E4404" t="s">
        <v>4718</v>
      </c>
      <c r="F4404" t="s">
        <v>17</v>
      </c>
    </row>
    <row r="4405" spans="1:6" x14ac:dyDescent="0.3">
      <c r="A4405" t="s">
        <v>683</v>
      </c>
      <c r="B4405" t="s">
        <v>684</v>
      </c>
      <c r="C4405" t="str">
        <f>HYPERLINK("http://service.sap.com/sap/support/notes/2038524","2038524")</f>
        <v>2038524</v>
      </c>
      <c r="D4405">
        <v>1</v>
      </c>
      <c r="E4405" t="s">
        <v>4719</v>
      </c>
      <c r="F4405" t="s">
        <v>17</v>
      </c>
    </row>
    <row r="4406" spans="1:6" x14ac:dyDescent="0.3">
      <c r="A4406" t="s">
        <v>683</v>
      </c>
      <c r="B4406" t="s">
        <v>684</v>
      </c>
      <c r="C4406" t="str">
        <f>HYPERLINK("http://service.sap.com/sap/support/notes/2044533","2044533")</f>
        <v>2044533</v>
      </c>
      <c r="D4406">
        <v>4</v>
      </c>
      <c r="E4406" t="s">
        <v>4720</v>
      </c>
      <c r="F4406" t="s">
        <v>17</v>
      </c>
    </row>
    <row r="4407" spans="1:6" x14ac:dyDescent="0.3">
      <c r="A4407" t="s">
        <v>4721</v>
      </c>
      <c r="B4407" t="s">
        <v>243</v>
      </c>
      <c r="C4407" t="str">
        <f>HYPERLINK("http://service.sap.com/sap/support/notes/1990291","1990291")</f>
        <v>1990291</v>
      </c>
      <c r="D4407">
        <v>3</v>
      </c>
      <c r="E4407" t="s">
        <v>4722</v>
      </c>
      <c r="F4407" t="s">
        <v>17</v>
      </c>
    </row>
    <row r="4408" spans="1:6" x14ac:dyDescent="0.3">
      <c r="A4408" t="s">
        <v>688</v>
      </c>
      <c r="B4408" t="s">
        <v>689</v>
      </c>
      <c r="C4408" t="str">
        <f>HYPERLINK("http://service.sap.com/sap/support/notes/2039368","2039368")</f>
        <v>2039368</v>
      </c>
      <c r="D4408">
        <v>2</v>
      </c>
      <c r="E4408" t="s">
        <v>4723</v>
      </c>
      <c r="F4408" t="s">
        <v>17</v>
      </c>
    </row>
    <row r="4409" spans="1:6" x14ac:dyDescent="0.3">
      <c r="A4409" t="s">
        <v>696</v>
      </c>
      <c r="B4409" t="s">
        <v>346</v>
      </c>
      <c r="C4409" t="str">
        <f>HYPERLINK("http://service.sap.com/sap/support/notes/2023449","2023449")</f>
        <v>2023449</v>
      </c>
      <c r="D4409">
        <v>1</v>
      </c>
      <c r="E4409" t="s">
        <v>4724</v>
      </c>
      <c r="F4409" t="s">
        <v>17</v>
      </c>
    </row>
    <row r="4410" spans="1:6" x14ac:dyDescent="0.3">
      <c r="A4410" t="s">
        <v>700</v>
      </c>
      <c r="B4410" t="s">
        <v>531</v>
      </c>
      <c r="C4410" t="str">
        <f>HYPERLINK("http://service.sap.com/sap/support/notes/2051329","2051329")</f>
        <v>2051329</v>
      </c>
      <c r="D4410">
        <v>1</v>
      </c>
      <c r="E4410" t="s">
        <v>4725</v>
      </c>
      <c r="F4410" t="s">
        <v>17</v>
      </c>
    </row>
    <row r="4411" spans="1:6" x14ac:dyDescent="0.3">
      <c r="A4411" t="s">
        <v>709</v>
      </c>
      <c r="B4411" t="s">
        <v>710</v>
      </c>
      <c r="C4411" t="str">
        <f>HYPERLINK("http://service.sap.com/sap/support/notes/2022406","2022406")</f>
        <v>2022406</v>
      </c>
      <c r="D4411">
        <v>1</v>
      </c>
      <c r="E4411" t="s">
        <v>4726</v>
      </c>
      <c r="F4411" t="s">
        <v>17</v>
      </c>
    </row>
    <row r="4412" spans="1:6" x14ac:dyDescent="0.3">
      <c r="A4412" t="s">
        <v>709</v>
      </c>
      <c r="B4412" t="s">
        <v>710</v>
      </c>
      <c r="C4412" t="str">
        <f>HYPERLINK("http://service.sap.com/sap/support/notes/2023318","2023318")</f>
        <v>2023318</v>
      </c>
      <c r="D4412">
        <v>1</v>
      </c>
      <c r="E4412" t="s">
        <v>4727</v>
      </c>
      <c r="F4412" t="s">
        <v>17</v>
      </c>
    </row>
    <row r="4413" spans="1:6" x14ac:dyDescent="0.3">
      <c r="A4413" t="s">
        <v>709</v>
      </c>
      <c r="B4413" t="s">
        <v>710</v>
      </c>
      <c r="C4413" t="str">
        <f>HYPERLINK("http://service.sap.com/sap/support/notes/2023573","2023573")</f>
        <v>2023573</v>
      </c>
      <c r="D4413">
        <v>2</v>
      </c>
      <c r="E4413" t="s">
        <v>4728</v>
      </c>
      <c r="F4413" t="s">
        <v>17</v>
      </c>
    </row>
    <row r="4414" spans="1:6" x14ac:dyDescent="0.3">
      <c r="A4414" t="s">
        <v>709</v>
      </c>
      <c r="B4414" t="s">
        <v>710</v>
      </c>
      <c r="C4414" t="str">
        <f>HYPERLINK("http://service.sap.com/sap/support/notes/2025798","2025798")</f>
        <v>2025798</v>
      </c>
      <c r="D4414">
        <v>1</v>
      </c>
      <c r="E4414" t="s">
        <v>4729</v>
      </c>
      <c r="F4414" t="s">
        <v>17</v>
      </c>
    </row>
    <row r="4415" spans="1:6" x14ac:dyDescent="0.3">
      <c r="A4415" t="s">
        <v>709</v>
      </c>
      <c r="B4415" t="s">
        <v>710</v>
      </c>
      <c r="C4415" t="str">
        <f>HYPERLINK("http://service.sap.com/sap/support/notes/2034282","2034282")</f>
        <v>2034282</v>
      </c>
      <c r="D4415">
        <v>1</v>
      </c>
      <c r="E4415" t="s">
        <v>4730</v>
      </c>
      <c r="F4415" t="s">
        <v>17</v>
      </c>
    </row>
    <row r="4416" spans="1:6" x14ac:dyDescent="0.3">
      <c r="A4416" t="s">
        <v>709</v>
      </c>
      <c r="B4416" t="s">
        <v>710</v>
      </c>
      <c r="C4416" t="str">
        <f>HYPERLINK("http://service.sap.com/sap/support/notes/2039159","2039159")</f>
        <v>2039159</v>
      </c>
      <c r="D4416">
        <v>1</v>
      </c>
      <c r="E4416" t="s">
        <v>4731</v>
      </c>
      <c r="F4416" t="s">
        <v>11</v>
      </c>
    </row>
    <row r="4417" spans="1:6" x14ac:dyDescent="0.3">
      <c r="A4417" t="s">
        <v>4732</v>
      </c>
      <c r="B4417" t="s">
        <v>2089</v>
      </c>
      <c r="C4417" t="str">
        <f>HYPERLINK("http://service.sap.com/sap/support/notes/1859995","1859995")</f>
        <v>1859995</v>
      </c>
      <c r="D4417">
        <v>2</v>
      </c>
      <c r="E4417" t="s">
        <v>4733</v>
      </c>
      <c r="F4417" t="s">
        <v>17</v>
      </c>
    </row>
    <row r="4418" spans="1:6" x14ac:dyDescent="0.3">
      <c r="A4418" t="s">
        <v>2138</v>
      </c>
      <c r="B4418" t="s">
        <v>631</v>
      </c>
      <c r="C4418" t="str">
        <f>HYPERLINK("http://service.sap.com/sap/support/notes/2025928","2025928")</f>
        <v>2025928</v>
      </c>
      <c r="D4418">
        <v>4</v>
      </c>
      <c r="E4418" t="s">
        <v>4734</v>
      </c>
      <c r="F4418" t="s">
        <v>17</v>
      </c>
    </row>
    <row r="4419" spans="1:6" x14ac:dyDescent="0.3">
      <c r="A4419" t="s">
        <v>2138</v>
      </c>
      <c r="B4419" t="s">
        <v>631</v>
      </c>
      <c r="C4419" t="str">
        <f>HYPERLINK("http://service.sap.com/sap/support/notes/2034671","2034671")</f>
        <v>2034671</v>
      </c>
      <c r="D4419">
        <v>3</v>
      </c>
      <c r="E4419" t="s">
        <v>4735</v>
      </c>
      <c r="F4419" t="s">
        <v>17</v>
      </c>
    </row>
    <row r="4420" spans="1:6" x14ac:dyDescent="0.3">
      <c r="A4420" t="s">
        <v>2138</v>
      </c>
      <c r="B4420" t="s">
        <v>631</v>
      </c>
      <c r="C4420" t="str">
        <f>HYPERLINK("http://service.sap.com/sap/support/notes/2048456","2048456")</f>
        <v>2048456</v>
      </c>
      <c r="D4420">
        <v>1</v>
      </c>
      <c r="E4420" t="s">
        <v>4736</v>
      </c>
      <c r="F4420" t="s">
        <v>13</v>
      </c>
    </row>
    <row r="4421" spans="1:6" x14ac:dyDescent="0.3">
      <c r="A4421" t="s">
        <v>737</v>
      </c>
      <c r="B4421" t="s">
        <v>738</v>
      </c>
      <c r="C4421" t="str">
        <f>HYPERLINK("http://service.sap.com/sap/support/notes/1882855","1882855")</f>
        <v>1882855</v>
      </c>
      <c r="D4421">
        <v>7</v>
      </c>
      <c r="E4421" t="s">
        <v>4737</v>
      </c>
      <c r="F4421" t="s">
        <v>17</v>
      </c>
    </row>
    <row r="4422" spans="1:6" x14ac:dyDescent="0.3">
      <c r="A4422" t="s">
        <v>737</v>
      </c>
      <c r="B4422" t="s">
        <v>738</v>
      </c>
      <c r="C4422" t="str">
        <f>HYPERLINK("http://service.sap.com/sap/support/notes/1993877","1993877")</f>
        <v>1993877</v>
      </c>
      <c r="D4422">
        <v>2</v>
      </c>
      <c r="E4422" t="s">
        <v>4738</v>
      </c>
      <c r="F4422" t="s">
        <v>17</v>
      </c>
    </row>
    <row r="4423" spans="1:6" x14ac:dyDescent="0.3">
      <c r="A4423" t="s">
        <v>737</v>
      </c>
      <c r="B4423" t="s">
        <v>738</v>
      </c>
      <c r="C4423" t="str">
        <f>HYPERLINK("http://service.sap.com/sap/support/notes/2007102","2007102")</f>
        <v>2007102</v>
      </c>
      <c r="D4423">
        <v>3</v>
      </c>
      <c r="E4423" t="s">
        <v>4739</v>
      </c>
      <c r="F4423" t="s">
        <v>17</v>
      </c>
    </row>
    <row r="4424" spans="1:6" x14ac:dyDescent="0.3">
      <c r="A4424" t="s">
        <v>740</v>
      </c>
      <c r="B4424" t="s">
        <v>635</v>
      </c>
      <c r="C4424" t="str">
        <f>HYPERLINK("http://service.sap.com/sap/support/notes/2030717","2030717")</f>
        <v>2030717</v>
      </c>
      <c r="D4424">
        <v>2</v>
      </c>
      <c r="E4424" t="s">
        <v>4740</v>
      </c>
      <c r="F4424" t="s">
        <v>17</v>
      </c>
    </row>
    <row r="4425" spans="1:6" x14ac:dyDescent="0.3">
      <c r="A4425" t="s">
        <v>740</v>
      </c>
      <c r="B4425" t="s">
        <v>635</v>
      </c>
      <c r="C4425" t="str">
        <f>HYPERLINK("http://service.sap.com/sap/support/notes/2032858","2032858")</f>
        <v>2032858</v>
      </c>
      <c r="D4425">
        <v>2</v>
      </c>
      <c r="E4425" t="s">
        <v>4741</v>
      </c>
      <c r="F4425" t="s">
        <v>17</v>
      </c>
    </row>
    <row r="4426" spans="1:6" x14ac:dyDescent="0.3">
      <c r="A4426" t="s">
        <v>740</v>
      </c>
      <c r="B4426" t="s">
        <v>635</v>
      </c>
      <c r="C4426" t="str">
        <f>HYPERLINK("http://service.sap.com/sap/support/notes/2035358","2035358")</f>
        <v>2035358</v>
      </c>
      <c r="D4426">
        <v>1</v>
      </c>
      <c r="E4426" t="s">
        <v>4742</v>
      </c>
      <c r="F4426" t="s">
        <v>17</v>
      </c>
    </row>
    <row r="4427" spans="1:6" x14ac:dyDescent="0.3">
      <c r="A4427" t="s">
        <v>740</v>
      </c>
      <c r="B4427" t="s">
        <v>635</v>
      </c>
      <c r="C4427" t="str">
        <f>HYPERLINK("http://service.sap.com/sap/support/notes/2039185","2039185")</f>
        <v>2039185</v>
      </c>
      <c r="D4427">
        <v>4</v>
      </c>
      <c r="E4427" t="s">
        <v>4743</v>
      </c>
      <c r="F4427" t="s">
        <v>94</v>
      </c>
    </row>
    <row r="4428" spans="1:6" x14ac:dyDescent="0.3">
      <c r="A4428" t="s">
        <v>740</v>
      </c>
      <c r="B4428" t="s">
        <v>635</v>
      </c>
      <c r="C4428" t="str">
        <f>HYPERLINK("http://service.sap.com/sap/support/notes/2040295","2040295")</f>
        <v>2040295</v>
      </c>
      <c r="D4428">
        <v>3</v>
      </c>
      <c r="E4428" t="s">
        <v>4744</v>
      </c>
      <c r="F4428" t="s">
        <v>17</v>
      </c>
    </row>
    <row r="4429" spans="1:6" x14ac:dyDescent="0.3">
      <c r="A4429" t="s">
        <v>740</v>
      </c>
      <c r="B4429" t="s">
        <v>635</v>
      </c>
      <c r="C4429" t="str">
        <f>HYPERLINK("http://service.sap.com/sap/support/notes/2041381","2041381")</f>
        <v>2041381</v>
      </c>
      <c r="D4429">
        <v>1</v>
      </c>
      <c r="E4429" t="s">
        <v>4741</v>
      </c>
      <c r="F4429" t="s">
        <v>17</v>
      </c>
    </row>
    <row r="4430" spans="1:6" x14ac:dyDescent="0.3">
      <c r="A4430" t="s">
        <v>740</v>
      </c>
      <c r="B4430" t="s">
        <v>635</v>
      </c>
      <c r="C4430" t="str">
        <f>HYPERLINK("http://service.sap.com/sap/support/notes/2043493","2043493")</f>
        <v>2043493</v>
      </c>
      <c r="D4430">
        <v>1</v>
      </c>
      <c r="E4430" t="s">
        <v>4745</v>
      </c>
      <c r="F4430" t="s">
        <v>17</v>
      </c>
    </row>
    <row r="4431" spans="1:6" x14ac:dyDescent="0.3">
      <c r="A4431" t="s">
        <v>743</v>
      </c>
      <c r="B4431" t="s">
        <v>138</v>
      </c>
      <c r="C4431" t="str">
        <f>HYPERLINK("http://service.sap.com/sap/support/notes/1397264","1397264")</f>
        <v>1397264</v>
      </c>
      <c r="D4431">
        <v>2</v>
      </c>
      <c r="E4431" t="s">
        <v>4746</v>
      </c>
      <c r="F4431" t="s">
        <v>13</v>
      </c>
    </row>
    <row r="4432" spans="1:6" x14ac:dyDescent="0.3">
      <c r="A4432" t="s">
        <v>743</v>
      </c>
      <c r="B4432" t="s">
        <v>138</v>
      </c>
      <c r="C4432" t="str">
        <f>HYPERLINK("http://service.sap.com/sap/support/notes/2012719","2012719")</f>
        <v>2012719</v>
      </c>
      <c r="D4432">
        <v>1</v>
      </c>
      <c r="E4432" t="s">
        <v>4747</v>
      </c>
      <c r="F4432" t="s">
        <v>17</v>
      </c>
    </row>
    <row r="4433" spans="1:6" x14ac:dyDescent="0.3">
      <c r="A4433" t="s">
        <v>743</v>
      </c>
      <c r="B4433" t="s">
        <v>138</v>
      </c>
      <c r="C4433" t="str">
        <f>HYPERLINK("http://service.sap.com/sap/support/notes/2025699","2025699")</f>
        <v>2025699</v>
      </c>
      <c r="D4433">
        <v>1</v>
      </c>
      <c r="E4433" t="s">
        <v>4748</v>
      </c>
      <c r="F4433" t="s">
        <v>17</v>
      </c>
    </row>
    <row r="4434" spans="1:6" x14ac:dyDescent="0.3">
      <c r="A4434" t="s">
        <v>743</v>
      </c>
      <c r="B4434" t="s">
        <v>138</v>
      </c>
      <c r="C4434" t="str">
        <f>HYPERLINK("http://service.sap.com/sap/support/notes/2032875","2032875")</f>
        <v>2032875</v>
      </c>
      <c r="D4434">
        <v>1</v>
      </c>
      <c r="E4434" t="s">
        <v>4749</v>
      </c>
      <c r="F4434" t="s">
        <v>17</v>
      </c>
    </row>
    <row r="4435" spans="1:6" x14ac:dyDescent="0.3">
      <c r="A4435" t="s">
        <v>743</v>
      </c>
      <c r="B4435" t="s">
        <v>138</v>
      </c>
      <c r="C4435" t="str">
        <f>HYPERLINK("http://service.sap.com/sap/support/notes/2038374","2038374")</f>
        <v>2038374</v>
      </c>
      <c r="D4435">
        <v>1</v>
      </c>
      <c r="E4435" t="s">
        <v>4750</v>
      </c>
      <c r="F4435" t="s">
        <v>17</v>
      </c>
    </row>
    <row r="4436" spans="1:6" x14ac:dyDescent="0.3">
      <c r="A4436" t="s">
        <v>743</v>
      </c>
      <c r="B4436" t="s">
        <v>138</v>
      </c>
      <c r="C4436" t="str">
        <f>HYPERLINK("http://service.sap.com/sap/support/notes/2051235","2051235")</f>
        <v>2051235</v>
      </c>
      <c r="D4436">
        <v>1</v>
      </c>
      <c r="E4436" t="s">
        <v>4751</v>
      </c>
      <c r="F4436" t="s">
        <v>17</v>
      </c>
    </row>
    <row r="4437" spans="1:6" x14ac:dyDescent="0.3">
      <c r="A4437" t="s">
        <v>2997</v>
      </c>
      <c r="B4437" t="s">
        <v>656</v>
      </c>
      <c r="C4437" t="str">
        <f>HYPERLINK("http://service.sap.com/sap/support/notes/1938907","1938907")</f>
        <v>1938907</v>
      </c>
      <c r="D4437">
        <v>2</v>
      </c>
      <c r="E4437" t="s">
        <v>4752</v>
      </c>
      <c r="F4437" t="s">
        <v>13</v>
      </c>
    </row>
    <row r="4438" spans="1:6" x14ac:dyDescent="0.3">
      <c r="A4438" t="s">
        <v>2997</v>
      </c>
      <c r="B4438" t="s">
        <v>656</v>
      </c>
      <c r="C4438" t="str">
        <f>HYPERLINK("http://service.sap.com/sap/support/notes/1939535","1939535")</f>
        <v>1939535</v>
      </c>
      <c r="D4438">
        <v>2</v>
      </c>
      <c r="E4438" t="s">
        <v>4753</v>
      </c>
      <c r="F4438" t="s">
        <v>17</v>
      </c>
    </row>
    <row r="4439" spans="1:6" x14ac:dyDescent="0.3">
      <c r="A4439" t="s">
        <v>760</v>
      </c>
      <c r="B4439" t="s">
        <v>761</v>
      </c>
      <c r="C4439" t="str">
        <f>HYPERLINK("http://service.sap.com/sap/support/notes/1554711","1554711")</f>
        <v>1554711</v>
      </c>
      <c r="D4439">
        <v>5</v>
      </c>
      <c r="E4439" t="s">
        <v>4754</v>
      </c>
      <c r="F4439" t="s">
        <v>17</v>
      </c>
    </row>
    <row r="4440" spans="1:6" x14ac:dyDescent="0.3">
      <c r="A4440" t="s">
        <v>760</v>
      </c>
      <c r="B4440" t="s">
        <v>761</v>
      </c>
      <c r="C4440" t="str">
        <f>HYPERLINK("http://service.sap.com/sap/support/notes/2019216","2019216")</f>
        <v>2019216</v>
      </c>
      <c r="D4440">
        <v>4</v>
      </c>
      <c r="E4440" t="s">
        <v>4755</v>
      </c>
      <c r="F4440" t="s">
        <v>17</v>
      </c>
    </row>
    <row r="4441" spans="1:6" x14ac:dyDescent="0.3">
      <c r="A4441" t="s">
        <v>760</v>
      </c>
      <c r="B4441" t="s">
        <v>761</v>
      </c>
      <c r="C4441" t="str">
        <f>HYPERLINK("http://service.sap.com/sap/support/notes/2051700","2051700")</f>
        <v>2051700</v>
      </c>
      <c r="D4441">
        <v>1</v>
      </c>
      <c r="E4441" t="s">
        <v>4756</v>
      </c>
      <c r="F4441" t="s">
        <v>17</v>
      </c>
    </row>
    <row r="4442" spans="1:6" x14ac:dyDescent="0.3">
      <c r="A4442" t="s">
        <v>764</v>
      </c>
      <c r="B4442" t="s">
        <v>243</v>
      </c>
      <c r="C4442" t="str">
        <f>HYPERLINK("http://service.sap.com/sap/support/notes/1990188","1990188")</f>
        <v>1990188</v>
      </c>
      <c r="D4442">
        <v>3</v>
      </c>
      <c r="E4442" t="s">
        <v>4757</v>
      </c>
      <c r="F4442" t="s">
        <v>17</v>
      </c>
    </row>
    <row r="4443" spans="1:6" x14ac:dyDescent="0.3">
      <c r="A4443" t="s">
        <v>768</v>
      </c>
      <c r="B4443" t="s">
        <v>769</v>
      </c>
    </row>
    <row r="4444" spans="1:6" x14ac:dyDescent="0.3">
      <c r="A4444" t="s">
        <v>775</v>
      </c>
      <c r="B4444" t="s">
        <v>776</v>
      </c>
    </row>
    <row r="4445" spans="1:6" x14ac:dyDescent="0.3">
      <c r="A4445" t="s">
        <v>777</v>
      </c>
      <c r="B4445" t="s">
        <v>778</v>
      </c>
      <c r="C4445" t="str">
        <f>HYPERLINK("http://service.sap.com/sap/support/notes/1893116","1893116")</f>
        <v>1893116</v>
      </c>
      <c r="D4445">
        <v>1</v>
      </c>
      <c r="E4445" t="s">
        <v>3009</v>
      </c>
      <c r="F4445" t="s">
        <v>17</v>
      </c>
    </row>
    <row r="4446" spans="1:6" x14ac:dyDescent="0.3">
      <c r="A4446" t="s">
        <v>777</v>
      </c>
      <c r="B4446" t="s">
        <v>778</v>
      </c>
      <c r="C4446" t="str">
        <f>HYPERLINK("http://service.sap.com/sap/support/notes/2036402","2036402")</f>
        <v>2036402</v>
      </c>
      <c r="D4446">
        <v>2</v>
      </c>
      <c r="E4446" t="s">
        <v>4758</v>
      </c>
      <c r="F4446" t="s">
        <v>17</v>
      </c>
    </row>
    <row r="4447" spans="1:6" x14ac:dyDescent="0.3">
      <c r="A4447" t="s">
        <v>777</v>
      </c>
      <c r="B4447" t="s">
        <v>778</v>
      </c>
      <c r="C4447" t="str">
        <f>HYPERLINK("http://service.sap.com/sap/support/notes/2038711","2038711")</f>
        <v>2038711</v>
      </c>
      <c r="D4447">
        <v>1</v>
      </c>
      <c r="E4447" t="s">
        <v>4759</v>
      </c>
      <c r="F4447" t="s">
        <v>17</v>
      </c>
    </row>
    <row r="4448" spans="1:6" x14ac:dyDescent="0.3">
      <c r="A4448" t="s">
        <v>777</v>
      </c>
      <c r="B4448" t="s">
        <v>778</v>
      </c>
      <c r="C4448" t="str">
        <f>HYPERLINK("http://service.sap.com/sap/support/notes/2047771","2047771")</f>
        <v>2047771</v>
      </c>
      <c r="D4448">
        <v>1</v>
      </c>
      <c r="E4448" t="s">
        <v>4760</v>
      </c>
      <c r="F4448" t="s">
        <v>17</v>
      </c>
    </row>
    <row r="4449" spans="1:6" x14ac:dyDescent="0.3">
      <c r="A4449" t="s">
        <v>777</v>
      </c>
      <c r="B4449" t="s">
        <v>778</v>
      </c>
      <c r="C4449" t="str">
        <f>HYPERLINK("http://service.sap.com/sap/support/notes/2050976","2050976")</f>
        <v>2050976</v>
      </c>
      <c r="D4449">
        <v>1</v>
      </c>
      <c r="E4449" t="s">
        <v>4761</v>
      </c>
      <c r="F4449" t="s">
        <v>17</v>
      </c>
    </row>
    <row r="4450" spans="1:6" x14ac:dyDescent="0.3">
      <c r="A4450" t="s">
        <v>777</v>
      </c>
      <c r="B4450" t="s">
        <v>778</v>
      </c>
      <c r="C4450" t="str">
        <f>HYPERLINK("http://service.sap.com/sap/support/notes/2054426","2054426")</f>
        <v>2054426</v>
      </c>
      <c r="D4450">
        <v>1</v>
      </c>
      <c r="E4450" t="s">
        <v>4762</v>
      </c>
      <c r="F4450" t="s">
        <v>17</v>
      </c>
    </row>
    <row r="4451" spans="1:6" x14ac:dyDescent="0.3">
      <c r="A4451" t="s">
        <v>777</v>
      </c>
      <c r="B4451" t="s">
        <v>778</v>
      </c>
      <c r="C4451" t="str">
        <f>HYPERLINK("http://service.sap.com/sap/support/notes/2054944","2054944")</f>
        <v>2054944</v>
      </c>
      <c r="D4451">
        <v>1</v>
      </c>
      <c r="E4451" t="s">
        <v>4763</v>
      </c>
      <c r="F4451" t="s">
        <v>17</v>
      </c>
    </row>
    <row r="4452" spans="1:6" x14ac:dyDescent="0.3">
      <c r="A4452" t="s">
        <v>777</v>
      </c>
      <c r="B4452" t="s">
        <v>778</v>
      </c>
      <c r="C4452" t="str">
        <f>HYPERLINK("http://service.sap.com/sap/support/notes/2060219","2060219")</f>
        <v>2060219</v>
      </c>
      <c r="D4452">
        <v>1</v>
      </c>
      <c r="E4452" t="s">
        <v>4764</v>
      </c>
      <c r="F4452" t="s">
        <v>17</v>
      </c>
    </row>
    <row r="4453" spans="1:6" x14ac:dyDescent="0.3">
      <c r="A4453" t="s">
        <v>796</v>
      </c>
      <c r="B4453" t="s">
        <v>797</v>
      </c>
      <c r="C4453" t="str">
        <f>HYPERLINK("http://service.sap.com/sap/support/notes/1997016","1997016")</f>
        <v>1997016</v>
      </c>
      <c r="D4453">
        <v>2</v>
      </c>
      <c r="E4453" t="s">
        <v>4765</v>
      </c>
      <c r="F4453" t="s">
        <v>17</v>
      </c>
    </row>
    <row r="4454" spans="1:6" x14ac:dyDescent="0.3">
      <c r="A4454" t="s">
        <v>796</v>
      </c>
      <c r="B4454" t="s">
        <v>797</v>
      </c>
      <c r="C4454" t="str">
        <f>HYPERLINK("http://service.sap.com/sap/support/notes/2009594","2009594")</f>
        <v>2009594</v>
      </c>
      <c r="D4454">
        <v>1</v>
      </c>
      <c r="E4454" t="s">
        <v>4766</v>
      </c>
      <c r="F4454" t="s">
        <v>17</v>
      </c>
    </row>
    <row r="4455" spans="1:6" x14ac:dyDescent="0.3">
      <c r="A4455" t="s">
        <v>796</v>
      </c>
      <c r="B4455" t="s">
        <v>797</v>
      </c>
      <c r="C4455" t="str">
        <f>HYPERLINK("http://service.sap.com/sap/support/notes/2020962","2020962")</f>
        <v>2020962</v>
      </c>
      <c r="D4455">
        <v>1</v>
      </c>
      <c r="E4455" t="s">
        <v>4767</v>
      </c>
      <c r="F4455" t="s">
        <v>17</v>
      </c>
    </row>
    <row r="4456" spans="1:6" x14ac:dyDescent="0.3">
      <c r="A4456" t="s">
        <v>796</v>
      </c>
      <c r="B4456" t="s">
        <v>797</v>
      </c>
      <c r="C4456" t="str">
        <f>HYPERLINK("http://service.sap.com/sap/support/notes/2025324","2025324")</f>
        <v>2025324</v>
      </c>
      <c r="D4456">
        <v>1</v>
      </c>
      <c r="E4456" t="s">
        <v>4768</v>
      </c>
      <c r="F4456" t="s">
        <v>17</v>
      </c>
    </row>
    <row r="4457" spans="1:6" x14ac:dyDescent="0.3">
      <c r="A4457" t="s">
        <v>796</v>
      </c>
      <c r="B4457" t="s">
        <v>797</v>
      </c>
      <c r="C4457" t="str">
        <f>HYPERLINK("http://service.sap.com/sap/support/notes/2036070","2036070")</f>
        <v>2036070</v>
      </c>
      <c r="D4457">
        <v>3</v>
      </c>
      <c r="E4457" t="s">
        <v>4769</v>
      </c>
      <c r="F4457" t="s">
        <v>17</v>
      </c>
    </row>
    <row r="4458" spans="1:6" x14ac:dyDescent="0.3">
      <c r="A4458" t="s">
        <v>796</v>
      </c>
      <c r="B4458" t="s">
        <v>797</v>
      </c>
      <c r="C4458" t="str">
        <f>HYPERLINK("http://service.sap.com/sap/support/notes/2037474","2037474")</f>
        <v>2037474</v>
      </c>
      <c r="D4458">
        <v>2</v>
      </c>
      <c r="E4458" t="s">
        <v>4770</v>
      </c>
      <c r="F4458" t="s">
        <v>17</v>
      </c>
    </row>
    <row r="4459" spans="1:6" x14ac:dyDescent="0.3">
      <c r="A4459" t="s">
        <v>796</v>
      </c>
      <c r="B4459" t="s">
        <v>797</v>
      </c>
      <c r="C4459" t="str">
        <f>HYPERLINK("http://service.sap.com/sap/support/notes/2042905","2042905")</f>
        <v>2042905</v>
      </c>
      <c r="D4459">
        <v>2</v>
      </c>
      <c r="E4459" t="s">
        <v>4771</v>
      </c>
      <c r="F4459" t="s">
        <v>17</v>
      </c>
    </row>
    <row r="4460" spans="1:6" x14ac:dyDescent="0.3">
      <c r="A4460" t="s">
        <v>796</v>
      </c>
      <c r="B4460" t="s">
        <v>797</v>
      </c>
      <c r="C4460" t="str">
        <f>HYPERLINK("http://service.sap.com/sap/support/notes/2047126","2047126")</f>
        <v>2047126</v>
      </c>
      <c r="D4460">
        <v>3</v>
      </c>
      <c r="E4460" t="s">
        <v>4772</v>
      </c>
      <c r="F4460" t="s">
        <v>17</v>
      </c>
    </row>
    <row r="4461" spans="1:6" x14ac:dyDescent="0.3">
      <c r="A4461" t="s">
        <v>796</v>
      </c>
      <c r="B4461" t="s">
        <v>797</v>
      </c>
      <c r="C4461" t="str">
        <f>HYPERLINK("http://service.sap.com/sap/support/notes/2048367","2048367")</f>
        <v>2048367</v>
      </c>
      <c r="D4461">
        <v>1</v>
      </c>
      <c r="E4461" t="s">
        <v>4773</v>
      </c>
      <c r="F4461" t="s">
        <v>17</v>
      </c>
    </row>
    <row r="4462" spans="1:6" x14ac:dyDescent="0.3">
      <c r="A4462" t="s">
        <v>796</v>
      </c>
      <c r="B4462" t="s">
        <v>797</v>
      </c>
      <c r="C4462" t="str">
        <f>HYPERLINK("http://service.sap.com/sap/support/notes/2052070","2052070")</f>
        <v>2052070</v>
      </c>
      <c r="D4462">
        <v>2</v>
      </c>
      <c r="E4462" t="s">
        <v>4774</v>
      </c>
      <c r="F4462" t="s">
        <v>17</v>
      </c>
    </row>
    <row r="4463" spans="1:6" x14ac:dyDescent="0.3">
      <c r="A4463" t="s">
        <v>812</v>
      </c>
      <c r="B4463" t="s">
        <v>813</v>
      </c>
      <c r="C4463" t="str">
        <f>HYPERLINK("http://service.sap.com/sap/support/notes/1932233","1932233")</f>
        <v>1932233</v>
      </c>
      <c r="D4463">
        <v>21</v>
      </c>
      <c r="E4463" t="s">
        <v>4775</v>
      </c>
      <c r="F4463" t="s">
        <v>17</v>
      </c>
    </row>
    <row r="4464" spans="1:6" x14ac:dyDescent="0.3">
      <c r="A4464" t="s">
        <v>812</v>
      </c>
      <c r="B4464" t="s">
        <v>813</v>
      </c>
      <c r="C4464" t="str">
        <f>HYPERLINK("http://service.sap.com/sap/support/notes/1943453","1943453")</f>
        <v>1943453</v>
      </c>
      <c r="D4464">
        <v>14</v>
      </c>
      <c r="E4464" t="s">
        <v>4776</v>
      </c>
      <c r="F4464" t="s">
        <v>17</v>
      </c>
    </row>
    <row r="4465" spans="1:6" x14ac:dyDescent="0.3">
      <c r="A4465" t="s">
        <v>812</v>
      </c>
      <c r="B4465" t="s">
        <v>813</v>
      </c>
      <c r="C4465" t="str">
        <f>HYPERLINK("http://service.sap.com/sap/support/notes/1995593","1995593")</f>
        <v>1995593</v>
      </c>
      <c r="D4465">
        <v>1</v>
      </c>
      <c r="E4465" t="s">
        <v>4777</v>
      </c>
      <c r="F4465" t="s">
        <v>17</v>
      </c>
    </row>
    <row r="4466" spans="1:6" x14ac:dyDescent="0.3">
      <c r="A4466" t="s">
        <v>812</v>
      </c>
      <c r="B4466" t="s">
        <v>813</v>
      </c>
      <c r="C4466" t="str">
        <f>HYPERLINK("http://service.sap.com/sap/support/notes/1996566","1996566")</f>
        <v>1996566</v>
      </c>
      <c r="D4466">
        <v>1</v>
      </c>
      <c r="E4466" t="s">
        <v>4778</v>
      </c>
      <c r="F4466" t="s">
        <v>17</v>
      </c>
    </row>
    <row r="4467" spans="1:6" x14ac:dyDescent="0.3">
      <c r="A4467" t="s">
        <v>812</v>
      </c>
      <c r="B4467" t="s">
        <v>813</v>
      </c>
      <c r="C4467" t="str">
        <f>HYPERLINK("http://service.sap.com/sap/support/notes/1999942","1999942")</f>
        <v>1999942</v>
      </c>
      <c r="D4467">
        <v>6</v>
      </c>
      <c r="E4467" t="s">
        <v>4779</v>
      </c>
      <c r="F4467" t="s">
        <v>17</v>
      </c>
    </row>
    <row r="4468" spans="1:6" x14ac:dyDescent="0.3">
      <c r="A4468" t="s">
        <v>812</v>
      </c>
      <c r="B4468" t="s">
        <v>813</v>
      </c>
      <c r="C4468" t="str">
        <f>HYPERLINK("http://service.sap.com/sap/support/notes/2004593","2004593")</f>
        <v>2004593</v>
      </c>
      <c r="D4468">
        <v>1</v>
      </c>
      <c r="E4468" t="s">
        <v>4780</v>
      </c>
      <c r="F4468" t="s">
        <v>17</v>
      </c>
    </row>
    <row r="4469" spans="1:6" x14ac:dyDescent="0.3">
      <c r="A4469" t="s">
        <v>812</v>
      </c>
      <c r="B4469" t="s">
        <v>813</v>
      </c>
      <c r="C4469" t="str">
        <f>HYPERLINK("http://service.sap.com/sap/support/notes/2010603","2010603")</f>
        <v>2010603</v>
      </c>
      <c r="D4469">
        <v>1</v>
      </c>
      <c r="E4469" t="s">
        <v>4781</v>
      </c>
      <c r="F4469" t="s">
        <v>17</v>
      </c>
    </row>
    <row r="4470" spans="1:6" x14ac:dyDescent="0.3">
      <c r="A4470" t="s">
        <v>812</v>
      </c>
      <c r="B4470" t="s">
        <v>813</v>
      </c>
      <c r="C4470" t="str">
        <f>HYPERLINK("http://service.sap.com/sap/support/notes/2021531","2021531")</f>
        <v>2021531</v>
      </c>
      <c r="D4470">
        <v>2</v>
      </c>
      <c r="E4470" t="s">
        <v>4782</v>
      </c>
      <c r="F4470" t="s">
        <v>17</v>
      </c>
    </row>
    <row r="4471" spans="1:6" x14ac:dyDescent="0.3">
      <c r="A4471" t="s">
        <v>812</v>
      </c>
      <c r="B4471" t="s">
        <v>813</v>
      </c>
      <c r="C4471" t="str">
        <f>HYPERLINK("http://service.sap.com/sap/support/notes/2022428","2022428")</f>
        <v>2022428</v>
      </c>
      <c r="D4471">
        <v>2</v>
      </c>
      <c r="E4471" t="s">
        <v>4783</v>
      </c>
      <c r="F4471" t="s">
        <v>17</v>
      </c>
    </row>
    <row r="4472" spans="1:6" x14ac:dyDescent="0.3">
      <c r="A4472" t="s">
        <v>812</v>
      </c>
      <c r="B4472" t="s">
        <v>813</v>
      </c>
      <c r="C4472" t="str">
        <f>HYPERLINK("http://service.sap.com/sap/support/notes/2022497","2022497")</f>
        <v>2022497</v>
      </c>
      <c r="D4472">
        <v>1</v>
      </c>
      <c r="E4472" t="s">
        <v>4784</v>
      </c>
      <c r="F4472" t="s">
        <v>17</v>
      </c>
    </row>
    <row r="4473" spans="1:6" x14ac:dyDescent="0.3">
      <c r="A4473" t="s">
        <v>812</v>
      </c>
      <c r="B4473" t="s">
        <v>813</v>
      </c>
      <c r="C4473" t="str">
        <f>HYPERLINK("http://service.sap.com/sap/support/notes/2038383","2038383")</f>
        <v>2038383</v>
      </c>
      <c r="D4473">
        <v>2</v>
      </c>
      <c r="E4473" t="s">
        <v>4785</v>
      </c>
      <c r="F4473" t="s">
        <v>17</v>
      </c>
    </row>
    <row r="4474" spans="1:6" x14ac:dyDescent="0.3">
      <c r="A4474" t="s">
        <v>812</v>
      </c>
      <c r="B4474" t="s">
        <v>813</v>
      </c>
      <c r="C4474" t="str">
        <f>HYPERLINK("http://service.sap.com/sap/support/notes/2043862","2043862")</f>
        <v>2043862</v>
      </c>
      <c r="D4474">
        <v>2</v>
      </c>
      <c r="E4474" t="s">
        <v>4786</v>
      </c>
      <c r="F4474" t="s">
        <v>17</v>
      </c>
    </row>
    <row r="4475" spans="1:6" x14ac:dyDescent="0.3">
      <c r="A4475" t="s">
        <v>812</v>
      </c>
      <c r="B4475" t="s">
        <v>813</v>
      </c>
      <c r="C4475" t="str">
        <f>HYPERLINK("http://service.sap.com/sap/support/notes/2044030","2044030")</f>
        <v>2044030</v>
      </c>
      <c r="D4475">
        <v>1</v>
      </c>
      <c r="E4475" t="s">
        <v>4787</v>
      </c>
      <c r="F4475" t="s">
        <v>17</v>
      </c>
    </row>
    <row r="4476" spans="1:6" x14ac:dyDescent="0.3">
      <c r="A4476" t="s">
        <v>812</v>
      </c>
      <c r="B4476" t="s">
        <v>813</v>
      </c>
      <c r="C4476" t="str">
        <f>HYPERLINK("http://service.sap.com/sap/support/notes/2046215","2046215")</f>
        <v>2046215</v>
      </c>
      <c r="D4476">
        <v>6</v>
      </c>
      <c r="E4476" t="s">
        <v>4788</v>
      </c>
      <c r="F4476" t="s">
        <v>17</v>
      </c>
    </row>
    <row r="4477" spans="1:6" x14ac:dyDescent="0.3">
      <c r="A4477" t="s">
        <v>812</v>
      </c>
      <c r="B4477" t="s">
        <v>813</v>
      </c>
      <c r="C4477" t="str">
        <f>HYPERLINK("http://service.sap.com/sap/support/notes/2051524","2051524")</f>
        <v>2051524</v>
      </c>
      <c r="D4477">
        <v>1</v>
      </c>
      <c r="E4477" t="s">
        <v>4789</v>
      </c>
      <c r="F4477" t="s">
        <v>17</v>
      </c>
    </row>
    <row r="4478" spans="1:6" x14ac:dyDescent="0.3">
      <c r="A4478" t="s">
        <v>825</v>
      </c>
      <c r="B4478" t="s">
        <v>826</v>
      </c>
      <c r="C4478" t="str">
        <f>HYPERLINK("http://service.sap.com/sap/support/notes/2022217","2022217")</f>
        <v>2022217</v>
      </c>
      <c r="D4478">
        <v>5</v>
      </c>
      <c r="E4478" t="s">
        <v>4790</v>
      </c>
      <c r="F4478" t="s">
        <v>17</v>
      </c>
    </row>
    <row r="4479" spans="1:6" x14ac:dyDescent="0.3">
      <c r="A4479" t="s">
        <v>825</v>
      </c>
      <c r="B4479" t="s">
        <v>826</v>
      </c>
      <c r="C4479" t="str">
        <f>HYPERLINK("http://service.sap.com/sap/support/notes/2027252","2027252")</f>
        <v>2027252</v>
      </c>
      <c r="D4479">
        <v>3</v>
      </c>
      <c r="E4479" t="s">
        <v>4791</v>
      </c>
      <c r="F4479" t="s">
        <v>17</v>
      </c>
    </row>
    <row r="4480" spans="1:6" x14ac:dyDescent="0.3">
      <c r="A4480" t="s">
        <v>825</v>
      </c>
      <c r="B4480" t="s">
        <v>826</v>
      </c>
      <c r="C4480" t="str">
        <f>HYPERLINK("http://service.sap.com/sap/support/notes/2030508","2030508")</f>
        <v>2030508</v>
      </c>
      <c r="D4480">
        <v>2</v>
      </c>
      <c r="E4480" t="s">
        <v>4792</v>
      </c>
      <c r="F4480" t="s">
        <v>17</v>
      </c>
    </row>
    <row r="4481" spans="1:6" x14ac:dyDescent="0.3">
      <c r="A4481" t="s">
        <v>825</v>
      </c>
      <c r="B4481" t="s">
        <v>826</v>
      </c>
      <c r="C4481" t="str">
        <f>HYPERLINK("http://service.sap.com/sap/support/notes/2054952","2054952")</f>
        <v>2054952</v>
      </c>
      <c r="D4481">
        <v>2</v>
      </c>
      <c r="E4481" t="s">
        <v>4793</v>
      </c>
      <c r="F4481" t="s">
        <v>17</v>
      </c>
    </row>
    <row r="4482" spans="1:6" x14ac:dyDescent="0.3">
      <c r="A4482" t="s">
        <v>839</v>
      </c>
      <c r="B4482" t="s">
        <v>840</v>
      </c>
      <c r="C4482" t="str">
        <f>HYPERLINK("http://service.sap.com/sap/support/notes/1746989","1746989")</f>
        <v>1746989</v>
      </c>
      <c r="D4482">
        <v>5</v>
      </c>
      <c r="E4482" t="s">
        <v>4794</v>
      </c>
      <c r="F4482" t="s">
        <v>11</v>
      </c>
    </row>
    <row r="4483" spans="1:6" x14ac:dyDescent="0.3">
      <c r="A4483" t="s">
        <v>839</v>
      </c>
      <c r="B4483" t="s">
        <v>840</v>
      </c>
      <c r="C4483" t="str">
        <f>HYPERLINK("http://service.sap.com/sap/support/notes/1954483","1954483")</f>
        <v>1954483</v>
      </c>
      <c r="D4483">
        <v>2</v>
      </c>
      <c r="E4483" t="s">
        <v>4795</v>
      </c>
      <c r="F4483" t="s">
        <v>17</v>
      </c>
    </row>
    <row r="4484" spans="1:6" x14ac:dyDescent="0.3">
      <c r="A4484" t="s">
        <v>844</v>
      </c>
      <c r="B4484" t="s">
        <v>845</v>
      </c>
      <c r="C4484" t="str">
        <f>HYPERLINK("http://service.sap.com/sap/support/notes/2029077","2029077")</f>
        <v>2029077</v>
      </c>
      <c r="D4484">
        <v>1</v>
      </c>
      <c r="E4484" t="s">
        <v>4796</v>
      </c>
      <c r="F4484" t="s">
        <v>17</v>
      </c>
    </row>
    <row r="4485" spans="1:6" x14ac:dyDescent="0.3">
      <c r="A4485" t="s">
        <v>848</v>
      </c>
      <c r="B4485" t="s">
        <v>849</v>
      </c>
      <c r="C4485" t="str">
        <f>HYPERLINK("http://service.sap.com/sap/support/notes/1993750","1993750")</f>
        <v>1993750</v>
      </c>
      <c r="D4485">
        <v>2</v>
      </c>
      <c r="E4485" t="s">
        <v>4797</v>
      </c>
      <c r="F4485" t="s">
        <v>17</v>
      </c>
    </row>
    <row r="4486" spans="1:6" x14ac:dyDescent="0.3">
      <c r="A4486" t="s">
        <v>848</v>
      </c>
      <c r="B4486" t="s">
        <v>849</v>
      </c>
      <c r="C4486" t="str">
        <f>HYPERLINK("http://service.sap.com/sap/support/notes/2027887","2027887")</f>
        <v>2027887</v>
      </c>
      <c r="D4486">
        <v>1</v>
      </c>
      <c r="E4486" t="s">
        <v>4798</v>
      </c>
      <c r="F4486" t="s">
        <v>17</v>
      </c>
    </row>
    <row r="4487" spans="1:6" x14ac:dyDescent="0.3">
      <c r="A4487" t="s">
        <v>848</v>
      </c>
      <c r="B4487" t="s">
        <v>849</v>
      </c>
      <c r="C4487" t="str">
        <f>HYPERLINK("http://service.sap.com/sap/support/notes/2037041","2037041")</f>
        <v>2037041</v>
      </c>
      <c r="D4487">
        <v>1</v>
      </c>
      <c r="E4487" t="s">
        <v>4799</v>
      </c>
      <c r="F4487" t="s">
        <v>17</v>
      </c>
    </row>
    <row r="4488" spans="1:6" x14ac:dyDescent="0.3">
      <c r="A4488" t="s">
        <v>848</v>
      </c>
      <c r="B4488" t="s">
        <v>849</v>
      </c>
      <c r="C4488" t="str">
        <f>HYPERLINK("http://service.sap.com/sap/support/notes/2045358","2045358")</f>
        <v>2045358</v>
      </c>
      <c r="D4488">
        <v>1</v>
      </c>
      <c r="E4488" t="s">
        <v>4800</v>
      </c>
      <c r="F4488" t="s">
        <v>17</v>
      </c>
    </row>
    <row r="4489" spans="1:6" x14ac:dyDescent="0.3">
      <c r="A4489" t="s">
        <v>848</v>
      </c>
      <c r="B4489" t="s">
        <v>849</v>
      </c>
      <c r="C4489" t="str">
        <f>HYPERLINK("http://service.sap.com/sap/support/notes/2053349","2053349")</f>
        <v>2053349</v>
      </c>
      <c r="D4489">
        <v>1</v>
      </c>
      <c r="E4489" t="s">
        <v>4801</v>
      </c>
      <c r="F4489" t="s">
        <v>13</v>
      </c>
    </row>
    <row r="4490" spans="1:6" x14ac:dyDescent="0.3">
      <c r="A4490" t="s">
        <v>861</v>
      </c>
      <c r="B4490" t="s">
        <v>862</v>
      </c>
      <c r="C4490" t="str">
        <f>HYPERLINK("http://service.sap.com/sap/support/notes/2005660","2005660")</f>
        <v>2005660</v>
      </c>
      <c r="D4490">
        <v>2</v>
      </c>
      <c r="E4490" t="s">
        <v>4802</v>
      </c>
      <c r="F4490" t="s">
        <v>17</v>
      </c>
    </row>
    <row r="4491" spans="1:6" x14ac:dyDescent="0.3">
      <c r="A4491" t="s">
        <v>861</v>
      </c>
      <c r="B4491" t="s">
        <v>862</v>
      </c>
      <c r="C4491" t="str">
        <f>HYPERLINK("http://service.sap.com/sap/support/notes/2016386","2016386")</f>
        <v>2016386</v>
      </c>
      <c r="D4491">
        <v>1</v>
      </c>
      <c r="E4491" t="s">
        <v>4803</v>
      </c>
      <c r="F4491" t="s">
        <v>17</v>
      </c>
    </row>
    <row r="4492" spans="1:6" x14ac:dyDescent="0.3">
      <c r="A4492" t="s">
        <v>871</v>
      </c>
      <c r="B4492" t="s">
        <v>872</v>
      </c>
    </row>
    <row r="4493" spans="1:6" x14ac:dyDescent="0.3">
      <c r="A4493" t="s">
        <v>873</v>
      </c>
      <c r="B4493" t="s">
        <v>874</v>
      </c>
      <c r="C4493" t="str">
        <f>HYPERLINK("http://service.sap.com/sap/support/notes/1999693","1999693")</f>
        <v>1999693</v>
      </c>
      <c r="D4493">
        <v>1</v>
      </c>
      <c r="E4493" t="s">
        <v>4804</v>
      </c>
      <c r="F4493" t="s">
        <v>17</v>
      </c>
    </row>
    <row r="4494" spans="1:6" x14ac:dyDescent="0.3">
      <c r="A4494" t="s">
        <v>873</v>
      </c>
      <c r="B4494" t="s">
        <v>874</v>
      </c>
      <c r="C4494" t="str">
        <f>HYPERLINK("http://service.sap.com/sap/support/notes/2010304","2010304")</f>
        <v>2010304</v>
      </c>
      <c r="D4494">
        <v>2</v>
      </c>
      <c r="E4494" t="s">
        <v>4805</v>
      </c>
      <c r="F4494" t="s">
        <v>17</v>
      </c>
    </row>
    <row r="4495" spans="1:6" x14ac:dyDescent="0.3">
      <c r="A4495" t="s">
        <v>873</v>
      </c>
      <c r="B4495" t="s">
        <v>874</v>
      </c>
      <c r="C4495" t="str">
        <f>HYPERLINK("http://service.sap.com/sap/support/notes/2013036","2013036")</f>
        <v>2013036</v>
      </c>
      <c r="D4495">
        <v>3</v>
      </c>
      <c r="E4495" t="s">
        <v>4806</v>
      </c>
      <c r="F4495" t="s">
        <v>17</v>
      </c>
    </row>
    <row r="4496" spans="1:6" x14ac:dyDescent="0.3">
      <c r="A4496" t="s">
        <v>873</v>
      </c>
      <c r="B4496" t="s">
        <v>874</v>
      </c>
      <c r="C4496" t="str">
        <f>HYPERLINK("http://service.sap.com/sap/support/notes/2015958","2015958")</f>
        <v>2015958</v>
      </c>
      <c r="D4496">
        <v>1</v>
      </c>
      <c r="E4496" t="s">
        <v>4807</v>
      </c>
      <c r="F4496" t="s">
        <v>17</v>
      </c>
    </row>
    <row r="4497" spans="1:6" x14ac:dyDescent="0.3">
      <c r="A4497" t="s">
        <v>873</v>
      </c>
      <c r="B4497" t="s">
        <v>874</v>
      </c>
      <c r="C4497" t="str">
        <f>HYPERLINK("http://service.sap.com/sap/support/notes/2016539","2016539")</f>
        <v>2016539</v>
      </c>
      <c r="D4497">
        <v>1</v>
      </c>
      <c r="E4497" t="s">
        <v>4808</v>
      </c>
      <c r="F4497" t="s">
        <v>17</v>
      </c>
    </row>
    <row r="4498" spans="1:6" x14ac:dyDescent="0.3">
      <c r="A4498" t="s">
        <v>873</v>
      </c>
      <c r="B4498" t="s">
        <v>874</v>
      </c>
      <c r="C4498" t="str">
        <f>HYPERLINK("http://service.sap.com/sap/support/notes/2018904","2018904")</f>
        <v>2018904</v>
      </c>
      <c r="D4498">
        <v>2</v>
      </c>
      <c r="E4498" t="s">
        <v>4809</v>
      </c>
      <c r="F4498" t="s">
        <v>17</v>
      </c>
    </row>
    <row r="4499" spans="1:6" x14ac:dyDescent="0.3">
      <c r="A4499" t="s">
        <v>873</v>
      </c>
      <c r="B4499" t="s">
        <v>874</v>
      </c>
      <c r="C4499" t="str">
        <f>HYPERLINK("http://service.sap.com/sap/support/notes/2033476","2033476")</f>
        <v>2033476</v>
      </c>
      <c r="D4499">
        <v>2</v>
      </c>
      <c r="E4499" t="s">
        <v>4810</v>
      </c>
      <c r="F4499" t="s">
        <v>17</v>
      </c>
    </row>
    <row r="4500" spans="1:6" x14ac:dyDescent="0.3">
      <c r="A4500" t="s">
        <v>873</v>
      </c>
      <c r="B4500" t="s">
        <v>874</v>
      </c>
      <c r="C4500" t="str">
        <f>HYPERLINK("http://service.sap.com/sap/support/notes/2059012","2059012")</f>
        <v>2059012</v>
      </c>
      <c r="D4500">
        <v>1</v>
      </c>
      <c r="E4500" t="s">
        <v>4811</v>
      </c>
      <c r="F4500" t="s">
        <v>17</v>
      </c>
    </row>
    <row r="4501" spans="1:6" x14ac:dyDescent="0.3">
      <c r="A4501" t="s">
        <v>887</v>
      </c>
      <c r="B4501" t="s">
        <v>888</v>
      </c>
      <c r="C4501" t="str">
        <f>HYPERLINK("http://service.sap.com/sap/support/notes/855538","855538")</f>
        <v>855538</v>
      </c>
      <c r="D4501">
        <v>1</v>
      </c>
      <c r="E4501" t="s">
        <v>889</v>
      </c>
      <c r="F4501" t="s">
        <v>13</v>
      </c>
    </row>
    <row r="4502" spans="1:6" x14ac:dyDescent="0.3">
      <c r="A4502" t="s">
        <v>887</v>
      </c>
      <c r="B4502" t="s">
        <v>888</v>
      </c>
      <c r="C4502" t="str">
        <f>HYPERLINK("http://service.sap.com/sap/support/notes/2017960","2017960")</f>
        <v>2017960</v>
      </c>
      <c r="D4502">
        <v>1</v>
      </c>
      <c r="E4502" t="s">
        <v>4812</v>
      </c>
      <c r="F4502" t="s">
        <v>13</v>
      </c>
    </row>
    <row r="4503" spans="1:6" x14ac:dyDescent="0.3">
      <c r="A4503" t="s">
        <v>887</v>
      </c>
      <c r="B4503" t="s">
        <v>888</v>
      </c>
      <c r="C4503" t="str">
        <f>HYPERLINK("http://service.sap.com/sap/support/notes/2034119","2034119")</f>
        <v>2034119</v>
      </c>
      <c r="D4503">
        <v>1</v>
      </c>
      <c r="E4503" t="s">
        <v>4813</v>
      </c>
      <c r="F4503" t="s">
        <v>13</v>
      </c>
    </row>
    <row r="4504" spans="1:6" x14ac:dyDescent="0.3">
      <c r="A4504" t="s">
        <v>887</v>
      </c>
      <c r="B4504" t="s">
        <v>888</v>
      </c>
      <c r="C4504" t="str">
        <f>HYPERLINK("http://service.sap.com/sap/support/notes/2036717","2036717")</f>
        <v>2036717</v>
      </c>
      <c r="D4504">
        <v>1</v>
      </c>
      <c r="E4504" t="s">
        <v>4814</v>
      </c>
      <c r="F4504" t="s">
        <v>17</v>
      </c>
    </row>
    <row r="4505" spans="1:6" x14ac:dyDescent="0.3">
      <c r="A4505" t="s">
        <v>887</v>
      </c>
      <c r="B4505" t="s">
        <v>888</v>
      </c>
      <c r="C4505" t="str">
        <f>HYPERLINK("http://service.sap.com/sap/support/notes/2038607","2038607")</f>
        <v>2038607</v>
      </c>
      <c r="D4505">
        <v>1</v>
      </c>
      <c r="E4505" t="s">
        <v>4815</v>
      </c>
      <c r="F4505" t="s">
        <v>17</v>
      </c>
    </row>
    <row r="4506" spans="1:6" x14ac:dyDescent="0.3">
      <c r="A4506" t="s">
        <v>887</v>
      </c>
      <c r="B4506" t="s">
        <v>888</v>
      </c>
      <c r="C4506" t="str">
        <f>HYPERLINK("http://service.sap.com/sap/support/notes/2055932","2055932")</f>
        <v>2055932</v>
      </c>
      <c r="D4506">
        <v>2</v>
      </c>
      <c r="E4506" t="s">
        <v>4816</v>
      </c>
      <c r="F4506" t="s">
        <v>17</v>
      </c>
    </row>
    <row r="4507" spans="1:6" x14ac:dyDescent="0.3">
      <c r="A4507" t="s">
        <v>887</v>
      </c>
      <c r="B4507" t="s">
        <v>888</v>
      </c>
      <c r="C4507" t="str">
        <f>HYPERLINK("http://service.sap.com/sap/support/notes/2062320","2062320")</f>
        <v>2062320</v>
      </c>
      <c r="D4507">
        <v>1</v>
      </c>
      <c r="E4507" t="s">
        <v>4817</v>
      </c>
      <c r="F4507" t="s">
        <v>17</v>
      </c>
    </row>
    <row r="4508" spans="1:6" x14ac:dyDescent="0.3">
      <c r="A4508" t="s">
        <v>887</v>
      </c>
      <c r="B4508" t="s">
        <v>888</v>
      </c>
      <c r="C4508" t="str">
        <f>HYPERLINK("http://service.sap.com/sap/support/notes/2064456","2064456")</f>
        <v>2064456</v>
      </c>
      <c r="D4508">
        <v>1</v>
      </c>
      <c r="E4508" t="s">
        <v>4818</v>
      </c>
      <c r="F4508" t="s">
        <v>17</v>
      </c>
    </row>
    <row r="4509" spans="1:6" x14ac:dyDescent="0.3">
      <c r="A4509" t="s">
        <v>906</v>
      </c>
      <c r="B4509" t="s">
        <v>346</v>
      </c>
      <c r="C4509" t="str">
        <f>HYPERLINK("http://service.sap.com/sap/support/notes/1470153","1470153")</f>
        <v>1470153</v>
      </c>
      <c r="D4509">
        <v>2</v>
      </c>
      <c r="E4509" t="s">
        <v>4819</v>
      </c>
      <c r="F4509" t="s">
        <v>94</v>
      </c>
    </row>
    <row r="4510" spans="1:6" x14ac:dyDescent="0.3">
      <c r="A4510" t="s">
        <v>906</v>
      </c>
      <c r="B4510" t="s">
        <v>346</v>
      </c>
      <c r="C4510" t="str">
        <f>HYPERLINK("http://service.sap.com/sap/support/notes/2015833","2015833")</f>
        <v>2015833</v>
      </c>
      <c r="D4510">
        <v>1</v>
      </c>
      <c r="E4510" t="s">
        <v>4820</v>
      </c>
      <c r="F4510" t="s">
        <v>13</v>
      </c>
    </row>
    <row r="4511" spans="1:6" x14ac:dyDescent="0.3">
      <c r="A4511" t="s">
        <v>906</v>
      </c>
      <c r="B4511" t="s">
        <v>346</v>
      </c>
      <c r="C4511" t="str">
        <f>HYPERLINK("http://service.sap.com/sap/support/notes/2062542","2062542")</f>
        <v>2062542</v>
      </c>
      <c r="D4511">
        <v>1</v>
      </c>
      <c r="E4511" t="s">
        <v>4821</v>
      </c>
      <c r="F4511" t="s">
        <v>17</v>
      </c>
    </row>
    <row r="4512" spans="1:6" x14ac:dyDescent="0.3">
      <c r="A4512" t="s">
        <v>908</v>
      </c>
      <c r="B4512" t="s">
        <v>909</v>
      </c>
      <c r="C4512" t="str">
        <f>HYPERLINK("http://service.sap.com/sap/support/notes/2017607","2017607")</f>
        <v>2017607</v>
      </c>
      <c r="D4512">
        <v>2</v>
      </c>
      <c r="E4512" t="s">
        <v>4822</v>
      </c>
      <c r="F4512" t="s">
        <v>17</v>
      </c>
    </row>
    <row r="4513" spans="1:6" x14ac:dyDescent="0.3">
      <c r="A4513" t="s">
        <v>908</v>
      </c>
      <c r="B4513" t="s">
        <v>909</v>
      </c>
      <c r="C4513" t="str">
        <f>HYPERLINK("http://service.sap.com/sap/support/notes/2028682","2028682")</f>
        <v>2028682</v>
      </c>
      <c r="D4513">
        <v>1</v>
      </c>
      <c r="E4513" t="s">
        <v>4823</v>
      </c>
      <c r="F4513" t="s">
        <v>17</v>
      </c>
    </row>
    <row r="4514" spans="1:6" x14ac:dyDescent="0.3">
      <c r="A4514" t="s">
        <v>908</v>
      </c>
      <c r="B4514" t="s">
        <v>909</v>
      </c>
      <c r="C4514" t="str">
        <f>HYPERLINK("http://service.sap.com/sap/support/notes/2030714","2030714")</f>
        <v>2030714</v>
      </c>
      <c r="D4514">
        <v>1</v>
      </c>
      <c r="E4514" t="s">
        <v>4824</v>
      </c>
      <c r="F4514" t="s">
        <v>17</v>
      </c>
    </row>
    <row r="4515" spans="1:6" x14ac:dyDescent="0.3">
      <c r="A4515" t="s">
        <v>908</v>
      </c>
      <c r="B4515" t="s">
        <v>909</v>
      </c>
      <c r="C4515" t="str">
        <f>HYPERLINK("http://service.sap.com/sap/support/notes/2034338","2034338")</f>
        <v>2034338</v>
      </c>
      <c r="D4515">
        <v>1</v>
      </c>
      <c r="E4515" t="s">
        <v>4825</v>
      </c>
      <c r="F4515" t="s">
        <v>17</v>
      </c>
    </row>
    <row r="4516" spans="1:6" x14ac:dyDescent="0.3">
      <c r="A4516" t="s">
        <v>908</v>
      </c>
      <c r="B4516" t="s">
        <v>909</v>
      </c>
      <c r="C4516" t="str">
        <f>HYPERLINK("http://service.sap.com/sap/support/notes/2034690","2034690")</f>
        <v>2034690</v>
      </c>
      <c r="D4516">
        <v>1</v>
      </c>
      <c r="E4516" t="s">
        <v>4826</v>
      </c>
      <c r="F4516" t="s">
        <v>17</v>
      </c>
    </row>
    <row r="4517" spans="1:6" x14ac:dyDescent="0.3">
      <c r="A4517" t="s">
        <v>908</v>
      </c>
      <c r="B4517" t="s">
        <v>909</v>
      </c>
      <c r="C4517" t="str">
        <f>HYPERLINK("http://service.sap.com/sap/support/notes/2035063","2035063")</f>
        <v>2035063</v>
      </c>
      <c r="D4517">
        <v>2</v>
      </c>
      <c r="E4517" t="s">
        <v>4827</v>
      </c>
      <c r="F4517" t="s">
        <v>17</v>
      </c>
    </row>
    <row r="4518" spans="1:6" x14ac:dyDescent="0.3">
      <c r="A4518" t="s">
        <v>908</v>
      </c>
      <c r="B4518" t="s">
        <v>909</v>
      </c>
      <c r="C4518" t="str">
        <f>HYPERLINK("http://service.sap.com/sap/support/notes/2036787","2036787")</f>
        <v>2036787</v>
      </c>
      <c r="D4518">
        <v>1</v>
      </c>
      <c r="E4518" t="s">
        <v>4828</v>
      </c>
      <c r="F4518" t="s">
        <v>17</v>
      </c>
    </row>
    <row r="4519" spans="1:6" x14ac:dyDescent="0.3">
      <c r="A4519" t="s">
        <v>908</v>
      </c>
      <c r="B4519" t="s">
        <v>909</v>
      </c>
      <c r="C4519" t="str">
        <f>HYPERLINK("http://service.sap.com/sap/support/notes/2037835","2037835")</f>
        <v>2037835</v>
      </c>
      <c r="D4519">
        <v>1</v>
      </c>
      <c r="E4519" t="s">
        <v>4829</v>
      </c>
      <c r="F4519" t="s">
        <v>17</v>
      </c>
    </row>
    <row r="4520" spans="1:6" x14ac:dyDescent="0.3">
      <c r="A4520" t="s">
        <v>908</v>
      </c>
      <c r="B4520" t="s">
        <v>909</v>
      </c>
      <c r="C4520" t="str">
        <f>HYPERLINK("http://service.sap.com/sap/support/notes/2039574","2039574")</f>
        <v>2039574</v>
      </c>
      <c r="D4520">
        <v>2</v>
      </c>
      <c r="E4520" t="s">
        <v>4830</v>
      </c>
      <c r="F4520" t="s">
        <v>17</v>
      </c>
    </row>
    <row r="4521" spans="1:6" x14ac:dyDescent="0.3">
      <c r="A4521" t="s">
        <v>908</v>
      </c>
      <c r="B4521" t="s">
        <v>909</v>
      </c>
      <c r="C4521" t="str">
        <f>HYPERLINK("http://service.sap.com/sap/support/notes/2046946","2046946")</f>
        <v>2046946</v>
      </c>
      <c r="D4521">
        <v>1</v>
      </c>
      <c r="E4521" t="s">
        <v>4831</v>
      </c>
      <c r="F4521" t="s">
        <v>17</v>
      </c>
    </row>
    <row r="4522" spans="1:6" x14ac:dyDescent="0.3">
      <c r="A4522" t="s">
        <v>908</v>
      </c>
      <c r="B4522" t="s">
        <v>909</v>
      </c>
      <c r="C4522" t="str">
        <f>HYPERLINK("http://service.sap.com/sap/support/notes/2047344","2047344")</f>
        <v>2047344</v>
      </c>
      <c r="D4522">
        <v>1</v>
      </c>
      <c r="E4522" t="s">
        <v>4832</v>
      </c>
      <c r="F4522" t="s">
        <v>17</v>
      </c>
    </row>
    <row r="4523" spans="1:6" x14ac:dyDescent="0.3">
      <c r="A4523" t="s">
        <v>908</v>
      </c>
      <c r="B4523" t="s">
        <v>909</v>
      </c>
      <c r="C4523" t="str">
        <f>HYPERLINK("http://service.sap.com/sap/support/notes/2049600","2049600")</f>
        <v>2049600</v>
      </c>
      <c r="D4523">
        <v>1</v>
      </c>
      <c r="E4523" t="s">
        <v>4833</v>
      </c>
      <c r="F4523" t="s">
        <v>17</v>
      </c>
    </row>
    <row r="4524" spans="1:6" x14ac:dyDescent="0.3">
      <c r="A4524" t="s">
        <v>908</v>
      </c>
      <c r="B4524" t="s">
        <v>909</v>
      </c>
      <c r="C4524" t="str">
        <f>HYPERLINK("http://service.sap.com/sap/support/notes/2053251","2053251")</f>
        <v>2053251</v>
      </c>
      <c r="D4524">
        <v>1</v>
      </c>
      <c r="E4524" t="s">
        <v>4834</v>
      </c>
      <c r="F4524" t="s">
        <v>17</v>
      </c>
    </row>
    <row r="4525" spans="1:6" x14ac:dyDescent="0.3">
      <c r="A4525" t="s">
        <v>908</v>
      </c>
      <c r="B4525" t="s">
        <v>909</v>
      </c>
      <c r="C4525" t="str">
        <f>HYPERLINK("http://service.sap.com/sap/support/notes/2058927","2058927")</f>
        <v>2058927</v>
      </c>
      <c r="D4525">
        <v>2</v>
      </c>
      <c r="E4525" t="s">
        <v>4835</v>
      </c>
      <c r="F4525" t="s">
        <v>17</v>
      </c>
    </row>
    <row r="4526" spans="1:6" x14ac:dyDescent="0.3">
      <c r="A4526" t="s">
        <v>2223</v>
      </c>
      <c r="B4526" t="s">
        <v>2224</v>
      </c>
      <c r="C4526" t="str">
        <f>HYPERLINK("http://service.sap.com/sap/support/notes/2043087","2043087")</f>
        <v>2043087</v>
      </c>
      <c r="D4526">
        <v>1</v>
      </c>
      <c r="E4526" t="s">
        <v>4836</v>
      </c>
      <c r="F4526" t="s">
        <v>17</v>
      </c>
    </row>
    <row r="4527" spans="1:6" x14ac:dyDescent="0.3">
      <c r="A4527" t="s">
        <v>4837</v>
      </c>
      <c r="B4527" t="s">
        <v>4838</v>
      </c>
      <c r="C4527" t="str">
        <f>HYPERLINK("http://service.sap.com/sap/support/notes/2049729","2049729")</f>
        <v>2049729</v>
      </c>
      <c r="D4527">
        <v>3</v>
      </c>
      <c r="E4527" t="s">
        <v>4839</v>
      </c>
      <c r="F4527" t="s">
        <v>17</v>
      </c>
    </row>
    <row r="4528" spans="1:6" x14ac:dyDescent="0.3">
      <c r="A4528" t="s">
        <v>4837</v>
      </c>
      <c r="B4528" t="s">
        <v>4838</v>
      </c>
      <c r="C4528" t="str">
        <f>HYPERLINK("http://service.sap.com/sap/support/notes/2055422","2055422")</f>
        <v>2055422</v>
      </c>
      <c r="D4528">
        <v>2</v>
      </c>
      <c r="E4528" t="s">
        <v>4839</v>
      </c>
      <c r="F4528" t="s">
        <v>17</v>
      </c>
    </row>
    <row r="4529" spans="1:6" x14ac:dyDescent="0.3">
      <c r="A4529" t="s">
        <v>933</v>
      </c>
      <c r="B4529" t="s">
        <v>733</v>
      </c>
      <c r="C4529" t="str">
        <f>HYPERLINK("http://service.sap.com/sap/support/notes/1893789","1893789")</f>
        <v>1893789</v>
      </c>
      <c r="D4529">
        <v>3</v>
      </c>
      <c r="E4529" t="s">
        <v>4840</v>
      </c>
      <c r="F4529" t="s">
        <v>17</v>
      </c>
    </row>
    <row r="4530" spans="1:6" x14ac:dyDescent="0.3">
      <c r="A4530" t="s">
        <v>933</v>
      </c>
      <c r="B4530" t="s">
        <v>733</v>
      </c>
      <c r="C4530" t="str">
        <f>HYPERLINK("http://service.sap.com/sap/support/notes/2013583","2013583")</f>
        <v>2013583</v>
      </c>
      <c r="D4530">
        <v>1</v>
      </c>
      <c r="E4530" t="s">
        <v>4841</v>
      </c>
      <c r="F4530" t="s">
        <v>17</v>
      </c>
    </row>
    <row r="4531" spans="1:6" x14ac:dyDescent="0.3">
      <c r="A4531" t="s">
        <v>933</v>
      </c>
      <c r="B4531" t="s">
        <v>733</v>
      </c>
      <c r="C4531" t="str">
        <f>HYPERLINK("http://service.sap.com/sap/support/notes/2033331","2033331")</f>
        <v>2033331</v>
      </c>
      <c r="D4531">
        <v>1</v>
      </c>
      <c r="E4531" t="s">
        <v>4842</v>
      </c>
      <c r="F4531" t="s">
        <v>17</v>
      </c>
    </row>
    <row r="4532" spans="1:6" x14ac:dyDescent="0.3">
      <c r="A4532" t="s">
        <v>933</v>
      </c>
      <c r="B4532" t="s">
        <v>733</v>
      </c>
      <c r="C4532" t="str">
        <f>HYPERLINK("http://service.sap.com/sap/support/notes/2034540","2034540")</f>
        <v>2034540</v>
      </c>
      <c r="D4532">
        <v>1</v>
      </c>
      <c r="E4532" t="s">
        <v>4843</v>
      </c>
      <c r="F4532" t="s">
        <v>17</v>
      </c>
    </row>
    <row r="4533" spans="1:6" x14ac:dyDescent="0.3">
      <c r="A4533" t="s">
        <v>933</v>
      </c>
      <c r="B4533" t="s">
        <v>733</v>
      </c>
      <c r="C4533" t="str">
        <f>HYPERLINK("http://service.sap.com/sap/support/notes/2049408","2049408")</f>
        <v>2049408</v>
      </c>
      <c r="D4533">
        <v>3</v>
      </c>
      <c r="E4533" t="s">
        <v>4844</v>
      </c>
      <c r="F4533" t="s">
        <v>17</v>
      </c>
    </row>
    <row r="4534" spans="1:6" x14ac:dyDescent="0.3">
      <c r="A4534" t="s">
        <v>3116</v>
      </c>
      <c r="B4534" t="s">
        <v>2089</v>
      </c>
      <c r="C4534" t="str">
        <f>HYPERLINK("http://service.sap.com/sap/support/notes/1821559","1821559")</f>
        <v>1821559</v>
      </c>
      <c r="D4534">
        <v>2</v>
      </c>
      <c r="E4534" t="s">
        <v>4845</v>
      </c>
      <c r="F4534" t="s">
        <v>17</v>
      </c>
    </row>
    <row r="4535" spans="1:6" x14ac:dyDescent="0.3">
      <c r="A4535" t="s">
        <v>3116</v>
      </c>
      <c r="B4535" t="s">
        <v>2089</v>
      </c>
      <c r="C4535" t="str">
        <f>HYPERLINK("http://service.sap.com/sap/support/notes/1907387","1907387")</f>
        <v>1907387</v>
      </c>
      <c r="D4535">
        <v>2</v>
      </c>
      <c r="E4535" t="s">
        <v>4846</v>
      </c>
      <c r="F4535" t="s">
        <v>17</v>
      </c>
    </row>
    <row r="4536" spans="1:6" x14ac:dyDescent="0.3">
      <c r="A4536" t="s">
        <v>942</v>
      </c>
      <c r="B4536" t="s">
        <v>943</v>
      </c>
      <c r="C4536" t="str">
        <f>HYPERLINK("http://service.sap.com/sap/support/notes/2025291","2025291")</f>
        <v>2025291</v>
      </c>
      <c r="D4536">
        <v>3</v>
      </c>
      <c r="E4536" t="s">
        <v>4847</v>
      </c>
      <c r="F4536" t="s">
        <v>11</v>
      </c>
    </row>
    <row r="4537" spans="1:6" x14ac:dyDescent="0.3">
      <c r="A4537" t="s">
        <v>942</v>
      </c>
      <c r="B4537" t="s">
        <v>943</v>
      </c>
      <c r="C4537" t="str">
        <f>HYPERLINK("http://service.sap.com/sap/support/notes/2026997","2026997")</f>
        <v>2026997</v>
      </c>
      <c r="D4537">
        <v>1</v>
      </c>
      <c r="E4537" t="s">
        <v>4848</v>
      </c>
      <c r="F4537" t="s">
        <v>17</v>
      </c>
    </row>
    <row r="4538" spans="1:6" x14ac:dyDescent="0.3">
      <c r="A4538" t="s">
        <v>942</v>
      </c>
      <c r="B4538" t="s">
        <v>943</v>
      </c>
      <c r="C4538" t="str">
        <f>HYPERLINK("http://service.sap.com/sap/support/notes/2029899","2029899")</f>
        <v>2029899</v>
      </c>
      <c r="D4538">
        <v>1</v>
      </c>
      <c r="E4538" t="s">
        <v>4849</v>
      </c>
      <c r="F4538" t="s">
        <v>17</v>
      </c>
    </row>
    <row r="4539" spans="1:6" x14ac:dyDescent="0.3">
      <c r="A4539" t="s">
        <v>942</v>
      </c>
      <c r="B4539" t="s">
        <v>943</v>
      </c>
      <c r="C4539" t="str">
        <f>HYPERLINK("http://service.sap.com/sap/support/notes/2031073","2031073")</f>
        <v>2031073</v>
      </c>
      <c r="D4539">
        <v>1</v>
      </c>
      <c r="E4539" t="s">
        <v>4850</v>
      </c>
      <c r="F4539" t="s">
        <v>17</v>
      </c>
    </row>
    <row r="4540" spans="1:6" x14ac:dyDescent="0.3">
      <c r="A4540" t="s">
        <v>942</v>
      </c>
      <c r="B4540" t="s">
        <v>943</v>
      </c>
      <c r="C4540" t="str">
        <f>HYPERLINK("http://service.sap.com/sap/support/notes/2034781","2034781")</f>
        <v>2034781</v>
      </c>
      <c r="D4540">
        <v>6</v>
      </c>
      <c r="E4540" t="s">
        <v>4851</v>
      </c>
      <c r="F4540" t="s">
        <v>17</v>
      </c>
    </row>
    <row r="4541" spans="1:6" x14ac:dyDescent="0.3">
      <c r="A4541" t="s">
        <v>942</v>
      </c>
      <c r="B4541" t="s">
        <v>943</v>
      </c>
      <c r="C4541" t="str">
        <f>HYPERLINK("http://service.sap.com/sap/support/notes/2034866","2034866")</f>
        <v>2034866</v>
      </c>
      <c r="D4541">
        <v>2</v>
      </c>
      <c r="E4541" t="s">
        <v>4852</v>
      </c>
      <c r="F4541" t="s">
        <v>17</v>
      </c>
    </row>
    <row r="4542" spans="1:6" x14ac:dyDescent="0.3">
      <c r="A4542" t="s">
        <v>942</v>
      </c>
      <c r="B4542" t="s">
        <v>943</v>
      </c>
      <c r="C4542" t="str">
        <f>HYPERLINK("http://service.sap.com/sap/support/notes/2037458","2037458")</f>
        <v>2037458</v>
      </c>
      <c r="D4542">
        <v>2</v>
      </c>
      <c r="E4542" t="s">
        <v>4853</v>
      </c>
      <c r="F4542" t="s">
        <v>17</v>
      </c>
    </row>
    <row r="4543" spans="1:6" x14ac:dyDescent="0.3">
      <c r="A4543" t="s">
        <v>942</v>
      </c>
      <c r="B4543" t="s">
        <v>943</v>
      </c>
      <c r="C4543" t="str">
        <f>HYPERLINK("http://service.sap.com/sap/support/notes/2038691","2038691")</f>
        <v>2038691</v>
      </c>
      <c r="D4543">
        <v>3</v>
      </c>
      <c r="E4543" t="s">
        <v>4854</v>
      </c>
      <c r="F4543" t="s">
        <v>11</v>
      </c>
    </row>
    <row r="4544" spans="1:6" x14ac:dyDescent="0.3">
      <c r="A4544" t="s">
        <v>942</v>
      </c>
      <c r="B4544" t="s">
        <v>943</v>
      </c>
      <c r="C4544" t="str">
        <f>HYPERLINK("http://service.sap.com/sap/support/notes/2039384","2039384")</f>
        <v>2039384</v>
      </c>
      <c r="D4544">
        <v>1</v>
      </c>
      <c r="E4544" t="s">
        <v>4855</v>
      </c>
      <c r="F4544" t="s">
        <v>17</v>
      </c>
    </row>
    <row r="4545" spans="1:6" x14ac:dyDescent="0.3">
      <c r="A4545" t="s">
        <v>942</v>
      </c>
      <c r="B4545" t="s">
        <v>943</v>
      </c>
      <c r="C4545" t="str">
        <f>HYPERLINK("http://service.sap.com/sap/support/notes/2043136","2043136")</f>
        <v>2043136</v>
      </c>
      <c r="D4545">
        <v>1</v>
      </c>
      <c r="E4545" t="s">
        <v>4856</v>
      </c>
      <c r="F4545" t="s">
        <v>17</v>
      </c>
    </row>
    <row r="4546" spans="1:6" x14ac:dyDescent="0.3">
      <c r="A4546" t="s">
        <v>942</v>
      </c>
      <c r="B4546" t="s">
        <v>943</v>
      </c>
      <c r="C4546" t="str">
        <f>HYPERLINK("http://service.sap.com/sap/support/notes/2044639","2044639")</f>
        <v>2044639</v>
      </c>
      <c r="D4546">
        <v>1</v>
      </c>
      <c r="E4546" t="s">
        <v>4857</v>
      </c>
      <c r="F4546" t="s">
        <v>17</v>
      </c>
    </row>
    <row r="4547" spans="1:6" x14ac:dyDescent="0.3">
      <c r="A4547" t="s">
        <v>942</v>
      </c>
      <c r="B4547" t="s">
        <v>943</v>
      </c>
      <c r="C4547" t="str">
        <f>HYPERLINK("http://service.sap.com/sap/support/notes/2045214","2045214")</f>
        <v>2045214</v>
      </c>
      <c r="D4547">
        <v>2</v>
      </c>
      <c r="E4547" t="s">
        <v>4858</v>
      </c>
      <c r="F4547" t="s">
        <v>17</v>
      </c>
    </row>
    <row r="4548" spans="1:6" x14ac:dyDescent="0.3">
      <c r="A4548" t="s">
        <v>942</v>
      </c>
      <c r="B4548" t="s">
        <v>943</v>
      </c>
      <c r="C4548" t="str">
        <f>HYPERLINK("http://service.sap.com/sap/support/notes/2051342","2051342")</f>
        <v>2051342</v>
      </c>
      <c r="D4548">
        <v>4</v>
      </c>
      <c r="E4548" t="s">
        <v>4859</v>
      </c>
      <c r="F4548" t="s">
        <v>17</v>
      </c>
    </row>
    <row r="4549" spans="1:6" x14ac:dyDescent="0.3">
      <c r="A4549" t="s">
        <v>942</v>
      </c>
      <c r="B4549" t="s">
        <v>943</v>
      </c>
      <c r="C4549" t="str">
        <f>HYPERLINK("http://service.sap.com/sap/support/notes/2056589","2056589")</f>
        <v>2056589</v>
      </c>
      <c r="D4549">
        <v>1</v>
      </c>
      <c r="E4549" t="s">
        <v>4860</v>
      </c>
      <c r="F4549" t="s">
        <v>17</v>
      </c>
    </row>
    <row r="4550" spans="1:6" x14ac:dyDescent="0.3">
      <c r="A4550" t="s">
        <v>942</v>
      </c>
      <c r="B4550" t="s">
        <v>943</v>
      </c>
      <c r="C4550" t="str">
        <f>HYPERLINK("http://service.sap.com/sap/support/notes/2061805","2061805")</f>
        <v>2061805</v>
      </c>
      <c r="D4550">
        <v>3</v>
      </c>
      <c r="E4550" t="s">
        <v>4861</v>
      </c>
      <c r="F4550" t="s">
        <v>17</v>
      </c>
    </row>
    <row r="4551" spans="1:6" x14ac:dyDescent="0.3">
      <c r="A4551" t="s">
        <v>942</v>
      </c>
      <c r="B4551" t="s">
        <v>943</v>
      </c>
      <c r="C4551" t="str">
        <f>HYPERLINK("http://service.sap.com/sap/support/notes/2062083","2062083")</f>
        <v>2062083</v>
      </c>
      <c r="D4551">
        <v>1</v>
      </c>
      <c r="E4551" t="s">
        <v>4862</v>
      </c>
      <c r="F4551" t="s">
        <v>17</v>
      </c>
    </row>
    <row r="4552" spans="1:6" x14ac:dyDescent="0.3">
      <c r="A4552" t="s">
        <v>978</v>
      </c>
      <c r="B4552" t="s">
        <v>979</v>
      </c>
      <c r="C4552" t="str">
        <f>HYPERLINK("http://service.sap.com/sap/support/notes/1268032","1268032")</f>
        <v>1268032</v>
      </c>
      <c r="D4552">
        <v>1</v>
      </c>
      <c r="E4552" t="s">
        <v>3137</v>
      </c>
      <c r="F4552" t="s">
        <v>11</v>
      </c>
    </row>
    <row r="4553" spans="1:6" x14ac:dyDescent="0.3">
      <c r="A4553" t="s">
        <v>978</v>
      </c>
      <c r="B4553" t="s">
        <v>979</v>
      </c>
      <c r="C4553" t="str">
        <f>HYPERLINK("http://service.sap.com/sap/support/notes/1834693","1834693")</f>
        <v>1834693</v>
      </c>
      <c r="D4553">
        <v>4</v>
      </c>
      <c r="E4553" t="s">
        <v>4863</v>
      </c>
      <c r="F4553" t="s">
        <v>17</v>
      </c>
    </row>
    <row r="4554" spans="1:6" x14ac:dyDescent="0.3">
      <c r="A4554" t="s">
        <v>978</v>
      </c>
      <c r="B4554" t="s">
        <v>979</v>
      </c>
      <c r="C4554" t="str">
        <f>HYPERLINK("http://service.sap.com/sap/support/notes/1865874","1865874")</f>
        <v>1865874</v>
      </c>
      <c r="D4554">
        <v>2</v>
      </c>
      <c r="E4554" t="s">
        <v>4864</v>
      </c>
      <c r="F4554" t="s">
        <v>17</v>
      </c>
    </row>
    <row r="4555" spans="1:6" x14ac:dyDescent="0.3">
      <c r="A4555" t="s">
        <v>978</v>
      </c>
      <c r="B4555" t="s">
        <v>979</v>
      </c>
      <c r="C4555" t="str">
        <f>HYPERLINK("http://service.sap.com/sap/support/notes/2006695","2006695")</f>
        <v>2006695</v>
      </c>
      <c r="D4555">
        <v>2</v>
      </c>
      <c r="E4555" t="s">
        <v>4865</v>
      </c>
      <c r="F4555" t="s">
        <v>17</v>
      </c>
    </row>
    <row r="4556" spans="1:6" x14ac:dyDescent="0.3">
      <c r="A4556" t="s">
        <v>978</v>
      </c>
      <c r="B4556" t="s">
        <v>979</v>
      </c>
      <c r="C4556" t="str">
        <f>HYPERLINK("http://service.sap.com/sap/support/notes/2008116","2008116")</f>
        <v>2008116</v>
      </c>
      <c r="D4556">
        <v>2</v>
      </c>
      <c r="E4556" t="s">
        <v>4866</v>
      </c>
      <c r="F4556" t="s">
        <v>17</v>
      </c>
    </row>
    <row r="4557" spans="1:6" x14ac:dyDescent="0.3">
      <c r="A4557" t="s">
        <v>978</v>
      </c>
      <c r="B4557" t="s">
        <v>979</v>
      </c>
      <c r="C4557" t="str">
        <f>HYPERLINK("http://service.sap.com/sap/support/notes/2014494","2014494")</f>
        <v>2014494</v>
      </c>
      <c r="D4557">
        <v>2</v>
      </c>
      <c r="E4557" t="s">
        <v>4867</v>
      </c>
      <c r="F4557" t="s">
        <v>17</v>
      </c>
    </row>
    <row r="4558" spans="1:6" x14ac:dyDescent="0.3">
      <c r="A4558" t="s">
        <v>978</v>
      </c>
      <c r="B4558" t="s">
        <v>979</v>
      </c>
      <c r="C4558" t="str">
        <f>HYPERLINK("http://service.sap.com/sap/support/notes/2017832","2017832")</f>
        <v>2017832</v>
      </c>
      <c r="D4558">
        <v>3</v>
      </c>
      <c r="E4558" t="s">
        <v>4868</v>
      </c>
      <c r="F4558" t="s">
        <v>17</v>
      </c>
    </row>
    <row r="4559" spans="1:6" x14ac:dyDescent="0.3">
      <c r="A4559" t="s">
        <v>978</v>
      </c>
      <c r="B4559" t="s">
        <v>979</v>
      </c>
      <c r="C4559" t="str">
        <f>HYPERLINK("http://service.sap.com/sap/support/notes/2021558","2021558")</f>
        <v>2021558</v>
      </c>
      <c r="D4559">
        <v>4</v>
      </c>
      <c r="E4559" t="s">
        <v>4869</v>
      </c>
      <c r="F4559" t="s">
        <v>13</v>
      </c>
    </row>
    <row r="4560" spans="1:6" x14ac:dyDescent="0.3">
      <c r="A4560" t="s">
        <v>978</v>
      </c>
      <c r="B4560" t="s">
        <v>979</v>
      </c>
      <c r="C4560" t="str">
        <f>HYPERLINK("http://service.sap.com/sap/support/notes/2023470","2023470")</f>
        <v>2023470</v>
      </c>
      <c r="D4560">
        <v>7</v>
      </c>
      <c r="E4560" t="s">
        <v>4870</v>
      </c>
      <c r="F4560" t="s">
        <v>17</v>
      </c>
    </row>
    <row r="4561" spans="1:6" x14ac:dyDescent="0.3">
      <c r="A4561" t="s">
        <v>978</v>
      </c>
      <c r="B4561" t="s">
        <v>979</v>
      </c>
      <c r="C4561" t="str">
        <f>HYPERLINK("http://service.sap.com/sap/support/notes/2025577","2025577")</f>
        <v>2025577</v>
      </c>
      <c r="D4561">
        <v>3</v>
      </c>
      <c r="E4561" t="s">
        <v>4871</v>
      </c>
      <c r="F4561" t="s">
        <v>17</v>
      </c>
    </row>
    <row r="4562" spans="1:6" x14ac:dyDescent="0.3">
      <c r="A4562" t="s">
        <v>978</v>
      </c>
      <c r="B4562" t="s">
        <v>979</v>
      </c>
      <c r="C4562" t="str">
        <f>HYPERLINK("http://service.sap.com/sap/support/notes/2025582","2025582")</f>
        <v>2025582</v>
      </c>
      <c r="D4562">
        <v>2</v>
      </c>
      <c r="E4562" t="s">
        <v>4872</v>
      </c>
      <c r="F4562" t="s">
        <v>17</v>
      </c>
    </row>
    <row r="4563" spans="1:6" x14ac:dyDescent="0.3">
      <c r="A4563" t="s">
        <v>978</v>
      </c>
      <c r="B4563" t="s">
        <v>979</v>
      </c>
      <c r="C4563" t="str">
        <f>HYPERLINK("http://service.sap.com/sap/support/notes/2026451","2026451")</f>
        <v>2026451</v>
      </c>
      <c r="D4563">
        <v>3</v>
      </c>
      <c r="E4563" t="s">
        <v>4873</v>
      </c>
      <c r="F4563" t="s">
        <v>17</v>
      </c>
    </row>
    <row r="4564" spans="1:6" x14ac:dyDescent="0.3">
      <c r="A4564" t="s">
        <v>978</v>
      </c>
      <c r="B4564" t="s">
        <v>979</v>
      </c>
      <c r="C4564" t="str">
        <f>HYPERLINK("http://service.sap.com/sap/support/notes/2031748","2031748")</f>
        <v>2031748</v>
      </c>
      <c r="D4564">
        <v>2</v>
      </c>
      <c r="E4564" t="s">
        <v>4874</v>
      </c>
      <c r="F4564" t="s">
        <v>11</v>
      </c>
    </row>
    <row r="4565" spans="1:6" x14ac:dyDescent="0.3">
      <c r="A4565" t="s">
        <v>978</v>
      </c>
      <c r="B4565" t="s">
        <v>979</v>
      </c>
      <c r="C4565" t="str">
        <f>HYPERLINK("http://service.sap.com/sap/support/notes/2033539","2033539")</f>
        <v>2033539</v>
      </c>
      <c r="D4565">
        <v>8</v>
      </c>
      <c r="E4565" t="s">
        <v>4875</v>
      </c>
      <c r="F4565" t="s">
        <v>11</v>
      </c>
    </row>
    <row r="4566" spans="1:6" x14ac:dyDescent="0.3">
      <c r="A4566" t="s">
        <v>978</v>
      </c>
      <c r="B4566" t="s">
        <v>979</v>
      </c>
      <c r="C4566" t="str">
        <f>HYPERLINK("http://service.sap.com/sap/support/notes/2035245","2035245")</f>
        <v>2035245</v>
      </c>
      <c r="D4566">
        <v>4</v>
      </c>
      <c r="E4566" t="s">
        <v>4876</v>
      </c>
      <c r="F4566" t="s">
        <v>17</v>
      </c>
    </row>
    <row r="4567" spans="1:6" x14ac:dyDescent="0.3">
      <c r="A4567" t="s">
        <v>978</v>
      </c>
      <c r="B4567" t="s">
        <v>979</v>
      </c>
      <c r="C4567" t="str">
        <f>HYPERLINK("http://service.sap.com/sap/support/notes/2039362","2039362")</f>
        <v>2039362</v>
      </c>
      <c r="D4567">
        <v>2</v>
      </c>
      <c r="E4567" t="s">
        <v>4877</v>
      </c>
      <c r="F4567" t="s">
        <v>17</v>
      </c>
    </row>
    <row r="4568" spans="1:6" x14ac:dyDescent="0.3">
      <c r="A4568" t="s">
        <v>978</v>
      </c>
      <c r="B4568" t="s">
        <v>979</v>
      </c>
      <c r="C4568" t="str">
        <f>HYPERLINK("http://service.sap.com/sap/support/notes/2045435","2045435")</f>
        <v>2045435</v>
      </c>
      <c r="D4568">
        <v>2</v>
      </c>
      <c r="E4568" t="s">
        <v>4878</v>
      </c>
      <c r="F4568" t="s">
        <v>17</v>
      </c>
    </row>
    <row r="4569" spans="1:6" x14ac:dyDescent="0.3">
      <c r="A4569" t="s">
        <v>978</v>
      </c>
      <c r="B4569" t="s">
        <v>979</v>
      </c>
      <c r="C4569" t="str">
        <f>HYPERLINK("http://service.sap.com/sap/support/notes/2045486","2045486")</f>
        <v>2045486</v>
      </c>
      <c r="D4569">
        <v>10</v>
      </c>
      <c r="E4569" t="s">
        <v>4879</v>
      </c>
      <c r="F4569" t="s">
        <v>17</v>
      </c>
    </row>
    <row r="4570" spans="1:6" x14ac:dyDescent="0.3">
      <c r="A4570" t="s">
        <v>978</v>
      </c>
      <c r="B4570" t="s">
        <v>979</v>
      </c>
      <c r="C4570" t="str">
        <f>HYPERLINK("http://service.sap.com/sap/support/notes/2046011","2046011")</f>
        <v>2046011</v>
      </c>
      <c r="D4570">
        <v>1</v>
      </c>
      <c r="E4570" t="s">
        <v>4880</v>
      </c>
      <c r="F4570" t="s">
        <v>17</v>
      </c>
    </row>
    <row r="4571" spans="1:6" x14ac:dyDescent="0.3">
      <c r="A4571" t="s">
        <v>978</v>
      </c>
      <c r="B4571" t="s">
        <v>979</v>
      </c>
      <c r="C4571" t="str">
        <f>HYPERLINK("http://service.sap.com/sap/support/notes/2047357","2047357")</f>
        <v>2047357</v>
      </c>
      <c r="D4571">
        <v>2</v>
      </c>
      <c r="E4571" t="s">
        <v>4881</v>
      </c>
      <c r="F4571" t="s">
        <v>17</v>
      </c>
    </row>
    <row r="4572" spans="1:6" x14ac:dyDescent="0.3">
      <c r="A4572" t="s">
        <v>978</v>
      </c>
      <c r="B4572" t="s">
        <v>979</v>
      </c>
      <c r="C4572" t="str">
        <f>HYPERLINK("http://service.sap.com/sap/support/notes/2048164","2048164")</f>
        <v>2048164</v>
      </c>
      <c r="D4572">
        <v>2</v>
      </c>
      <c r="E4572" t="s">
        <v>4882</v>
      </c>
      <c r="F4572" t="s">
        <v>17</v>
      </c>
    </row>
    <row r="4573" spans="1:6" x14ac:dyDescent="0.3">
      <c r="A4573" t="s">
        <v>978</v>
      </c>
      <c r="B4573" t="s">
        <v>979</v>
      </c>
      <c r="C4573" t="str">
        <f>HYPERLINK("http://service.sap.com/sap/support/notes/2053986","2053986")</f>
        <v>2053986</v>
      </c>
      <c r="D4573">
        <v>3</v>
      </c>
      <c r="E4573" t="s">
        <v>4883</v>
      </c>
      <c r="F4573" t="s">
        <v>17</v>
      </c>
    </row>
    <row r="4574" spans="1:6" x14ac:dyDescent="0.3">
      <c r="A4574" t="s">
        <v>978</v>
      </c>
      <c r="B4574" t="s">
        <v>979</v>
      </c>
      <c r="C4574" t="str">
        <f>HYPERLINK("http://service.sap.com/sap/support/notes/2055248","2055248")</f>
        <v>2055248</v>
      </c>
      <c r="D4574">
        <v>1</v>
      </c>
      <c r="E4574" t="s">
        <v>4884</v>
      </c>
      <c r="F4574" t="s">
        <v>17</v>
      </c>
    </row>
    <row r="4575" spans="1:6" x14ac:dyDescent="0.3">
      <c r="A4575" t="s">
        <v>978</v>
      </c>
      <c r="B4575" t="s">
        <v>979</v>
      </c>
      <c r="C4575" t="str">
        <f>HYPERLINK("http://service.sap.com/sap/support/notes/2055403","2055403")</f>
        <v>2055403</v>
      </c>
      <c r="D4575">
        <v>2</v>
      </c>
      <c r="E4575" t="s">
        <v>4885</v>
      </c>
      <c r="F4575" t="s">
        <v>17</v>
      </c>
    </row>
    <row r="4576" spans="1:6" x14ac:dyDescent="0.3">
      <c r="A4576" t="s">
        <v>978</v>
      </c>
      <c r="B4576" t="s">
        <v>979</v>
      </c>
      <c r="C4576" t="str">
        <f>HYPERLINK("http://service.sap.com/sap/support/notes/2056681","2056681")</f>
        <v>2056681</v>
      </c>
      <c r="D4576">
        <v>1</v>
      </c>
      <c r="E4576" t="s">
        <v>4886</v>
      </c>
      <c r="F4576" t="s">
        <v>17</v>
      </c>
    </row>
    <row r="4577" spans="1:6" x14ac:dyDescent="0.3">
      <c r="A4577" t="s">
        <v>978</v>
      </c>
      <c r="B4577" t="s">
        <v>979</v>
      </c>
      <c r="C4577" t="str">
        <f>HYPERLINK("http://service.sap.com/sap/support/notes/2058539","2058539")</f>
        <v>2058539</v>
      </c>
      <c r="D4577">
        <v>2</v>
      </c>
      <c r="E4577" t="s">
        <v>4887</v>
      </c>
      <c r="F4577" t="s">
        <v>17</v>
      </c>
    </row>
    <row r="4578" spans="1:6" x14ac:dyDescent="0.3">
      <c r="A4578" t="s">
        <v>978</v>
      </c>
      <c r="B4578" t="s">
        <v>979</v>
      </c>
      <c r="C4578" t="str">
        <f>HYPERLINK("http://service.sap.com/sap/support/notes/2061199","2061199")</f>
        <v>2061199</v>
      </c>
      <c r="D4578">
        <v>1</v>
      </c>
      <c r="E4578" t="s">
        <v>4888</v>
      </c>
      <c r="F4578" t="s">
        <v>17</v>
      </c>
    </row>
    <row r="4579" spans="1:6" x14ac:dyDescent="0.3">
      <c r="A4579" t="s">
        <v>978</v>
      </c>
      <c r="B4579" t="s">
        <v>979</v>
      </c>
      <c r="C4579" t="str">
        <f>HYPERLINK("http://service.sap.com/sap/support/notes/2061399","2061399")</f>
        <v>2061399</v>
      </c>
      <c r="D4579">
        <v>1</v>
      </c>
      <c r="E4579" t="s">
        <v>4889</v>
      </c>
      <c r="F4579" t="s">
        <v>17</v>
      </c>
    </row>
    <row r="4580" spans="1:6" x14ac:dyDescent="0.3">
      <c r="A4580" t="s">
        <v>978</v>
      </c>
      <c r="B4580" t="s">
        <v>979</v>
      </c>
      <c r="C4580" t="str">
        <f>HYPERLINK("http://service.sap.com/sap/support/notes/2063633","2063633")</f>
        <v>2063633</v>
      </c>
      <c r="D4580">
        <v>1</v>
      </c>
      <c r="E4580" t="s">
        <v>4890</v>
      </c>
      <c r="F4580" t="s">
        <v>17</v>
      </c>
    </row>
    <row r="4581" spans="1:6" x14ac:dyDescent="0.3">
      <c r="A4581" t="s">
        <v>1012</v>
      </c>
      <c r="B4581" t="s">
        <v>631</v>
      </c>
      <c r="C4581" t="str">
        <f>HYPERLINK("http://service.sap.com/sap/support/notes/1569797","1569797")</f>
        <v>1569797</v>
      </c>
      <c r="D4581">
        <v>2</v>
      </c>
      <c r="E4581" t="s">
        <v>4891</v>
      </c>
      <c r="F4581" t="s">
        <v>17</v>
      </c>
    </row>
    <row r="4582" spans="1:6" x14ac:dyDescent="0.3">
      <c r="A4582" t="s">
        <v>1012</v>
      </c>
      <c r="B4582" t="s">
        <v>631</v>
      </c>
      <c r="C4582" t="str">
        <f>HYPERLINK("http://service.sap.com/sap/support/notes/1818522","1818522")</f>
        <v>1818522</v>
      </c>
      <c r="D4582">
        <v>1</v>
      </c>
      <c r="E4582" t="s">
        <v>4892</v>
      </c>
      <c r="F4582" t="s">
        <v>17</v>
      </c>
    </row>
    <row r="4583" spans="1:6" x14ac:dyDescent="0.3">
      <c r="A4583" t="s">
        <v>1012</v>
      </c>
      <c r="B4583" t="s">
        <v>631</v>
      </c>
      <c r="C4583" t="str">
        <f>HYPERLINK("http://service.sap.com/sap/support/notes/1881127","1881127")</f>
        <v>1881127</v>
      </c>
      <c r="D4583">
        <v>19</v>
      </c>
      <c r="E4583" t="s">
        <v>4893</v>
      </c>
      <c r="F4583" t="s">
        <v>17</v>
      </c>
    </row>
    <row r="4584" spans="1:6" x14ac:dyDescent="0.3">
      <c r="A4584" t="s">
        <v>1012</v>
      </c>
      <c r="B4584" t="s">
        <v>631</v>
      </c>
      <c r="C4584" t="str">
        <f>HYPERLINK("http://service.sap.com/sap/support/notes/1888535","1888535")</f>
        <v>1888535</v>
      </c>
      <c r="D4584">
        <v>3</v>
      </c>
      <c r="E4584" t="s">
        <v>4894</v>
      </c>
      <c r="F4584" t="s">
        <v>17</v>
      </c>
    </row>
    <row r="4585" spans="1:6" x14ac:dyDescent="0.3">
      <c r="A4585" t="s">
        <v>1012</v>
      </c>
      <c r="B4585" t="s">
        <v>631</v>
      </c>
      <c r="C4585" t="str">
        <f>HYPERLINK("http://service.sap.com/sap/support/notes/1928860","1928860")</f>
        <v>1928860</v>
      </c>
      <c r="D4585">
        <v>1</v>
      </c>
      <c r="E4585" t="s">
        <v>4895</v>
      </c>
      <c r="F4585" t="s">
        <v>13</v>
      </c>
    </row>
    <row r="4586" spans="1:6" x14ac:dyDescent="0.3">
      <c r="A4586" t="s">
        <v>1012</v>
      </c>
      <c r="B4586" t="s">
        <v>631</v>
      </c>
      <c r="C4586" t="str">
        <f>HYPERLINK("http://service.sap.com/sap/support/notes/1938631","1938631")</f>
        <v>1938631</v>
      </c>
      <c r="D4586">
        <v>11</v>
      </c>
      <c r="E4586" t="s">
        <v>4896</v>
      </c>
      <c r="F4586" t="s">
        <v>17</v>
      </c>
    </row>
    <row r="4587" spans="1:6" x14ac:dyDescent="0.3">
      <c r="A4587" t="s">
        <v>1012</v>
      </c>
      <c r="B4587" t="s">
        <v>631</v>
      </c>
      <c r="C4587" t="str">
        <f>HYPERLINK("http://service.sap.com/sap/support/notes/1941443","1941443")</f>
        <v>1941443</v>
      </c>
      <c r="D4587">
        <v>2</v>
      </c>
      <c r="E4587" t="s">
        <v>4897</v>
      </c>
      <c r="F4587" t="s">
        <v>17</v>
      </c>
    </row>
    <row r="4588" spans="1:6" x14ac:dyDescent="0.3">
      <c r="A4588" t="s">
        <v>1012</v>
      </c>
      <c r="B4588" t="s">
        <v>631</v>
      </c>
      <c r="C4588" t="str">
        <f>HYPERLINK("http://service.sap.com/sap/support/notes/1955239","1955239")</f>
        <v>1955239</v>
      </c>
      <c r="D4588">
        <v>5</v>
      </c>
      <c r="E4588" t="s">
        <v>4898</v>
      </c>
      <c r="F4588" t="s">
        <v>17</v>
      </c>
    </row>
    <row r="4589" spans="1:6" x14ac:dyDescent="0.3">
      <c r="A4589" t="s">
        <v>1012</v>
      </c>
      <c r="B4589" t="s">
        <v>631</v>
      </c>
      <c r="C4589" t="str">
        <f>HYPERLINK("http://service.sap.com/sap/support/notes/1965855","1965855")</f>
        <v>1965855</v>
      </c>
      <c r="D4589">
        <v>5</v>
      </c>
      <c r="E4589" t="s">
        <v>4899</v>
      </c>
      <c r="F4589" t="s">
        <v>17</v>
      </c>
    </row>
    <row r="4590" spans="1:6" x14ac:dyDescent="0.3">
      <c r="A4590" t="s">
        <v>1012</v>
      </c>
      <c r="B4590" t="s">
        <v>631</v>
      </c>
      <c r="C4590" t="str">
        <f>HYPERLINK("http://service.sap.com/sap/support/notes/1976649","1976649")</f>
        <v>1976649</v>
      </c>
      <c r="D4590">
        <v>2</v>
      </c>
      <c r="E4590" t="s">
        <v>4900</v>
      </c>
      <c r="F4590" t="s">
        <v>17</v>
      </c>
    </row>
    <row r="4591" spans="1:6" x14ac:dyDescent="0.3">
      <c r="A4591" t="s">
        <v>1012</v>
      </c>
      <c r="B4591" t="s">
        <v>631</v>
      </c>
      <c r="C4591" t="str">
        <f>HYPERLINK("http://service.sap.com/sap/support/notes/2002725","2002725")</f>
        <v>2002725</v>
      </c>
      <c r="D4591">
        <v>3</v>
      </c>
      <c r="E4591" t="s">
        <v>4901</v>
      </c>
      <c r="F4591" t="s">
        <v>17</v>
      </c>
    </row>
    <row r="4592" spans="1:6" x14ac:dyDescent="0.3">
      <c r="A4592" t="s">
        <v>1012</v>
      </c>
      <c r="B4592" t="s">
        <v>631</v>
      </c>
      <c r="C4592" t="str">
        <f>HYPERLINK("http://service.sap.com/sap/support/notes/2020292","2020292")</f>
        <v>2020292</v>
      </c>
      <c r="D4592">
        <v>1</v>
      </c>
      <c r="E4592" t="s">
        <v>4902</v>
      </c>
      <c r="F4592" t="s">
        <v>17</v>
      </c>
    </row>
    <row r="4593" spans="1:6" x14ac:dyDescent="0.3">
      <c r="A4593" t="s">
        <v>1012</v>
      </c>
      <c r="B4593" t="s">
        <v>631</v>
      </c>
      <c r="C4593" t="str">
        <f>HYPERLINK("http://service.sap.com/sap/support/notes/2022709","2022709")</f>
        <v>2022709</v>
      </c>
      <c r="D4593">
        <v>5</v>
      </c>
      <c r="E4593" t="s">
        <v>4903</v>
      </c>
      <c r="F4593" t="s">
        <v>17</v>
      </c>
    </row>
    <row r="4594" spans="1:6" x14ac:dyDescent="0.3">
      <c r="A4594" t="s">
        <v>1012</v>
      </c>
      <c r="B4594" t="s">
        <v>631</v>
      </c>
      <c r="C4594" t="str">
        <f>HYPERLINK("http://service.sap.com/sap/support/notes/2027373","2027373")</f>
        <v>2027373</v>
      </c>
      <c r="D4594">
        <v>3</v>
      </c>
      <c r="E4594" t="s">
        <v>4904</v>
      </c>
      <c r="F4594" t="s">
        <v>17</v>
      </c>
    </row>
    <row r="4595" spans="1:6" x14ac:dyDescent="0.3">
      <c r="A4595" t="s">
        <v>1012</v>
      </c>
      <c r="B4595" t="s">
        <v>631</v>
      </c>
      <c r="C4595" t="str">
        <f>HYPERLINK("http://service.sap.com/sap/support/notes/2030216","2030216")</f>
        <v>2030216</v>
      </c>
      <c r="D4595">
        <v>1</v>
      </c>
      <c r="E4595" t="s">
        <v>4905</v>
      </c>
      <c r="F4595" t="s">
        <v>17</v>
      </c>
    </row>
    <row r="4596" spans="1:6" x14ac:dyDescent="0.3">
      <c r="A4596" t="s">
        <v>1012</v>
      </c>
      <c r="B4596" t="s">
        <v>631</v>
      </c>
      <c r="C4596" t="str">
        <f>HYPERLINK("http://service.sap.com/sap/support/notes/2032856","2032856")</f>
        <v>2032856</v>
      </c>
      <c r="D4596">
        <v>1</v>
      </c>
      <c r="E4596" t="s">
        <v>4906</v>
      </c>
      <c r="F4596" t="s">
        <v>17</v>
      </c>
    </row>
    <row r="4597" spans="1:6" x14ac:dyDescent="0.3">
      <c r="A4597" t="s">
        <v>1012</v>
      </c>
      <c r="B4597" t="s">
        <v>631</v>
      </c>
      <c r="C4597" t="str">
        <f>HYPERLINK("http://service.sap.com/sap/support/notes/2033640","2033640")</f>
        <v>2033640</v>
      </c>
      <c r="D4597">
        <v>4</v>
      </c>
      <c r="E4597" t="s">
        <v>4907</v>
      </c>
      <c r="F4597" t="s">
        <v>17</v>
      </c>
    </row>
    <row r="4598" spans="1:6" x14ac:dyDescent="0.3">
      <c r="A4598" t="s">
        <v>1012</v>
      </c>
      <c r="B4598" t="s">
        <v>631</v>
      </c>
      <c r="C4598" t="str">
        <f>HYPERLINK("http://service.sap.com/sap/support/notes/2034025","2034025")</f>
        <v>2034025</v>
      </c>
      <c r="D4598">
        <v>5</v>
      </c>
      <c r="E4598" t="s">
        <v>4908</v>
      </c>
      <c r="F4598" t="s">
        <v>17</v>
      </c>
    </row>
    <row r="4599" spans="1:6" x14ac:dyDescent="0.3">
      <c r="A4599" t="s">
        <v>1012</v>
      </c>
      <c r="B4599" t="s">
        <v>631</v>
      </c>
      <c r="C4599" t="str">
        <f>HYPERLINK("http://service.sap.com/sap/support/notes/2037282","2037282")</f>
        <v>2037282</v>
      </c>
      <c r="D4599">
        <v>3</v>
      </c>
      <c r="E4599" t="s">
        <v>4909</v>
      </c>
      <c r="F4599" t="s">
        <v>17</v>
      </c>
    </row>
    <row r="4600" spans="1:6" x14ac:dyDescent="0.3">
      <c r="A4600" t="s">
        <v>1012</v>
      </c>
      <c r="B4600" t="s">
        <v>631</v>
      </c>
      <c r="C4600" t="str">
        <f>HYPERLINK("http://service.sap.com/sap/support/notes/2038039","2038039")</f>
        <v>2038039</v>
      </c>
      <c r="D4600">
        <v>1</v>
      </c>
      <c r="E4600" t="s">
        <v>4910</v>
      </c>
      <c r="F4600" t="s">
        <v>17</v>
      </c>
    </row>
    <row r="4601" spans="1:6" x14ac:dyDescent="0.3">
      <c r="A4601" t="s">
        <v>1012</v>
      </c>
      <c r="B4601" t="s">
        <v>631</v>
      </c>
      <c r="C4601" t="str">
        <f>HYPERLINK("http://service.sap.com/sap/support/notes/2058859","2058859")</f>
        <v>2058859</v>
      </c>
      <c r="D4601">
        <v>1</v>
      </c>
      <c r="E4601" t="s">
        <v>4911</v>
      </c>
      <c r="F4601" t="s">
        <v>17</v>
      </c>
    </row>
    <row r="4602" spans="1:6" x14ac:dyDescent="0.3">
      <c r="A4602" t="s">
        <v>1072</v>
      </c>
      <c r="B4602" t="s">
        <v>1073</v>
      </c>
      <c r="C4602" t="str">
        <f>HYPERLINK("http://service.sap.com/sap/support/notes/2040171","2040171")</f>
        <v>2040171</v>
      </c>
      <c r="D4602">
        <v>1</v>
      </c>
      <c r="E4602" t="s">
        <v>4912</v>
      </c>
      <c r="F4602" t="s">
        <v>17</v>
      </c>
    </row>
    <row r="4603" spans="1:6" x14ac:dyDescent="0.3">
      <c r="A4603" t="s">
        <v>1077</v>
      </c>
      <c r="B4603" t="s">
        <v>635</v>
      </c>
      <c r="C4603" t="str">
        <f>HYPERLINK("http://service.sap.com/sap/support/notes/2034029","2034029")</f>
        <v>2034029</v>
      </c>
      <c r="D4603">
        <v>3</v>
      </c>
      <c r="E4603" t="s">
        <v>4913</v>
      </c>
      <c r="F4603" t="s">
        <v>17</v>
      </c>
    </row>
    <row r="4604" spans="1:6" x14ac:dyDescent="0.3">
      <c r="A4604" t="s">
        <v>1077</v>
      </c>
      <c r="B4604" t="s">
        <v>635</v>
      </c>
      <c r="C4604" t="str">
        <f>HYPERLINK("http://service.sap.com/sap/support/notes/2049212","2049212")</f>
        <v>2049212</v>
      </c>
      <c r="D4604">
        <v>1</v>
      </c>
      <c r="E4604" t="s">
        <v>4914</v>
      </c>
      <c r="F4604" t="s">
        <v>17</v>
      </c>
    </row>
    <row r="4605" spans="1:6" x14ac:dyDescent="0.3">
      <c r="A4605" t="s">
        <v>1077</v>
      </c>
      <c r="B4605" t="s">
        <v>635</v>
      </c>
      <c r="C4605" t="str">
        <f>HYPERLINK("http://service.sap.com/sap/support/notes/2053933","2053933")</f>
        <v>2053933</v>
      </c>
      <c r="D4605">
        <v>3</v>
      </c>
      <c r="E4605" t="s">
        <v>4915</v>
      </c>
      <c r="F4605" t="s">
        <v>17</v>
      </c>
    </row>
    <row r="4606" spans="1:6" x14ac:dyDescent="0.3">
      <c r="A4606" t="s">
        <v>1085</v>
      </c>
      <c r="B4606" t="s">
        <v>646</v>
      </c>
      <c r="C4606" t="str">
        <f>HYPERLINK("http://service.sap.com/sap/support/notes/2011271","2011271")</f>
        <v>2011271</v>
      </c>
      <c r="D4606">
        <v>2</v>
      </c>
      <c r="E4606" t="s">
        <v>4916</v>
      </c>
      <c r="F4606" t="s">
        <v>17</v>
      </c>
    </row>
    <row r="4607" spans="1:6" x14ac:dyDescent="0.3">
      <c r="A4607" t="s">
        <v>1085</v>
      </c>
      <c r="B4607" t="s">
        <v>646</v>
      </c>
      <c r="C4607" t="str">
        <f>HYPERLINK("http://service.sap.com/sap/support/notes/2020892","2020892")</f>
        <v>2020892</v>
      </c>
      <c r="D4607">
        <v>3</v>
      </c>
      <c r="E4607" t="s">
        <v>4917</v>
      </c>
      <c r="F4607" t="s">
        <v>17</v>
      </c>
    </row>
    <row r="4608" spans="1:6" x14ac:dyDescent="0.3">
      <c r="A4608" t="s">
        <v>1085</v>
      </c>
      <c r="B4608" t="s">
        <v>646</v>
      </c>
      <c r="C4608" t="str">
        <f>HYPERLINK("http://service.sap.com/sap/support/notes/2026446","2026446")</f>
        <v>2026446</v>
      </c>
      <c r="D4608">
        <v>2</v>
      </c>
      <c r="E4608" t="s">
        <v>4918</v>
      </c>
      <c r="F4608" t="s">
        <v>17</v>
      </c>
    </row>
    <row r="4609" spans="1:6" x14ac:dyDescent="0.3">
      <c r="A4609" t="s">
        <v>1085</v>
      </c>
      <c r="B4609" t="s">
        <v>646</v>
      </c>
      <c r="C4609" t="str">
        <f>HYPERLINK("http://service.sap.com/sap/support/notes/2051094","2051094")</f>
        <v>2051094</v>
      </c>
      <c r="D4609">
        <v>1</v>
      </c>
      <c r="E4609" t="s">
        <v>4919</v>
      </c>
      <c r="F4609" t="s">
        <v>17</v>
      </c>
    </row>
    <row r="4610" spans="1:6" x14ac:dyDescent="0.3">
      <c r="A4610" t="s">
        <v>1089</v>
      </c>
      <c r="B4610" t="s">
        <v>138</v>
      </c>
      <c r="C4610" t="str">
        <f>HYPERLINK("http://service.sap.com/sap/support/notes/1984763","1984763")</f>
        <v>1984763</v>
      </c>
      <c r="D4610">
        <v>2</v>
      </c>
      <c r="E4610" t="s">
        <v>4920</v>
      </c>
      <c r="F4610" t="s">
        <v>17</v>
      </c>
    </row>
    <row r="4611" spans="1:6" x14ac:dyDescent="0.3">
      <c r="A4611" t="s">
        <v>1089</v>
      </c>
      <c r="B4611" t="s">
        <v>138</v>
      </c>
      <c r="C4611" t="str">
        <f>HYPERLINK("http://service.sap.com/sap/support/notes/1993690","1993690")</f>
        <v>1993690</v>
      </c>
      <c r="D4611">
        <v>1</v>
      </c>
      <c r="E4611" t="s">
        <v>4921</v>
      </c>
      <c r="F4611" t="s">
        <v>17</v>
      </c>
    </row>
    <row r="4612" spans="1:6" x14ac:dyDescent="0.3">
      <c r="A4612" t="s">
        <v>2284</v>
      </c>
      <c r="B4612" t="s">
        <v>2285</v>
      </c>
      <c r="C4612" t="str">
        <f>HYPERLINK("http://service.sap.com/sap/support/notes/2024457","2024457")</f>
        <v>2024457</v>
      </c>
      <c r="D4612">
        <v>3</v>
      </c>
      <c r="E4612" t="s">
        <v>4922</v>
      </c>
      <c r="F4612" t="s">
        <v>17</v>
      </c>
    </row>
    <row r="4613" spans="1:6" x14ac:dyDescent="0.3">
      <c r="A4613" t="s">
        <v>1091</v>
      </c>
      <c r="B4613" t="s">
        <v>684</v>
      </c>
      <c r="C4613" t="str">
        <f>HYPERLINK("http://service.sap.com/sap/support/notes/1747268","1747268")</f>
        <v>1747268</v>
      </c>
      <c r="D4613">
        <v>3</v>
      </c>
      <c r="E4613" t="s">
        <v>4923</v>
      </c>
      <c r="F4613" t="s">
        <v>13</v>
      </c>
    </row>
    <row r="4614" spans="1:6" x14ac:dyDescent="0.3">
      <c r="A4614" t="s">
        <v>1091</v>
      </c>
      <c r="B4614" t="s">
        <v>684</v>
      </c>
      <c r="C4614" t="str">
        <f>HYPERLINK("http://service.sap.com/sap/support/notes/2023396","2023396")</f>
        <v>2023396</v>
      </c>
      <c r="D4614">
        <v>2</v>
      </c>
      <c r="E4614" t="s">
        <v>4924</v>
      </c>
      <c r="F4614" t="s">
        <v>17</v>
      </c>
    </row>
    <row r="4615" spans="1:6" x14ac:dyDescent="0.3">
      <c r="A4615" t="s">
        <v>1091</v>
      </c>
      <c r="B4615" t="s">
        <v>684</v>
      </c>
      <c r="C4615" t="str">
        <f>HYPERLINK("http://service.sap.com/sap/support/notes/2041055","2041055")</f>
        <v>2041055</v>
      </c>
      <c r="D4615">
        <v>2</v>
      </c>
      <c r="E4615" t="s">
        <v>4925</v>
      </c>
      <c r="F4615" t="s">
        <v>17</v>
      </c>
    </row>
    <row r="4616" spans="1:6" x14ac:dyDescent="0.3">
      <c r="A4616" t="s">
        <v>1091</v>
      </c>
      <c r="B4616" t="s">
        <v>684</v>
      </c>
      <c r="C4616" t="str">
        <f>HYPERLINK("http://service.sap.com/sap/support/notes/2044279","2044279")</f>
        <v>2044279</v>
      </c>
      <c r="D4616">
        <v>2</v>
      </c>
      <c r="E4616" t="s">
        <v>4926</v>
      </c>
      <c r="F4616" t="s">
        <v>17</v>
      </c>
    </row>
    <row r="4617" spans="1:6" x14ac:dyDescent="0.3">
      <c r="A4617" t="s">
        <v>1091</v>
      </c>
      <c r="B4617" t="s">
        <v>684</v>
      </c>
      <c r="C4617" t="str">
        <f>HYPERLINK("http://service.sap.com/sap/support/notes/2060254","2060254")</f>
        <v>2060254</v>
      </c>
      <c r="D4617">
        <v>1</v>
      </c>
      <c r="E4617" t="s">
        <v>4927</v>
      </c>
      <c r="F4617" t="s">
        <v>17</v>
      </c>
    </row>
    <row r="4618" spans="1:6" x14ac:dyDescent="0.3">
      <c r="A4618" t="s">
        <v>1103</v>
      </c>
      <c r="B4618" t="s">
        <v>243</v>
      </c>
      <c r="C4618" t="str">
        <f>HYPERLINK("http://service.sap.com/sap/support/notes/1616718","1616718")</f>
        <v>1616718</v>
      </c>
      <c r="D4618">
        <v>5</v>
      </c>
      <c r="E4618" t="s">
        <v>4928</v>
      </c>
      <c r="F4618" t="s">
        <v>13</v>
      </c>
    </row>
    <row r="4619" spans="1:6" x14ac:dyDescent="0.3">
      <c r="A4619" t="s">
        <v>1103</v>
      </c>
      <c r="B4619" t="s">
        <v>243</v>
      </c>
      <c r="C4619" t="str">
        <f>HYPERLINK("http://service.sap.com/sap/support/notes/1990584","1990584")</f>
        <v>1990584</v>
      </c>
      <c r="D4619">
        <v>1</v>
      </c>
      <c r="E4619" t="s">
        <v>4929</v>
      </c>
      <c r="F4619" t="s">
        <v>17</v>
      </c>
    </row>
    <row r="4620" spans="1:6" x14ac:dyDescent="0.3">
      <c r="A4620" t="s">
        <v>1103</v>
      </c>
      <c r="B4620" t="s">
        <v>243</v>
      </c>
      <c r="C4620" t="str">
        <f>HYPERLINK("http://service.sap.com/sap/support/notes/2002092","2002092")</f>
        <v>2002092</v>
      </c>
      <c r="D4620">
        <v>1</v>
      </c>
      <c r="E4620" t="s">
        <v>4930</v>
      </c>
      <c r="F4620" t="s">
        <v>17</v>
      </c>
    </row>
    <row r="4621" spans="1:6" x14ac:dyDescent="0.3">
      <c r="A4621" t="s">
        <v>1103</v>
      </c>
      <c r="B4621" t="s">
        <v>243</v>
      </c>
      <c r="C4621" t="str">
        <f>HYPERLINK("http://service.sap.com/sap/support/notes/2018982","2018982")</f>
        <v>2018982</v>
      </c>
      <c r="D4621">
        <v>6</v>
      </c>
      <c r="E4621" t="s">
        <v>4931</v>
      </c>
      <c r="F4621" t="s">
        <v>17</v>
      </c>
    </row>
    <row r="4622" spans="1:6" x14ac:dyDescent="0.3">
      <c r="A4622" t="s">
        <v>1103</v>
      </c>
      <c r="B4622" t="s">
        <v>243</v>
      </c>
      <c r="C4622" t="str">
        <f>HYPERLINK("http://service.sap.com/sap/support/notes/2025299","2025299")</f>
        <v>2025299</v>
      </c>
      <c r="D4622">
        <v>2</v>
      </c>
      <c r="E4622" t="s">
        <v>4932</v>
      </c>
      <c r="F4622" t="s">
        <v>11</v>
      </c>
    </row>
    <row r="4623" spans="1:6" x14ac:dyDescent="0.3">
      <c r="A4623" t="s">
        <v>1103</v>
      </c>
      <c r="B4623" t="s">
        <v>243</v>
      </c>
      <c r="C4623" t="str">
        <f>HYPERLINK("http://service.sap.com/sap/support/notes/2028814","2028814")</f>
        <v>2028814</v>
      </c>
      <c r="D4623">
        <v>1</v>
      </c>
      <c r="E4623" t="s">
        <v>4933</v>
      </c>
      <c r="F4623" t="s">
        <v>17</v>
      </c>
    </row>
    <row r="4624" spans="1:6" x14ac:dyDescent="0.3">
      <c r="A4624" t="s">
        <v>1103</v>
      </c>
      <c r="B4624" t="s">
        <v>243</v>
      </c>
      <c r="C4624" t="str">
        <f>HYPERLINK("http://service.sap.com/sap/support/notes/2029628","2029628")</f>
        <v>2029628</v>
      </c>
      <c r="D4624">
        <v>2</v>
      </c>
      <c r="E4624" t="s">
        <v>4934</v>
      </c>
      <c r="F4624" t="s">
        <v>17</v>
      </c>
    </row>
    <row r="4625" spans="1:6" x14ac:dyDescent="0.3">
      <c r="A4625" t="s">
        <v>1103</v>
      </c>
      <c r="B4625" t="s">
        <v>243</v>
      </c>
      <c r="C4625" t="str">
        <f>HYPERLINK("http://service.sap.com/sap/support/notes/2031951","2031951")</f>
        <v>2031951</v>
      </c>
      <c r="D4625">
        <v>1</v>
      </c>
      <c r="E4625" t="s">
        <v>4935</v>
      </c>
      <c r="F4625" t="s">
        <v>17</v>
      </c>
    </row>
    <row r="4626" spans="1:6" x14ac:dyDescent="0.3">
      <c r="A4626" t="s">
        <v>1103</v>
      </c>
      <c r="B4626" t="s">
        <v>243</v>
      </c>
      <c r="C4626" t="str">
        <f>HYPERLINK("http://service.sap.com/sap/support/notes/2033959","2033959")</f>
        <v>2033959</v>
      </c>
      <c r="D4626">
        <v>1</v>
      </c>
      <c r="E4626" t="s">
        <v>4936</v>
      </c>
      <c r="F4626" t="s">
        <v>17</v>
      </c>
    </row>
    <row r="4627" spans="1:6" x14ac:dyDescent="0.3">
      <c r="A4627" t="s">
        <v>1129</v>
      </c>
      <c r="B4627" t="s">
        <v>1130</v>
      </c>
      <c r="C4627" t="str">
        <f>HYPERLINK("http://service.sap.com/sap/support/notes/2010551","2010551")</f>
        <v>2010551</v>
      </c>
      <c r="D4627">
        <v>2</v>
      </c>
      <c r="E4627" t="s">
        <v>4937</v>
      </c>
      <c r="F4627" t="s">
        <v>17</v>
      </c>
    </row>
    <row r="4628" spans="1:6" x14ac:dyDescent="0.3">
      <c r="A4628" t="s">
        <v>1129</v>
      </c>
      <c r="B4628" t="s">
        <v>1130</v>
      </c>
      <c r="C4628" t="str">
        <f>HYPERLINK("http://service.sap.com/sap/support/notes/2025982","2025982")</f>
        <v>2025982</v>
      </c>
      <c r="D4628">
        <v>2</v>
      </c>
      <c r="E4628" t="s">
        <v>4938</v>
      </c>
      <c r="F4628" t="s">
        <v>17</v>
      </c>
    </row>
    <row r="4629" spans="1:6" x14ac:dyDescent="0.3">
      <c r="A4629" t="s">
        <v>1129</v>
      </c>
      <c r="B4629" t="s">
        <v>1130</v>
      </c>
      <c r="C4629" t="str">
        <f>HYPERLINK("http://service.sap.com/sap/support/notes/2028638","2028638")</f>
        <v>2028638</v>
      </c>
      <c r="D4629">
        <v>1</v>
      </c>
      <c r="E4629" t="s">
        <v>4939</v>
      </c>
      <c r="F4629" t="s">
        <v>17</v>
      </c>
    </row>
    <row r="4630" spans="1:6" x14ac:dyDescent="0.3">
      <c r="A4630" t="s">
        <v>1143</v>
      </c>
      <c r="B4630" t="s">
        <v>1130</v>
      </c>
      <c r="C4630" t="str">
        <f>HYPERLINK("http://service.sap.com/sap/support/notes/1987194","1987194")</f>
        <v>1987194</v>
      </c>
      <c r="D4630">
        <v>5</v>
      </c>
      <c r="E4630" t="s">
        <v>4940</v>
      </c>
      <c r="F4630" t="s">
        <v>17</v>
      </c>
    </row>
    <row r="4631" spans="1:6" x14ac:dyDescent="0.3">
      <c r="A4631" t="s">
        <v>1148</v>
      </c>
      <c r="B4631" t="s">
        <v>1130</v>
      </c>
      <c r="C4631" t="str">
        <f>HYPERLINK("http://service.sap.com/sap/support/notes/2023029","2023029")</f>
        <v>2023029</v>
      </c>
      <c r="D4631">
        <v>1</v>
      </c>
      <c r="E4631" t="s">
        <v>4941</v>
      </c>
      <c r="F4631" t="s">
        <v>17</v>
      </c>
    </row>
    <row r="4632" spans="1:6" x14ac:dyDescent="0.3">
      <c r="A4632" t="s">
        <v>1148</v>
      </c>
      <c r="B4632" t="s">
        <v>1130</v>
      </c>
      <c r="C4632" t="str">
        <f>HYPERLINK("http://service.sap.com/sap/support/notes/2043647","2043647")</f>
        <v>2043647</v>
      </c>
      <c r="D4632">
        <v>2</v>
      </c>
      <c r="E4632" t="s">
        <v>4941</v>
      </c>
      <c r="F4632" t="s">
        <v>17</v>
      </c>
    </row>
    <row r="4633" spans="1:6" x14ac:dyDescent="0.3">
      <c r="A4633" t="s">
        <v>1148</v>
      </c>
      <c r="B4633" t="s">
        <v>1130</v>
      </c>
      <c r="C4633" t="str">
        <f>HYPERLINK("http://service.sap.com/sap/support/notes/2045737","2045737")</f>
        <v>2045737</v>
      </c>
      <c r="D4633">
        <v>4</v>
      </c>
      <c r="E4633" t="s">
        <v>4942</v>
      </c>
      <c r="F4633" t="s">
        <v>17</v>
      </c>
    </row>
    <row r="4634" spans="1:6" x14ac:dyDescent="0.3">
      <c r="A4634" t="s">
        <v>1148</v>
      </c>
      <c r="B4634" t="s">
        <v>1130</v>
      </c>
      <c r="C4634" t="str">
        <f>HYPERLINK("http://service.sap.com/sap/support/notes/2048514","2048514")</f>
        <v>2048514</v>
      </c>
      <c r="D4634">
        <v>4</v>
      </c>
      <c r="E4634" t="s">
        <v>4943</v>
      </c>
      <c r="F4634" t="s">
        <v>17</v>
      </c>
    </row>
    <row r="4635" spans="1:6" x14ac:dyDescent="0.3">
      <c r="A4635" t="s">
        <v>1148</v>
      </c>
      <c r="B4635" t="s">
        <v>1130</v>
      </c>
      <c r="C4635" t="str">
        <f>HYPERLINK("http://service.sap.com/sap/support/notes/2048665","2048665")</f>
        <v>2048665</v>
      </c>
      <c r="D4635">
        <v>2</v>
      </c>
      <c r="E4635" t="s">
        <v>4941</v>
      </c>
      <c r="F4635" t="s">
        <v>17</v>
      </c>
    </row>
    <row r="4636" spans="1:6" x14ac:dyDescent="0.3">
      <c r="A4636" t="s">
        <v>1148</v>
      </c>
      <c r="B4636" t="s">
        <v>1130</v>
      </c>
      <c r="C4636" t="str">
        <f>HYPERLINK("http://service.sap.com/sap/support/notes/2055537","2055537")</f>
        <v>2055537</v>
      </c>
      <c r="D4636">
        <v>2</v>
      </c>
      <c r="E4636" t="s">
        <v>4944</v>
      </c>
      <c r="F4636" t="s">
        <v>17</v>
      </c>
    </row>
    <row r="4637" spans="1:6" x14ac:dyDescent="0.3">
      <c r="A4637" t="s">
        <v>1161</v>
      </c>
      <c r="B4637" t="s">
        <v>2307</v>
      </c>
    </row>
    <row r="4638" spans="1:6" x14ac:dyDescent="0.3">
      <c r="A4638" t="s">
        <v>1164</v>
      </c>
      <c r="B4638" t="s">
        <v>243</v>
      </c>
    </row>
    <row r="4639" spans="1:6" x14ac:dyDescent="0.3">
      <c r="A4639" t="s">
        <v>1165</v>
      </c>
      <c r="B4639" t="s">
        <v>1166</v>
      </c>
      <c r="C4639" t="str">
        <f>HYPERLINK("http://service.sap.com/sap/support/notes/799009","799009")</f>
        <v>799009</v>
      </c>
      <c r="D4639">
        <v>6</v>
      </c>
      <c r="E4639" t="s">
        <v>4945</v>
      </c>
      <c r="F4639" t="s">
        <v>13</v>
      </c>
    </row>
    <row r="4640" spans="1:6" x14ac:dyDescent="0.3">
      <c r="A4640" t="s">
        <v>1165</v>
      </c>
      <c r="B4640" t="s">
        <v>1166</v>
      </c>
      <c r="C4640" t="str">
        <f>HYPERLINK("http://service.sap.com/sap/support/notes/833832","833832")</f>
        <v>833832</v>
      </c>
      <c r="D4640">
        <v>4</v>
      </c>
      <c r="E4640" t="s">
        <v>4946</v>
      </c>
      <c r="F4640" t="s">
        <v>13</v>
      </c>
    </row>
    <row r="4641" spans="1:6" x14ac:dyDescent="0.3">
      <c r="A4641" t="s">
        <v>1165</v>
      </c>
      <c r="B4641" t="s">
        <v>1166</v>
      </c>
      <c r="C4641" t="str">
        <f>HYPERLINK("http://service.sap.com/sap/support/notes/990781","990781")</f>
        <v>990781</v>
      </c>
      <c r="D4641">
        <v>6</v>
      </c>
      <c r="E4641" t="s">
        <v>4947</v>
      </c>
      <c r="F4641" t="s">
        <v>13</v>
      </c>
    </row>
    <row r="4642" spans="1:6" x14ac:dyDescent="0.3">
      <c r="A4642" t="s">
        <v>1165</v>
      </c>
      <c r="B4642" t="s">
        <v>1166</v>
      </c>
      <c r="C4642" t="str">
        <f>HYPERLINK("http://service.sap.com/sap/support/notes/1448984","1448984")</f>
        <v>1448984</v>
      </c>
      <c r="D4642">
        <v>4</v>
      </c>
      <c r="E4642" t="s">
        <v>4948</v>
      </c>
      <c r="F4642" t="s">
        <v>17</v>
      </c>
    </row>
    <row r="4643" spans="1:6" x14ac:dyDescent="0.3">
      <c r="A4643" t="s">
        <v>1165</v>
      </c>
      <c r="B4643" t="s">
        <v>1166</v>
      </c>
      <c r="C4643" t="str">
        <f>HYPERLINK("http://service.sap.com/sap/support/notes/1816868","1816868")</f>
        <v>1816868</v>
      </c>
      <c r="D4643">
        <v>3</v>
      </c>
      <c r="E4643" t="s">
        <v>4949</v>
      </c>
      <c r="F4643" t="s">
        <v>13</v>
      </c>
    </row>
    <row r="4644" spans="1:6" x14ac:dyDescent="0.3">
      <c r="A4644" t="s">
        <v>1165</v>
      </c>
      <c r="B4644" t="s">
        <v>1166</v>
      </c>
      <c r="C4644" t="str">
        <f>HYPERLINK("http://service.sap.com/sap/support/notes/1975570","1975570")</f>
        <v>1975570</v>
      </c>
      <c r="D4644">
        <v>1</v>
      </c>
      <c r="E4644" t="s">
        <v>4950</v>
      </c>
      <c r="F4644" t="s">
        <v>17</v>
      </c>
    </row>
    <row r="4645" spans="1:6" x14ac:dyDescent="0.3">
      <c r="A4645" t="s">
        <v>1165</v>
      </c>
      <c r="B4645" t="s">
        <v>1166</v>
      </c>
      <c r="C4645" t="str">
        <f>HYPERLINK("http://service.sap.com/sap/support/notes/2038966","2038966")</f>
        <v>2038966</v>
      </c>
      <c r="D4645">
        <v>1</v>
      </c>
      <c r="E4645" t="s">
        <v>4951</v>
      </c>
      <c r="F4645" t="s">
        <v>13</v>
      </c>
    </row>
    <row r="4646" spans="1:6" x14ac:dyDescent="0.3">
      <c r="A4646" t="s">
        <v>1165</v>
      </c>
      <c r="B4646" t="s">
        <v>1166</v>
      </c>
      <c r="C4646" t="str">
        <f>HYPERLINK("http://service.sap.com/sap/support/notes/2052721","2052721")</f>
        <v>2052721</v>
      </c>
      <c r="D4646">
        <v>1</v>
      </c>
      <c r="E4646" t="s">
        <v>4952</v>
      </c>
      <c r="F4646" t="s">
        <v>13</v>
      </c>
    </row>
    <row r="4647" spans="1:6" x14ac:dyDescent="0.3">
      <c r="A4647" t="s">
        <v>1165</v>
      </c>
      <c r="B4647" t="s">
        <v>1166</v>
      </c>
      <c r="C4647" t="str">
        <f>HYPERLINK("http://service.sap.com/sap/support/notes/2065167","2065167")</f>
        <v>2065167</v>
      </c>
      <c r="D4647">
        <v>2</v>
      </c>
      <c r="E4647" t="s">
        <v>4953</v>
      </c>
      <c r="F4647" t="s">
        <v>17</v>
      </c>
    </row>
    <row r="4648" spans="1:6" x14ac:dyDescent="0.3">
      <c r="A4648" t="s">
        <v>1176</v>
      </c>
      <c r="B4648" t="s">
        <v>346</v>
      </c>
    </row>
    <row r="4649" spans="1:6" x14ac:dyDescent="0.3">
      <c r="A4649" t="s">
        <v>1180</v>
      </c>
      <c r="B4649" t="s">
        <v>1181</v>
      </c>
      <c r="C4649" t="str">
        <f>HYPERLINK("http://service.sap.com/sap/support/notes/2058247","2058247")</f>
        <v>2058247</v>
      </c>
      <c r="D4649">
        <v>1</v>
      </c>
      <c r="E4649" t="s">
        <v>4954</v>
      </c>
      <c r="F4649" t="s">
        <v>17</v>
      </c>
    </row>
    <row r="4650" spans="1:6" x14ac:dyDescent="0.3">
      <c r="A4650" t="s">
        <v>4083</v>
      </c>
      <c r="B4650" t="s">
        <v>4084</v>
      </c>
      <c r="C4650" t="str">
        <f>HYPERLINK("http://service.sap.com/sap/support/notes/2052880","2052880")</f>
        <v>2052880</v>
      </c>
      <c r="D4650">
        <v>2</v>
      </c>
      <c r="E4650" t="s">
        <v>4955</v>
      </c>
      <c r="F4650" t="s">
        <v>17</v>
      </c>
    </row>
    <row r="4651" spans="1:6" x14ac:dyDescent="0.3">
      <c r="A4651" t="s">
        <v>1189</v>
      </c>
      <c r="B4651" t="s">
        <v>153</v>
      </c>
      <c r="C4651" t="str">
        <f>HYPERLINK("http://service.sap.com/sap/support/notes/1871308","1871308")</f>
        <v>1871308</v>
      </c>
      <c r="D4651">
        <v>2</v>
      </c>
      <c r="E4651" t="s">
        <v>4956</v>
      </c>
      <c r="F4651" t="s">
        <v>13</v>
      </c>
    </row>
    <row r="4652" spans="1:6" x14ac:dyDescent="0.3">
      <c r="A4652" t="s">
        <v>1193</v>
      </c>
      <c r="B4652" t="s">
        <v>1194</v>
      </c>
      <c r="C4652" t="str">
        <f>HYPERLINK("http://service.sap.com/sap/support/notes/2050124","2050124")</f>
        <v>2050124</v>
      </c>
      <c r="D4652">
        <v>1</v>
      </c>
      <c r="E4652" t="s">
        <v>4957</v>
      </c>
      <c r="F4652" t="s">
        <v>17</v>
      </c>
    </row>
    <row r="4653" spans="1:6" x14ac:dyDescent="0.3">
      <c r="A4653" t="s">
        <v>1201</v>
      </c>
      <c r="B4653" t="s">
        <v>1202</v>
      </c>
    </row>
    <row r="4654" spans="1:6" x14ac:dyDescent="0.3">
      <c r="A4654" t="s">
        <v>1203</v>
      </c>
      <c r="B4654" t="s">
        <v>1204</v>
      </c>
      <c r="C4654" t="str">
        <f>HYPERLINK("http://service.sap.com/sap/support/notes/1849748","1849748")</f>
        <v>1849748</v>
      </c>
      <c r="D4654">
        <v>1</v>
      </c>
      <c r="E4654" t="s">
        <v>1205</v>
      </c>
      <c r="F4654" t="s">
        <v>13</v>
      </c>
    </row>
    <row r="4655" spans="1:6" x14ac:dyDescent="0.3">
      <c r="A4655" t="s">
        <v>1206</v>
      </c>
      <c r="B4655" t="s">
        <v>1207</v>
      </c>
    </row>
    <row r="4656" spans="1:6" x14ac:dyDescent="0.3">
      <c r="A4656" t="s">
        <v>1222</v>
      </c>
      <c r="B4656" t="s">
        <v>1223</v>
      </c>
      <c r="C4656" t="str">
        <f>HYPERLINK("http://service.sap.com/sap/support/notes/1713262","1713262")</f>
        <v>1713262</v>
      </c>
      <c r="D4656">
        <v>6</v>
      </c>
      <c r="E4656" t="s">
        <v>4958</v>
      </c>
      <c r="F4656" t="s">
        <v>17</v>
      </c>
    </row>
    <row r="4657" spans="1:6" x14ac:dyDescent="0.3">
      <c r="A4657" t="s">
        <v>1222</v>
      </c>
      <c r="B4657" t="s">
        <v>1223</v>
      </c>
      <c r="C4657" t="str">
        <f>HYPERLINK("http://service.sap.com/sap/support/notes/1881541","1881541")</f>
        <v>1881541</v>
      </c>
      <c r="D4657">
        <v>4</v>
      </c>
      <c r="E4657" t="s">
        <v>4959</v>
      </c>
      <c r="F4657" t="s">
        <v>17</v>
      </c>
    </row>
    <row r="4658" spans="1:6" x14ac:dyDescent="0.3">
      <c r="A4658" t="s">
        <v>1222</v>
      </c>
      <c r="B4658" t="s">
        <v>1223</v>
      </c>
      <c r="C4658" t="str">
        <f>HYPERLINK("http://service.sap.com/sap/support/notes/2047884","2047884")</f>
        <v>2047884</v>
      </c>
      <c r="D4658">
        <v>2</v>
      </c>
      <c r="E4658" t="s">
        <v>4960</v>
      </c>
      <c r="F4658" t="s">
        <v>17</v>
      </c>
    </row>
    <row r="4659" spans="1:6" x14ac:dyDescent="0.3">
      <c r="A4659" t="s">
        <v>1225</v>
      </c>
      <c r="B4659" t="s">
        <v>1226</v>
      </c>
      <c r="C4659" t="str">
        <f>HYPERLINK("http://service.sap.com/sap/support/notes/1869831","1869831")</f>
        <v>1869831</v>
      </c>
      <c r="D4659">
        <v>5</v>
      </c>
      <c r="E4659" t="s">
        <v>4961</v>
      </c>
      <c r="F4659" t="s">
        <v>17</v>
      </c>
    </row>
    <row r="4660" spans="1:6" x14ac:dyDescent="0.3">
      <c r="A4660" t="s">
        <v>1225</v>
      </c>
      <c r="B4660" t="s">
        <v>1226</v>
      </c>
      <c r="C4660" t="str">
        <f>HYPERLINK("http://service.sap.com/sap/support/notes/1937050","1937050")</f>
        <v>1937050</v>
      </c>
      <c r="D4660">
        <v>1</v>
      </c>
      <c r="E4660" t="s">
        <v>4962</v>
      </c>
      <c r="F4660" t="s">
        <v>17</v>
      </c>
    </row>
    <row r="4661" spans="1:6" x14ac:dyDescent="0.3">
      <c r="A4661" t="s">
        <v>1225</v>
      </c>
      <c r="B4661" t="s">
        <v>1226</v>
      </c>
      <c r="C4661" t="str">
        <f>HYPERLINK("http://service.sap.com/sap/support/notes/2012748","2012748")</f>
        <v>2012748</v>
      </c>
      <c r="D4661">
        <v>1</v>
      </c>
      <c r="E4661" t="s">
        <v>4963</v>
      </c>
      <c r="F4661" t="s">
        <v>17</v>
      </c>
    </row>
    <row r="4662" spans="1:6" x14ac:dyDescent="0.3">
      <c r="A4662" t="s">
        <v>1225</v>
      </c>
      <c r="B4662" t="s">
        <v>1226</v>
      </c>
      <c r="C4662" t="str">
        <f>HYPERLINK("http://service.sap.com/sap/support/notes/2029717","2029717")</f>
        <v>2029717</v>
      </c>
      <c r="D4662">
        <v>4</v>
      </c>
      <c r="E4662" t="s">
        <v>4964</v>
      </c>
      <c r="F4662" t="s">
        <v>17</v>
      </c>
    </row>
    <row r="4663" spans="1:6" x14ac:dyDescent="0.3">
      <c r="A4663" t="s">
        <v>1225</v>
      </c>
      <c r="B4663" t="s">
        <v>1226</v>
      </c>
      <c r="C4663" t="str">
        <f>HYPERLINK("http://service.sap.com/sap/support/notes/2036828","2036828")</f>
        <v>2036828</v>
      </c>
      <c r="D4663">
        <v>3</v>
      </c>
      <c r="E4663" t="s">
        <v>4965</v>
      </c>
      <c r="F4663" t="s">
        <v>13</v>
      </c>
    </row>
    <row r="4664" spans="1:6" x14ac:dyDescent="0.3">
      <c r="A4664" t="s">
        <v>1225</v>
      </c>
      <c r="B4664" t="s">
        <v>1226</v>
      </c>
      <c r="C4664" t="str">
        <f>HYPERLINK("http://service.sap.com/sap/support/notes/2039064","2039064")</f>
        <v>2039064</v>
      </c>
      <c r="D4664">
        <v>1</v>
      </c>
      <c r="E4664" t="s">
        <v>4966</v>
      </c>
      <c r="F4664" t="s">
        <v>17</v>
      </c>
    </row>
    <row r="4665" spans="1:6" x14ac:dyDescent="0.3">
      <c r="A4665" t="s">
        <v>1225</v>
      </c>
      <c r="B4665" t="s">
        <v>1226</v>
      </c>
      <c r="C4665" t="str">
        <f>HYPERLINK("http://service.sap.com/sap/support/notes/2039749","2039749")</f>
        <v>2039749</v>
      </c>
      <c r="D4665">
        <v>1</v>
      </c>
      <c r="E4665" t="s">
        <v>4967</v>
      </c>
      <c r="F4665" t="s">
        <v>13</v>
      </c>
    </row>
    <row r="4666" spans="1:6" x14ac:dyDescent="0.3">
      <c r="A4666" t="s">
        <v>1225</v>
      </c>
      <c r="B4666" t="s">
        <v>1226</v>
      </c>
      <c r="C4666" t="str">
        <f>HYPERLINK("http://service.sap.com/sap/support/notes/2045081","2045081")</f>
        <v>2045081</v>
      </c>
      <c r="D4666">
        <v>1</v>
      </c>
      <c r="E4666" t="s">
        <v>4968</v>
      </c>
      <c r="F4666" t="s">
        <v>13</v>
      </c>
    </row>
    <row r="4667" spans="1:6" x14ac:dyDescent="0.3">
      <c r="A4667" t="s">
        <v>1225</v>
      </c>
      <c r="B4667" t="s">
        <v>1226</v>
      </c>
      <c r="C4667" t="str">
        <f>HYPERLINK("http://service.sap.com/sap/support/notes/2052436","2052436")</f>
        <v>2052436</v>
      </c>
      <c r="D4667">
        <v>1</v>
      </c>
      <c r="E4667" t="s">
        <v>4969</v>
      </c>
      <c r="F4667" t="s">
        <v>17</v>
      </c>
    </row>
    <row r="4668" spans="1:6" x14ac:dyDescent="0.3">
      <c r="A4668" t="s">
        <v>1225</v>
      </c>
      <c r="B4668" t="s">
        <v>1226</v>
      </c>
      <c r="C4668" t="str">
        <f>HYPERLINK("http://service.sap.com/sap/support/notes/2053326","2053326")</f>
        <v>2053326</v>
      </c>
      <c r="D4668">
        <v>1</v>
      </c>
      <c r="E4668" t="s">
        <v>4970</v>
      </c>
      <c r="F4668" t="s">
        <v>17</v>
      </c>
    </row>
    <row r="4669" spans="1:6" x14ac:dyDescent="0.3">
      <c r="A4669" t="s">
        <v>1241</v>
      </c>
      <c r="B4669" t="s">
        <v>1242</v>
      </c>
      <c r="C4669" t="str">
        <f>HYPERLINK("http://service.sap.com/sap/support/notes/2020208","2020208")</f>
        <v>2020208</v>
      </c>
      <c r="D4669">
        <v>3</v>
      </c>
      <c r="E4669" t="s">
        <v>4971</v>
      </c>
      <c r="F4669" t="s">
        <v>17</v>
      </c>
    </row>
    <row r="4670" spans="1:6" x14ac:dyDescent="0.3">
      <c r="A4670" t="s">
        <v>1241</v>
      </c>
      <c r="B4670" t="s">
        <v>1242</v>
      </c>
      <c r="C4670" t="str">
        <f>HYPERLINK("http://service.sap.com/sap/support/notes/2028397","2028397")</f>
        <v>2028397</v>
      </c>
      <c r="D4670">
        <v>3</v>
      </c>
      <c r="E4670" t="s">
        <v>4972</v>
      </c>
      <c r="F4670" t="s">
        <v>17</v>
      </c>
    </row>
    <row r="4671" spans="1:6" x14ac:dyDescent="0.3">
      <c r="A4671" t="s">
        <v>1241</v>
      </c>
      <c r="B4671" t="s">
        <v>1242</v>
      </c>
      <c r="C4671" t="str">
        <f>HYPERLINK("http://service.sap.com/sap/support/notes/2034034","2034034")</f>
        <v>2034034</v>
      </c>
      <c r="D4671">
        <v>5</v>
      </c>
      <c r="E4671" t="s">
        <v>4973</v>
      </c>
      <c r="F4671" t="s">
        <v>17</v>
      </c>
    </row>
    <row r="4672" spans="1:6" x14ac:dyDescent="0.3">
      <c r="A4672" t="s">
        <v>1241</v>
      </c>
      <c r="B4672" t="s">
        <v>1242</v>
      </c>
      <c r="C4672" t="str">
        <f>HYPERLINK("http://service.sap.com/sap/support/notes/2044320","2044320")</f>
        <v>2044320</v>
      </c>
      <c r="D4672">
        <v>1</v>
      </c>
      <c r="E4672" t="s">
        <v>4974</v>
      </c>
      <c r="F4672" t="s">
        <v>17</v>
      </c>
    </row>
    <row r="4673" spans="1:6" x14ac:dyDescent="0.3">
      <c r="A4673" t="s">
        <v>1250</v>
      </c>
      <c r="B4673" t="s">
        <v>1251</v>
      </c>
      <c r="C4673" t="str">
        <f>HYPERLINK("http://service.sap.com/sap/support/notes/2035300","2035300")</f>
        <v>2035300</v>
      </c>
      <c r="D4673">
        <v>3</v>
      </c>
      <c r="E4673" t="s">
        <v>4975</v>
      </c>
      <c r="F4673" t="s">
        <v>17</v>
      </c>
    </row>
    <row r="4674" spans="1:6" x14ac:dyDescent="0.3">
      <c r="A4674" t="s">
        <v>1250</v>
      </c>
      <c r="B4674" t="s">
        <v>1251</v>
      </c>
      <c r="C4674" t="str">
        <f>HYPERLINK("http://service.sap.com/sap/support/notes/2048499","2048499")</f>
        <v>2048499</v>
      </c>
      <c r="D4674">
        <v>2</v>
      </c>
      <c r="E4674" t="s">
        <v>4976</v>
      </c>
      <c r="F4674" t="s">
        <v>17</v>
      </c>
    </row>
    <row r="4675" spans="1:6" x14ac:dyDescent="0.3">
      <c r="A4675" t="s">
        <v>1250</v>
      </c>
      <c r="B4675" t="s">
        <v>1251</v>
      </c>
      <c r="C4675" t="str">
        <f>HYPERLINK("http://service.sap.com/sap/support/notes/2051721","2051721")</f>
        <v>2051721</v>
      </c>
      <c r="D4675">
        <v>2</v>
      </c>
      <c r="E4675" t="s">
        <v>4977</v>
      </c>
      <c r="F4675" t="s">
        <v>17</v>
      </c>
    </row>
    <row r="4676" spans="1:6" x14ac:dyDescent="0.3">
      <c r="A4676" t="s">
        <v>1250</v>
      </c>
      <c r="B4676" t="s">
        <v>1251</v>
      </c>
      <c r="C4676" t="str">
        <f>HYPERLINK("http://service.sap.com/sap/support/notes/2061969","2061969")</f>
        <v>2061969</v>
      </c>
      <c r="D4676">
        <v>1</v>
      </c>
      <c r="E4676" t="s">
        <v>4978</v>
      </c>
      <c r="F4676" t="s">
        <v>17</v>
      </c>
    </row>
    <row r="4677" spans="1:6" x14ac:dyDescent="0.3">
      <c r="A4677" t="s">
        <v>1260</v>
      </c>
      <c r="B4677" t="s">
        <v>1261</v>
      </c>
      <c r="C4677" t="str">
        <f>HYPERLINK("http://service.sap.com/sap/support/notes/1760075","1760075")</f>
        <v>1760075</v>
      </c>
      <c r="D4677">
        <v>5</v>
      </c>
      <c r="E4677" t="s">
        <v>4979</v>
      </c>
      <c r="F4677" t="s">
        <v>17</v>
      </c>
    </row>
    <row r="4678" spans="1:6" x14ac:dyDescent="0.3">
      <c r="A4678" t="s">
        <v>1260</v>
      </c>
      <c r="B4678" t="s">
        <v>1261</v>
      </c>
      <c r="C4678" t="str">
        <f>HYPERLINK("http://service.sap.com/sap/support/notes/2032878","2032878")</f>
        <v>2032878</v>
      </c>
      <c r="D4678">
        <v>2</v>
      </c>
      <c r="E4678" t="s">
        <v>4980</v>
      </c>
      <c r="F4678" t="s">
        <v>17</v>
      </c>
    </row>
    <row r="4679" spans="1:6" x14ac:dyDescent="0.3">
      <c r="A4679" t="s">
        <v>1260</v>
      </c>
      <c r="B4679" t="s">
        <v>1261</v>
      </c>
      <c r="C4679" t="str">
        <f>HYPERLINK("http://service.sap.com/sap/support/notes/2038460","2038460")</f>
        <v>2038460</v>
      </c>
      <c r="D4679">
        <v>1</v>
      </c>
      <c r="E4679" t="s">
        <v>4981</v>
      </c>
      <c r="F4679" t="s">
        <v>17</v>
      </c>
    </row>
    <row r="4680" spans="1:6" x14ac:dyDescent="0.3">
      <c r="A4680" t="s">
        <v>1267</v>
      </c>
      <c r="B4680" t="s">
        <v>1268</v>
      </c>
      <c r="C4680" t="str">
        <f>HYPERLINK("http://service.sap.com/sap/support/notes/1783723","1783723")</f>
        <v>1783723</v>
      </c>
      <c r="D4680">
        <v>3</v>
      </c>
      <c r="E4680" t="s">
        <v>4982</v>
      </c>
      <c r="F4680" t="s">
        <v>17</v>
      </c>
    </row>
    <row r="4681" spans="1:6" x14ac:dyDescent="0.3">
      <c r="A4681" t="s">
        <v>1270</v>
      </c>
      <c r="B4681" t="s">
        <v>1271</v>
      </c>
      <c r="C4681" t="str">
        <f>HYPERLINK("http://service.sap.com/sap/support/notes/1864986","1864986")</f>
        <v>1864986</v>
      </c>
      <c r="D4681">
        <v>1</v>
      </c>
      <c r="E4681" t="s">
        <v>4983</v>
      </c>
      <c r="F4681" t="s">
        <v>17</v>
      </c>
    </row>
    <row r="4682" spans="1:6" x14ac:dyDescent="0.3">
      <c r="A4682" t="s">
        <v>1270</v>
      </c>
      <c r="B4682" t="s">
        <v>1271</v>
      </c>
      <c r="C4682" t="str">
        <f>HYPERLINK("http://service.sap.com/sap/support/notes/1923178","1923178")</f>
        <v>1923178</v>
      </c>
      <c r="D4682">
        <v>3</v>
      </c>
      <c r="E4682" t="s">
        <v>4984</v>
      </c>
      <c r="F4682" t="s">
        <v>17</v>
      </c>
    </row>
    <row r="4683" spans="1:6" x14ac:dyDescent="0.3">
      <c r="A4683" t="s">
        <v>1270</v>
      </c>
      <c r="B4683" t="s">
        <v>1271</v>
      </c>
      <c r="C4683" t="str">
        <f>HYPERLINK("http://service.sap.com/sap/support/notes/2020645","2020645")</f>
        <v>2020645</v>
      </c>
      <c r="D4683">
        <v>1</v>
      </c>
      <c r="E4683" t="s">
        <v>4985</v>
      </c>
      <c r="F4683" t="s">
        <v>17</v>
      </c>
    </row>
    <row r="4684" spans="1:6" x14ac:dyDescent="0.3">
      <c r="A4684" t="s">
        <v>1270</v>
      </c>
      <c r="B4684" t="s">
        <v>1271</v>
      </c>
      <c r="C4684" t="str">
        <f>HYPERLINK("http://service.sap.com/sap/support/notes/2027341","2027341")</f>
        <v>2027341</v>
      </c>
      <c r="D4684">
        <v>4</v>
      </c>
      <c r="E4684" t="s">
        <v>4986</v>
      </c>
      <c r="F4684" t="s">
        <v>17</v>
      </c>
    </row>
    <row r="4685" spans="1:6" x14ac:dyDescent="0.3">
      <c r="A4685" t="s">
        <v>1270</v>
      </c>
      <c r="B4685" t="s">
        <v>1271</v>
      </c>
      <c r="C4685" t="str">
        <f>HYPERLINK("http://service.sap.com/sap/support/notes/2034662","2034662")</f>
        <v>2034662</v>
      </c>
      <c r="D4685">
        <v>3</v>
      </c>
      <c r="E4685" t="s">
        <v>4987</v>
      </c>
      <c r="F4685" t="s">
        <v>11</v>
      </c>
    </row>
    <row r="4686" spans="1:6" x14ac:dyDescent="0.3">
      <c r="A4686" t="s">
        <v>1270</v>
      </c>
      <c r="B4686" t="s">
        <v>1271</v>
      </c>
      <c r="C4686" t="str">
        <f>HYPERLINK("http://service.sap.com/sap/support/notes/2036701","2036701")</f>
        <v>2036701</v>
      </c>
      <c r="D4686">
        <v>1</v>
      </c>
      <c r="E4686" t="s">
        <v>4988</v>
      </c>
      <c r="F4686" t="s">
        <v>17</v>
      </c>
    </row>
    <row r="4687" spans="1:6" x14ac:dyDescent="0.3">
      <c r="A4687" t="s">
        <v>1270</v>
      </c>
      <c r="B4687" t="s">
        <v>1271</v>
      </c>
      <c r="C4687" t="str">
        <f>HYPERLINK("http://service.sap.com/sap/support/notes/2039629","2039629")</f>
        <v>2039629</v>
      </c>
      <c r="D4687">
        <v>2</v>
      </c>
      <c r="E4687" t="s">
        <v>4989</v>
      </c>
      <c r="F4687" t="s">
        <v>13</v>
      </c>
    </row>
    <row r="4688" spans="1:6" x14ac:dyDescent="0.3">
      <c r="A4688" t="s">
        <v>1270</v>
      </c>
      <c r="B4688" t="s">
        <v>1271</v>
      </c>
      <c r="C4688" t="str">
        <f>HYPERLINK("http://service.sap.com/sap/support/notes/2041931","2041931")</f>
        <v>2041931</v>
      </c>
      <c r="D4688">
        <v>3</v>
      </c>
      <c r="E4688" t="s">
        <v>4990</v>
      </c>
      <c r="F4688" t="s">
        <v>11</v>
      </c>
    </row>
    <row r="4689" spans="1:6" x14ac:dyDescent="0.3">
      <c r="A4689" t="s">
        <v>1270</v>
      </c>
      <c r="B4689" t="s">
        <v>1271</v>
      </c>
      <c r="C4689" t="str">
        <f>HYPERLINK("http://service.sap.com/sap/support/notes/2043119","2043119")</f>
        <v>2043119</v>
      </c>
      <c r="D4689">
        <v>1</v>
      </c>
      <c r="E4689" t="s">
        <v>4991</v>
      </c>
      <c r="F4689" t="s">
        <v>17</v>
      </c>
    </row>
    <row r="4690" spans="1:6" x14ac:dyDescent="0.3">
      <c r="A4690" t="s">
        <v>1270</v>
      </c>
      <c r="B4690" t="s">
        <v>1271</v>
      </c>
      <c r="C4690" t="str">
        <f>HYPERLINK("http://service.sap.com/sap/support/notes/2044800","2044800")</f>
        <v>2044800</v>
      </c>
      <c r="D4690">
        <v>1</v>
      </c>
      <c r="E4690" t="s">
        <v>4992</v>
      </c>
      <c r="F4690" t="s">
        <v>17</v>
      </c>
    </row>
    <row r="4691" spans="1:6" x14ac:dyDescent="0.3">
      <c r="A4691" t="s">
        <v>1270</v>
      </c>
      <c r="B4691" t="s">
        <v>1271</v>
      </c>
      <c r="C4691" t="str">
        <f>HYPERLINK("http://service.sap.com/sap/support/notes/2055167","2055167")</f>
        <v>2055167</v>
      </c>
      <c r="D4691">
        <v>1</v>
      </c>
      <c r="E4691" t="s">
        <v>4993</v>
      </c>
      <c r="F4691" t="s">
        <v>17</v>
      </c>
    </row>
    <row r="4692" spans="1:6" x14ac:dyDescent="0.3">
      <c r="A4692" t="s">
        <v>1270</v>
      </c>
      <c r="B4692" t="s">
        <v>1271</v>
      </c>
      <c r="C4692" t="str">
        <f>HYPERLINK("http://service.sap.com/sap/support/notes/2057508","2057508")</f>
        <v>2057508</v>
      </c>
      <c r="D4692">
        <v>1</v>
      </c>
      <c r="E4692" t="s">
        <v>4994</v>
      </c>
      <c r="F4692" t="s">
        <v>13</v>
      </c>
    </row>
    <row r="4693" spans="1:6" x14ac:dyDescent="0.3">
      <c r="A4693" t="s">
        <v>1278</v>
      </c>
      <c r="B4693" t="s">
        <v>1279</v>
      </c>
    </row>
    <row r="4694" spans="1:6" x14ac:dyDescent="0.3">
      <c r="A4694" t="s">
        <v>1280</v>
      </c>
      <c r="B4694" t="s">
        <v>4995</v>
      </c>
    </row>
    <row r="4695" spans="1:6" x14ac:dyDescent="0.3">
      <c r="A4695" t="s">
        <v>4996</v>
      </c>
      <c r="B4695" t="s">
        <v>353</v>
      </c>
    </row>
    <row r="4696" spans="1:6" x14ac:dyDescent="0.3">
      <c r="A4696" t="s">
        <v>4997</v>
      </c>
      <c r="B4696" t="s">
        <v>4998</v>
      </c>
      <c r="C4696" t="str">
        <f>HYPERLINK("http://service.sap.com/sap/support/notes/2027626","2027626")</f>
        <v>2027626</v>
      </c>
      <c r="D4696">
        <v>2</v>
      </c>
      <c r="E4696" t="s">
        <v>4999</v>
      </c>
      <c r="F4696" t="s">
        <v>17</v>
      </c>
    </row>
    <row r="4697" spans="1:6" x14ac:dyDescent="0.3">
      <c r="A4697" t="s">
        <v>1288</v>
      </c>
      <c r="B4697" t="s">
        <v>1289</v>
      </c>
    </row>
    <row r="4698" spans="1:6" x14ac:dyDescent="0.3">
      <c r="A4698" t="s">
        <v>1290</v>
      </c>
      <c r="B4698" t="s">
        <v>1291</v>
      </c>
      <c r="C4698" t="str">
        <f>HYPERLINK("http://service.sap.com/sap/support/notes/1987175","1987175")</f>
        <v>1987175</v>
      </c>
      <c r="D4698">
        <v>2</v>
      </c>
      <c r="E4698" t="s">
        <v>5000</v>
      </c>
      <c r="F4698" t="s">
        <v>17</v>
      </c>
    </row>
    <row r="4699" spans="1:6" x14ac:dyDescent="0.3">
      <c r="A4699" t="s">
        <v>1290</v>
      </c>
      <c r="B4699" t="s">
        <v>1291</v>
      </c>
      <c r="C4699" t="str">
        <f>HYPERLINK("http://service.sap.com/sap/support/notes/2005789","2005789")</f>
        <v>2005789</v>
      </c>
      <c r="D4699">
        <v>2</v>
      </c>
      <c r="E4699" t="s">
        <v>5001</v>
      </c>
      <c r="F4699" t="s">
        <v>17</v>
      </c>
    </row>
    <row r="4700" spans="1:6" x14ac:dyDescent="0.3">
      <c r="A4700" t="s">
        <v>1293</v>
      </c>
      <c r="B4700" t="s">
        <v>1294</v>
      </c>
      <c r="C4700" t="str">
        <f>HYPERLINK("http://service.sap.com/sap/support/notes/1999315","1999315")</f>
        <v>1999315</v>
      </c>
      <c r="D4700">
        <v>1</v>
      </c>
      <c r="E4700" t="s">
        <v>5002</v>
      </c>
      <c r="F4700" t="s">
        <v>11</v>
      </c>
    </row>
    <row r="4701" spans="1:6" x14ac:dyDescent="0.3">
      <c r="A4701" t="s">
        <v>2356</v>
      </c>
      <c r="B4701" t="s">
        <v>2357</v>
      </c>
      <c r="C4701" t="str">
        <f>HYPERLINK("http://service.sap.com/sap/support/notes/1938349","1938349")</f>
        <v>1938349</v>
      </c>
      <c r="D4701">
        <v>2</v>
      </c>
      <c r="E4701" t="s">
        <v>5003</v>
      </c>
      <c r="F4701" t="s">
        <v>17</v>
      </c>
    </row>
    <row r="4702" spans="1:6" x14ac:dyDescent="0.3">
      <c r="A4702" t="s">
        <v>1300</v>
      </c>
      <c r="B4702" t="s">
        <v>1301</v>
      </c>
      <c r="C4702" t="str">
        <f>HYPERLINK("http://service.sap.com/sap/support/notes/2002148","2002148")</f>
        <v>2002148</v>
      </c>
      <c r="D4702">
        <v>1</v>
      </c>
      <c r="E4702" t="s">
        <v>5004</v>
      </c>
      <c r="F4702" t="s">
        <v>13</v>
      </c>
    </row>
    <row r="4703" spans="1:6" x14ac:dyDescent="0.3">
      <c r="A4703" t="s">
        <v>1300</v>
      </c>
      <c r="B4703" t="s">
        <v>1301</v>
      </c>
      <c r="C4703" t="str">
        <f>HYPERLINK("http://service.sap.com/sap/support/notes/2022390","2022390")</f>
        <v>2022390</v>
      </c>
      <c r="D4703">
        <v>1</v>
      </c>
      <c r="E4703" t="s">
        <v>5005</v>
      </c>
      <c r="F4703" t="s">
        <v>17</v>
      </c>
    </row>
    <row r="4704" spans="1:6" x14ac:dyDescent="0.3">
      <c r="A4704" t="s">
        <v>2364</v>
      </c>
      <c r="B4704" t="s">
        <v>243</v>
      </c>
      <c r="C4704" t="str">
        <f>HYPERLINK("http://service.sap.com/sap/support/notes/1593074","1593074")</f>
        <v>1593074</v>
      </c>
      <c r="D4704">
        <v>4</v>
      </c>
      <c r="E4704" t="s">
        <v>5006</v>
      </c>
      <c r="F4704" t="s">
        <v>13</v>
      </c>
    </row>
    <row r="4705" spans="1:6" x14ac:dyDescent="0.3">
      <c r="A4705" t="s">
        <v>2364</v>
      </c>
      <c r="B4705" t="s">
        <v>243</v>
      </c>
      <c r="C4705" t="str">
        <f>HYPERLINK("http://service.sap.com/sap/support/notes/2010022","2010022")</f>
        <v>2010022</v>
      </c>
      <c r="D4705">
        <v>1</v>
      </c>
      <c r="E4705" t="s">
        <v>5007</v>
      </c>
      <c r="F4705" t="s">
        <v>17</v>
      </c>
    </row>
    <row r="4706" spans="1:6" x14ac:dyDescent="0.3">
      <c r="A4706" t="s">
        <v>1306</v>
      </c>
      <c r="B4706" t="s">
        <v>1307</v>
      </c>
    </row>
    <row r="4707" spans="1:6" x14ac:dyDescent="0.3">
      <c r="A4707" t="s">
        <v>5008</v>
      </c>
      <c r="B4707" t="s">
        <v>5009</v>
      </c>
      <c r="C4707" t="str">
        <f>HYPERLINK("http://service.sap.com/sap/support/notes/2059308","2059308")</f>
        <v>2059308</v>
      </c>
      <c r="D4707">
        <v>1</v>
      </c>
      <c r="E4707" t="s">
        <v>5010</v>
      </c>
      <c r="F4707" t="s">
        <v>17</v>
      </c>
    </row>
    <row r="4708" spans="1:6" x14ac:dyDescent="0.3">
      <c r="A4708" t="s">
        <v>1318</v>
      </c>
      <c r="B4708" t="s">
        <v>1319</v>
      </c>
    </row>
    <row r="4709" spans="1:6" x14ac:dyDescent="0.3">
      <c r="A4709" t="s">
        <v>4135</v>
      </c>
      <c r="B4709" t="s">
        <v>4136</v>
      </c>
    </row>
    <row r="4710" spans="1:6" x14ac:dyDescent="0.3">
      <c r="A4710" t="s">
        <v>4137</v>
      </c>
      <c r="B4710" t="s">
        <v>4138</v>
      </c>
      <c r="C4710" t="str">
        <f>HYPERLINK("http://service.sap.com/sap/support/notes/2052383","2052383")</f>
        <v>2052383</v>
      </c>
      <c r="D4710">
        <v>1</v>
      </c>
      <c r="E4710" t="s">
        <v>5011</v>
      </c>
      <c r="F4710" t="s">
        <v>17</v>
      </c>
    </row>
    <row r="4711" spans="1:6" x14ac:dyDescent="0.3">
      <c r="A4711" t="s">
        <v>4137</v>
      </c>
      <c r="B4711" t="s">
        <v>4138</v>
      </c>
      <c r="C4711" t="str">
        <f>HYPERLINK("http://service.sap.com/sap/support/notes/2052385","2052385")</f>
        <v>2052385</v>
      </c>
      <c r="D4711">
        <v>1</v>
      </c>
      <c r="E4711" t="s">
        <v>5012</v>
      </c>
      <c r="F4711" t="s">
        <v>17</v>
      </c>
    </row>
    <row r="4712" spans="1:6" x14ac:dyDescent="0.3">
      <c r="A4712" t="s">
        <v>5013</v>
      </c>
      <c r="B4712" t="s">
        <v>5014</v>
      </c>
      <c r="C4712" t="str">
        <f>HYPERLINK("http://service.sap.com/sap/support/notes/2052384","2052384")</f>
        <v>2052384</v>
      </c>
      <c r="D4712">
        <v>1</v>
      </c>
      <c r="E4712" t="s">
        <v>5015</v>
      </c>
      <c r="F4712" t="s">
        <v>17</v>
      </c>
    </row>
    <row r="4713" spans="1:6" x14ac:dyDescent="0.3">
      <c r="A4713" t="s">
        <v>4139</v>
      </c>
      <c r="B4713" t="s">
        <v>4140</v>
      </c>
      <c r="C4713" t="str">
        <f>HYPERLINK("http://service.sap.com/sap/support/notes/2035205","2035205")</f>
        <v>2035205</v>
      </c>
      <c r="D4713">
        <v>1</v>
      </c>
      <c r="E4713" t="s">
        <v>5016</v>
      </c>
      <c r="F4713" t="s">
        <v>17</v>
      </c>
    </row>
    <row r="4714" spans="1:6" x14ac:dyDescent="0.3">
      <c r="A4714" t="s">
        <v>1326</v>
      </c>
      <c r="B4714" t="s">
        <v>1327</v>
      </c>
    </row>
    <row r="4715" spans="1:6" x14ac:dyDescent="0.3">
      <c r="A4715" t="s">
        <v>1328</v>
      </c>
      <c r="B4715" t="s">
        <v>1329</v>
      </c>
    </row>
    <row r="4716" spans="1:6" x14ac:dyDescent="0.3">
      <c r="A4716" t="s">
        <v>1334</v>
      </c>
      <c r="B4716" t="s">
        <v>1335</v>
      </c>
      <c r="C4716" t="str">
        <f>HYPERLINK("http://service.sap.com/sap/support/notes/1303344","1303344")</f>
        <v>1303344</v>
      </c>
      <c r="D4716">
        <v>2</v>
      </c>
      <c r="E4716" t="s">
        <v>5017</v>
      </c>
      <c r="F4716" t="s">
        <v>17</v>
      </c>
    </row>
    <row r="4717" spans="1:6" x14ac:dyDescent="0.3">
      <c r="A4717" t="s">
        <v>1334</v>
      </c>
      <c r="B4717" t="s">
        <v>1335</v>
      </c>
      <c r="C4717" t="str">
        <f>HYPERLINK("http://service.sap.com/sap/support/notes/2006054","2006054")</f>
        <v>2006054</v>
      </c>
      <c r="D4717">
        <v>2</v>
      </c>
      <c r="E4717" t="s">
        <v>5018</v>
      </c>
      <c r="F4717" t="s">
        <v>17</v>
      </c>
    </row>
    <row r="4718" spans="1:6" x14ac:dyDescent="0.3">
      <c r="A4718" t="s">
        <v>1334</v>
      </c>
      <c r="B4718" t="s">
        <v>1335</v>
      </c>
      <c r="C4718" t="str">
        <f>HYPERLINK("http://service.sap.com/sap/support/notes/2029297","2029297")</f>
        <v>2029297</v>
      </c>
      <c r="D4718">
        <v>1</v>
      </c>
      <c r="E4718" t="s">
        <v>5019</v>
      </c>
      <c r="F4718" t="s">
        <v>17</v>
      </c>
    </row>
    <row r="4719" spans="1:6" x14ac:dyDescent="0.3">
      <c r="A4719" t="s">
        <v>1334</v>
      </c>
      <c r="B4719" t="s">
        <v>1335</v>
      </c>
      <c r="C4719" t="str">
        <f>HYPERLINK("http://service.sap.com/sap/support/notes/2045056","2045056")</f>
        <v>2045056</v>
      </c>
      <c r="D4719">
        <v>1</v>
      </c>
      <c r="E4719" t="s">
        <v>5020</v>
      </c>
      <c r="F4719" t="s">
        <v>17</v>
      </c>
    </row>
    <row r="4720" spans="1:6" x14ac:dyDescent="0.3">
      <c r="A4720" t="s">
        <v>1334</v>
      </c>
      <c r="B4720" t="s">
        <v>1335</v>
      </c>
      <c r="C4720" t="str">
        <f>HYPERLINK("http://service.sap.com/sap/support/notes/2047253","2047253")</f>
        <v>2047253</v>
      </c>
      <c r="D4720">
        <v>1</v>
      </c>
      <c r="E4720" t="s">
        <v>5021</v>
      </c>
      <c r="F4720" t="s">
        <v>17</v>
      </c>
    </row>
    <row r="4721" spans="1:6" x14ac:dyDescent="0.3">
      <c r="A4721" t="s">
        <v>1364</v>
      </c>
      <c r="B4721" t="s">
        <v>1365</v>
      </c>
    </row>
    <row r="4722" spans="1:6" x14ac:dyDescent="0.3">
      <c r="A4722" t="s">
        <v>2377</v>
      </c>
      <c r="B4722" t="s">
        <v>2378</v>
      </c>
    </row>
    <row r="4723" spans="1:6" x14ac:dyDescent="0.3">
      <c r="A4723" t="s">
        <v>2379</v>
      </c>
      <c r="B4723" t="s">
        <v>2380</v>
      </c>
      <c r="C4723" t="str">
        <f>HYPERLINK("http://service.sap.com/sap/support/notes/2040140","2040140")</f>
        <v>2040140</v>
      </c>
      <c r="D4723">
        <v>2</v>
      </c>
      <c r="E4723" t="s">
        <v>5022</v>
      </c>
      <c r="F4723" t="s">
        <v>17</v>
      </c>
    </row>
    <row r="4724" spans="1:6" x14ac:dyDescent="0.3">
      <c r="A4724" t="s">
        <v>1366</v>
      </c>
      <c r="B4724" t="s">
        <v>1367</v>
      </c>
    </row>
    <row r="4725" spans="1:6" x14ac:dyDescent="0.3">
      <c r="A4725" t="s">
        <v>1368</v>
      </c>
      <c r="B4725" t="s">
        <v>1369</v>
      </c>
      <c r="C4725" t="str">
        <f>HYPERLINK("http://service.sap.com/sap/support/notes/1997910","1997910")</f>
        <v>1997910</v>
      </c>
      <c r="D4725">
        <v>1</v>
      </c>
      <c r="E4725" t="s">
        <v>5023</v>
      </c>
      <c r="F4725" t="s">
        <v>11</v>
      </c>
    </row>
    <row r="4726" spans="1:6" x14ac:dyDescent="0.3">
      <c r="A4726" t="s">
        <v>1368</v>
      </c>
      <c r="B4726" t="s">
        <v>1369</v>
      </c>
      <c r="C4726" t="str">
        <f>HYPERLINK("http://service.sap.com/sap/support/notes/2002087","2002087")</f>
        <v>2002087</v>
      </c>
      <c r="D4726">
        <v>1</v>
      </c>
      <c r="E4726" t="s">
        <v>5024</v>
      </c>
      <c r="F4726" t="s">
        <v>13</v>
      </c>
    </row>
    <row r="4727" spans="1:6" x14ac:dyDescent="0.3">
      <c r="A4727" t="s">
        <v>1371</v>
      </c>
      <c r="B4727" t="s">
        <v>1367</v>
      </c>
    </row>
    <row r="4728" spans="1:6" x14ac:dyDescent="0.3">
      <c r="A4728" t="s">
        <v>1372</v>
      </c>
      <c r="B4728" t="s">
        <v>1373</v>
      </c>
      <c r="C4728" t="str">
        <f>HYPERLINK("http://service.sap.com/sap/support/notes/1962496","1962496")</f>
        <v>1962496</v>
      </c>
      <c r="D4728">
        <v>2</v>
      </c>
      <c r="E4728" t="s">
        <v>5025</v>
      </c>
      <c r="F4728" t="s">
        <v>17</v>
      </c>
    </row>
    <row r="4729" spans="1:6" x14ac:dyDescent="0.3">
      <c r="A4729" t="s">
        <v>1372</v>
      </c>
      <c r="B4729" t="s">
        <v>1373</v>
      </c>
      <c r="C4729" t="str">
        <f>HYPERLINK("http://service.sap.com/sap/support/notes/2006628","2006628")</f>
        <v>2006628</v>
      </c>
      <c r="D4729">
        <v>1</v>
      </c>
      <c r="E4729" t="s">
        <v>5026</v>
      </c>
      <c r="F4729" t="s">
        <v>13</v>
      </c>
    </row>
    <row r="4730" spans="1:6" x14ac:dyDescent="0.3">
      <c r="A4730" t="s">
        <v>3312</v>
      </c>
      <c r="B4730" t="s">
        <v>243</v>
      </c>
    </row>
    <row r="4731" spans="1:6" x14ac:dyDescent="0.3">
      <c r="A4731" t="s">
        <v>5027</v>
      </c>
      <c r="B4731" t="s">
        <v>353</v>
      </c>
    </row>
    <row r="4732" spans="1:6" x14ac:dyDescent="0.3">
      <c r="A4732" t="s">
        <v>5028</v>
      </c>
      <c r="B4732" t="s">
        <v>5029</v>
      </c>
      <c r="C4732" t="str">
        <f>HYPERLINK("http://service.sap.com/sap/support/notes/2014017","2014017")</f>
        <v>2014017</v>
      </c>
      <c r="D4732">
        <v>9</v>
      </c>
      <c r="E4732" t="s">
        <v>5030</v>
      </c>
      <c r="F4732" t="s">
        <v>17</v>
      </c>
    </row>
    <row r="4733" spans="1:6" x14ac:dyDescent="0.3">
      <c r="A4733" t="s">
        <v>5031</v>
      </c>
      <c r="B4733" t="s">
        <v>5032</v>
      </c>
    </row>
    <row r="4734" spans="1:6" x14ac:dyDescent="0.3">
      <c r="A4734" t="s">
        <v>5033</v>
      </c>
      <c r="B4734" t="s">
        <v>5034</v>
      </c>
      <c r="C4734" t="str">
        <f>HYPERLINK("http://service.sap.com/sap/support/notes/2039606","2039606")</f>
        <v>2039606</v>
      </c>
      <c r="D4734">
        <v>5</v>
      </c>
      <c r="E4734" t="s">
        <v>5035</v>
      </c>
      <c r="F4734" t="s">
        <v>17</v>
      </c>
    </row>
    <row r="4735" spans="1:6" x14ac:dyDescent="0.3">
      <c r="A4735" t="s">
        <v>1375</v>
      </c>
      <c r="B4735" t="s">
        <v>1376</v>
      </c>
    </row>
    <row r="4736" spans="1:6" x14ac:dyDescent="0.3">
      <c r="A4736" t="s">
        <v>1380</v>
      </c>
      <c r="B4736" t="s">
        <v>2389</v>
      </c>
      <c r="C4736" t="str">
        <f>HYPERLINK("http://service.sap.com/sap/support/notes/1934627","1934627")</f>
        <v>1934627</v>
      </c>
      <c r="D4736">
        <v>2</v>
      </c>
      <c r="E4736" t="s">
        <v>5036</v>
      </c>
      <c r="F4736" t="s">
        <v>17</v>
      </c>
    </row>
    <row r="4737" spans="1:6" x14ac:dyDescent="0.3">
      <c r="A4737" t="s">
        <v>1380</v>
      </c>
      <c r="B4737" t="s">
        <v>2389</v>
      </c>
      <c r="C4737" t="str">
        <f>HYPERLINK("http://service.sap.com/sap/support/notes/2027302","2027302")</f>
        <v>2027302</v>
      </c>
      <c r="D4737">
        <v>1</v>
      </c>
      <c r="E4737" t="s">
        <v>5037</v>
      </c>
      <c r="F4737" t="s">
        <v>17</v>
      </c>
    </row>
    <row r="4738" spans="1:6" x14ac:dyDescent="0.3">
      <c r="A4738" t="s">
        <v>1380</v>
      </c>
      <c r="B4738" t="s">
        <v>2389</v>
      </c>
      <c r="C4738" t="str">
        <f>HYPERLINK("http://service.sap.com/sap/support/notes/2035490","2035490")</f>
        <v>2035490</v>
      </c>
      <c r="D4738">
        <v>3</v>
      </c>
      <c r="E4738" t="s">
        <v>5038</v>
      </c>
      <c r="F4738" t="s">
        <v>17</v>
      </c>
    </row>
    <row r="4739" spans="1:6" x14ac:dyDescent="0.3">
      <c r="A4739" t="s">
        <v>1385</v>
      </c>
      <c r="B4739" t="s">
        <v>845</v>
      </c>
      <c r="C4739" t="str">
        <f>HYPERLINK("http://service.sap.com/sap/support/notes/2057665","2057665")</f>
        <v>2057665</v>
      </c>
      <c r="D4739">
        <v>1</v>
      </c>
      <c r="E4739" t="s">
        <v>5039</v>
      </c>
      <c r="F4739" t="s">
        <v>17</v>
      </c>
    </row>
    <row r="4740" spans="1:6" x14ac:dyDescent="0.3">
      <c r="A4740" t="s">
        <v>1394</v>
      </c>
      <c r="B4740" t="s">
        <v>1395</v>
      </c>
    </row>
    <row r="4741" spans="1:6" x14ac:dyDescent="0.3">
      <c r="A4741" t="s">
        <v>1396</v>
      </c>
      <c r="B4741" t="s">
        <v>1397</v>
      </c>
      <c r="C4741" t="str">
        <f>HYPERLINK("http://service.sap.com/sap/support/notes/2040148","2040148")</f>
        <v>2040148</v>
      </c>
      <c r="D4741">
        <v>2</v>
      </c>
      <c r="E4741" t="s">
        <v>5040</v>
      </c>
      <c r="F4741" t="s">
        <v>17</v>
      </c>
    </row>
    <row r="4742" spans="1:6" x14ac:dyDescent="0.3">
      <c r="A4742" t="s">
        <v>2394</v>
      </c>
      <c r="B4742" t="s">
        <v>243</v>
      </c>
      <c r="C4742" t="str">
        <f>HYPERLINK("http://service.sap.com/sap/support/notes/2037043","2037043")</f>
        <v>2037043</v>
      </c>
      <c r="D4742">
        <v>1</v>
      </c>
      <c r="E4742" t="s">
        <v>5041</v>
      </c>
      <c r="F4742" t="s">
        <v>17</v>
      </c>
    </row>
    <row r="4743" spans="1:6" x14ac:dyDescent="0.3">
      <c r="A4743" t="s">
        <v>2394</v>
      </c>
      <c r="B4743" t="s">
        <v>243</v>
      </c>
      <c r="C4743" t="str">
        <f>HYPERLINK("http://service.sap.com/sap/support/notes/2037273","2037273")</f>
        <v>2037273</v>
      </c>
      <c r="D4743">
        <v>1</v>
      </c>
      <c r="E4743" t="s">
        <v>5042</v>
      </c>
      <c r="F4743" t="s">
        <v>17</v>
      </c>
    </row>
    <row r="4744" spans="1:6" x14ac:dyDescent="0.3">
      <c r="A4744" t="s">
        <v>2394</v>
      </c>
      <c r="B4744" t="s">
        <v>243</v>
      </c>
      <c r="C4744" t="str">
        <f>HYPERLINK("http://service.sap.com/sap/support/notes/2038623","2038623")</f>
        <v>2038623</v>
      </c>
      <c r="D4744">
        <v>1</v>
      </c>
      <c r="E4744" t="s">
        <v>5043</v>
      </c>
      <c r="F4744" t="s">
        <v>17</v>
      </c>
    </row>
    <row r="4745" spans="1:6" x14ac:dyDescent="0.3">
      <c r="A4745" t="s">
        <v>2394</v>
      </c>
      <c r="B4745" t="s">
        <v>243</v>
      </c>
      <c r="C4745" t="str">
        <f>HYPERLINK("http://service.sap.com/sap/support/notes/2040082","2040082")</f>
        <v>2040082</v>
      </c>
      <c r="D4745">
        <v>1</v>
      </c>
      <c r="E4745" t="s">
        <v>5044</v>
      </c>
      <c r="F4745" t="s">
        <v>17</v>
      </c>
    </row>
    <row r="4746" spans="1:6" x14ac:dyDescent="0.3">
      <c r="A4746" t="s">
        <v>2394</v>
      </c>
      <c r="B4746" t="s">
        <v>243</v>
      </c>
      <c r="C4746" t="str">
        <f>HYPERLINK("http://service.sap.com/sap/support/notes/2057146","2057146")</f>
        <v>2057146</v>
      </c>
      <c r="D4746">
        <v>2</v>
      </c>
      <c r="E4746" t="s">
        <v>5045</v>
      </c>
      <c r="F4746" t="s">
        <v>17</v>
      </c>
    </row>
    <row r="4747" spans="1:6" x14ac:dyDescent="0.3">
      <c r="A4747" t="s">
        <v>2396</v>
      </c>
      <c r="B4747" t="s">
        <v>138</v>
      </c>
      <c r="C4747" t="str">
        <f>HYPERLINK("http://service.sap.com/sap/support/notes/778698","778698")</f>
        <v>778698</v>
      </c>
      <c r="D4747">
        <v>3</v>
      </c>
      <c r="E4747" t="s">
        <v>5046</v>
      </c>
      <c r="F4747" t="s">
        <v>17</v>
      </c>
    </row>
    <row r="4748" spans="1:6" x14ac:dyDescent="0.3">
      <c r="A4748" t="s">
        <v>2396</v>
      </c>
      <c r="B4748" t="s">
        <v>138</v>
      </c>
      <c r="C4748" t="str">
        <f>HYPERLINK("http://service.sap.com/sap/support/notes/2019097","2019097")</f>
        <v>2019097</v>
      </c>
      <c r="D4748">
        <v>3</v>
      </c>
      <c r="E4748" t="s">
        <v>5047</v>
      </c>
      <c r="F4748" t="s">
        <v>17</v>
      </c>
    </row>
    <row r="4749" spans="1:6" x14ac:dyDescent="0.3">
      <c r="A4749" t="s">
        <v>2396</v>
      </c>
      <c r="B4749" t="s">
        <v>138</v>
      </c>
      <c r="C4749" t="str">
        <f>HYPERLINK("http://service.sap.com/sap/support/notes/2031390","2031390")</f>
        <v>2031390</v>
      </c>
      <c r="D4749">
        <v>2</v>
      </c>
      <c r="E4749" t="s">
        <v>5048</v>
      </c>
      <c r="F4749" t="s">
        <v>17</v>
      </c>
    </row>
    <row r="4750" spans="1:6" x14ac:dyDescent="0.3">
      <c r="A4750" t="s">
        <v>1400</v>
      </c>
      <c r="B4750" t="s">
        <v>4161</v>
      </c>
      <c r="C4750" t="str">
        <f>HYPERLINK("http://service.sap.com/sap/support/notes/1788639","1788639")</f>
        <v>1788639</v>
      </c>
      <c r="D4750">
        <v>2</v>
      </c>
      <c r="E4750" t="s">
        <v>5049</v>
      </c>
      <c r="F4750" t="s">
        <v>17</v>
      </c>
    </row>
    <row r="4751" spans="1:6" x14ac:dyDescent="0.3">
      <c r="A4751" t="s">
        <v>1402</v>
      </c>
      <c r="B4751" t="s">
        <v>1403</v>
      </c>
    </row>
    <row r="4752" spans="1:6" x14ac:dyDescent="0.3">
      <c r="A4752" t="s">
        <v>2398</v>
      </c>
      <c r="B4752" t="s">
        <v>1405</v>
      </c>
      <c r="C4752" t="str">
        <f>HYPERLINK("http://service.sap.com/sap/support/notes/2037522","2037522")</f>
        <v>2037522</v>
      </c>
      <c r="D4752">
        <v>1</v>
      </c>
      <c r="E4752" t="s">
        <v>5050</v>
      </c>
      <c r="F4752" t="s">
        <v>17</v>
      </c>
    </row>
    <row r="4753" spans="1:6" x14ac:dyDescent="0.3">
      <c r="A4753" t="s">
        <v>1404</v>
      </c>
      <c r="B4753" t="s">
        <v>1405</v>
      </c>
      <c r="C4753" t="str">
        <f>HYPERLINK("http://service.sap.com/sap/support/notes/2045855","2045855")</f>
        <v>2045855</v>
      </c>
      <c r="D4753">
        <v>3</v>
      </c>
      <c r="E4753" t="s">
        <v>5051</v>
      </c>
      <c r="F4753" t="s">
        <v>17</v>
      </c>
    </row>
    <row r="4754" spans="1:6" x14ac:dyDescent="0.3">
      <c r="A4754" t="s">
        <v>1411</v>
      </c>
      <c r="B4754" t="s">
        <v>1412</v>
      </c>
      <c r="C4754" t="str">
        <f>HYPERLINK("http://service.sap.com/sap/support/notes/1246845","1246845")</f>
        <v>1246845</v>
      </c>
      <c r="D4754">
        <v>7</v>
      </c>
      <c r="E4754" t="s">
        <v>5052</v>
      </c>
      <c r="F4754" t="s">
        <v>17</v>
      </c>
    </row>
    <row r="4755" spans="1:6" x14ac:dyDescent="0.3">
      <c r="A4755" t="s">
        <v>1411</v>
      </c>
      <c r="B4755" t="s">
        <v>1412</v>
      </c>
      <c r="C4755" t="str">
        <f>HYPERLINK("http://service.sap.com/sap/support/notes/1656635","1656635")</f>
        <v>1656635</v>
      </c>
      <c r="D4755">
        <v>2</v>
      </c>
      <c r="E4755" t="s">
        <v>5053</v>
      </c>
      <c r="F4755" t="s">
        <v>17</v>
      </c>
    </row>
    <row r="4756" spans="1:6" x14ac:dyDescent="0.3">
      <c r="A4756" t="s">
        <v>1411</v>
      </c>
      <c r="B4756" t="s">
        <v>1412</v>
      </c>
      <c r="C4756" t="str">
        <f>HYPERLINK("http://service.sap.com/sap/support/notes/1793361","1793361")</f>
        <v>1793361</v>
      </c>
      <c r="D4756">
        <v>2</v>
      </c>
      <c r="E4756" t="s">
        <v>5054</v>
      </c>
      <c r="F4756" t="s">
        <v>11</v>
      </c>
    </row>
    <row r="4757" spans="1:6" x14ac:dyDescent="0.3">
      <c r="A4757" t="s">
        <v>1411</v>
      </c>
      <c r="B4757" t="s">
        <v>1412</v>
      </c>
      <c r="C4757" t="str">
        <f>HYPERLINK("http://service.sap.com/sap/support/notes/1807736","1807736")</f>
        <v>1807736</v>
      </c>
      <c r="D4757">
        <v>3</v>
      </c>
      <c r="E4757" t="s">
        <v>5055</v>
      </c>
      <c r="F4757" t="s">
        <v>17</v>
      </c>
    </row>
    <row r="4758" spans="1:6" x14ac:dyDescent="0.3">
      <c r="A4758" t="s">
        <v>1411</v>
      </c>
      <c r="B4758" t="s">
        <v>1412</v>
      </c>
      <c r="C4758" t="str">
        <f>HYPERLINK("http://service.sap.com/sap/support/notes/1998235","1998235")</f>
        <v>1998235</v>
      </c>
      <c r="D4758">
        <v>4</v>
      </c>
      <c r="E4758" t="s">
        <v>5056</v>
      </c>
      <c r="F4758" t="s">
        <v>17</v>
      </c>
    </row>
    <row r="4759" spans="1:6" x14ac:dyDescent="0.3">
      <c r="A4759" t="s">
        <v>1411</v>
      </c>
      <c r="B4759" t="s">
        <v>1412</v>
      </c>
      <c r="C4759" t="str">
        <f>HYPERLINK("http://service.sap.com/sap/support/notes/2005062","2005062")</f>
        <v>2005062</v>
      </c>
      <c r="D4759">
        <v>2</v>
      </c>
      <c r="E4759" t="s">
        <v>5057</v>
      </c>
      <c r="F4759" t="s">
        <v>17</v>
      </c>
    </row>
    <row r="4760" spans="1:6" x14ac:dyDescent="0.3">
      <c r="A4760" t="s">
        <v>1411</v>
      </c>
      <c r="B4760" t="s">
        <v>1412</v>
      </c>
      <c r="C4760" t="str">
        <f>HYPERLINK("http://service.sap.com/sap/support/notes/2011137","2011137")</f>
        <v>2011137</v>
      </c>
      <c r="D4760">
        <v>2</v>
      </c>
      <c r="E4760" t="s">
        <v>5058</v>
      </c>
      <c r="F4760" t="s">
        <v>17</v>
      </c>
    </row>
    <row r="4761" spans="1:6" x14ac:dyDescent="0.3">
      <c r="A4761" t="s">
        <v>1411</v>
      </c>
      <c r="B4761" t="s">
        <v>1412</v>
      </c>
      <c r="C4761" t="str">
        <f>HYPERLINK("http://service.sap.com/sap/support/notes/2016492","2016492")</f>
        <v>2016492</v>
      </c>
      <c r="D4761">
        <v>2</v>
      </c>
      <c r="E4761" t="s">
        <v>5059</v>
      </c>
      <c r="F4761" t="s">
        <v>17</v>
      </c>
    </row>
    <row r="4762" spans="1:6" x14ac:dyDescent="0.3">
      <c r="A4762" t="s">
        <v>1411</v>
      </c>
      <c r="B4762" t="s">
        <v>1412</v>
      </c>
      <c r="C4762" t="str">
        <f>HYPERLINK("http://service.sap.com/sap/support/notes/2018282","2018282")</f>
        <v>2018282</v>
      </c>
      <c r="D4762">
        <v>1</v>
      </c>
      <c r="E4762" t="s">
        <v>5060</v>
      </c>
      <c r="F4762" t="s">
        <v>17</v>
      </c>
    </row>
    <row r="4763" spans="1:6" x14ac:dyDescent="0.3">
      <c r="A4763" t="s">
        <v>1411</v>
      </c>
      <c r="B4763" t="s">
        <v>1412</v>
      </c>
      <c r="C4763" t="str">
        <f>HYPERLINK("http://service.sap.com/sap/support/notes/2022755","2022755")</f>
        <v>2022755</v>
      </c>
      <c r="D4763">
        <v>3</v>
      </c>
      <c r="E4763" t="s">
        <v>5061</v>
      </c>
      <c r="F4763" t="s">
        <v>17</v>
      </c>
    </row>
    <row r="4764" spans="1:6" x14ac:dyDescent="0.3">
      <c r="A4764" t="s">
        <v>1411</v>
      </c>
      <c r="B4764" t="s">
        <v>1412</v>
      </c>
      <c r="C4764" t="str">
        <f>HYPERLINK("http://service.sap.com/sap/support/notes/2029580","2029580")</f>
        <v>2029580</v>
      </c>
      <c r="D4764">
        <v>2</v>
      </c>
      <c r="E4764" t="s">
        <v>5062</v>
      </c>
      <c r="F4764" t="s">
        <v>17</v>
      </c>
    </row>
    <row r="4765" spans="1:6" x14ac:dyDescent="0.3">
      <c r="A4765" t="s">
        <v>1411</v>
      </c>
      <c r="B4765" t="s">
        <v>1412</v>
      </c>
      <c r="C4765" t="str">
        <f>HYPERLINK("http://service.sap.com/sap/support/notes/2030379","2030379")</f>
        <v>2030379</v>
      </c>
      <c r="D4765">
        <v>2</v>
      </c>
      <c r="E4765" t="s">
        <v>5063</v>
      </c>
      <c r="F4765" t="s">
        <v>17</v>
      </c>
    </row>
    <row r="4766" spans="1:6" x14ac:dyDescent="0.3">
      <c r="A4766" t="s">
        <v>1411</v>
      </c>
      <c r="B4766" t="s">
        <v>1412</v>
      </c>
      <c r="C4766" t="str">
        <f>HYPERLINK("http://service.sap.com/sap/support/notes/2045025","2045025")</f>
        <v>2045025</v>
      </c>
      <c r="D4766">
        <v>2</v>
      </c>
      <c r="E4766" t="s">
        <v>5064</v>
      </c>
      <c r="F4766" t="s">
        <v>17</v>
      </c>
    </row>
    <row r="4767" spans="1:6" x14ac:dyDescent="0.3">
      <c r="A4767" t="s">
        <v>1411</v>
      </c>
      <c r="B4767" t="s">
        <v>1412</v>
      </c>
      <c r="C4767" t="str">
        <f>HYPERLINK("http://service.sap.com/sap/support/notes/2048664","2048664")</f>
        <v>2048664</v>
      </c>
      <c r="D4767">
        <v>3</v>
      </c>
      <c r="E4767" t="s">
        <v>5065</v>
      </c>
      <c r="F4767" t="s">
        <v>17</v>
      </c>
    </row>
    <row r="4768" spans="1:6" x14ac:dyDescent="0.3">
      <c r="A4768" t="s">
        <v>1411</v>
      </c>
      <c r="B4768" t="s">
        <v>1412</v>
      </c>
      <c r="C4768" t="str">
        <f>HYPERLINK("http://service.sap.com/sap/support/notes/2052656","2052656")</f>
        <v>2052656</v>
      </c>
      <c r="D4768">
        <v>1</v>
      </c>
      <c r="E4768" t="s">
        <v>5066</v>
      </c>
      <c r="F4768" t="s">
        <v>17</v>
      </c>
    </row>
    <row r="4769" spans="1:6" x14ac:dyDescent="0.3">
      <c r="A4769" t="s">
        <v>1411</v>
      </c>
      <c r="B4769" t="s">
        <v>1412</v>
      </c>
      <c r="C4769" t="str">
        <f>HYPERLINK("http://service.sap.com/sap/support/notes/2052658","2052658")</f>
        <v>2052658</v>
      </c>
      <c r="D4769">
        <v>2</v>
      </c>
      <c r="E4769" t="s">
        <v>5067</v>
      </c>
      <c r="F4769" t="s">
        <v>17</v>
      </c>
    </row>
    <row r="4770" spans="1:6" x14ac:dyDescent="0.3">
      <c r="A4770" t="s">
        <v>1411</v>
      </c>
      <c r="B4770" t="s">
        <v>1412</v>
      </c>
      <c r="C4770" t="str">
        <f>HYPERLINK("http://service.sap.com/sap/support/notes/2061762","2061762")</f>
        <v>2061762</v>
      </c>
      <c r="D4770">
        <v>1</v>
      </c>
      <c r="E4770" t="s">
        <v>5068</v>
      </c>
      <c r="F4770" t="s">
        <v>17</v>
      </c>
    </row>
    <row r="4771" spans="1:6" x14ac:dyDescent="0.3">
      <c r="A4771" t="s">
        <v>1420</v>
      </c>
      <c r="B4771" t="s">
        <v>1421</v>
      </c>
    </row>
    <row r="4772" spans="1:6" x14ac:dyDescent="0.3">
      <c r="A4772" t="s">
        <v>1422</v>
      </c>
      <c r="B4772" t="s">
        <v>1423</v>
      </c>
      <c r="C4772" t="str">
        <f>HYPERLINK("http://service.sap.com/sap/support/notes/2038146","2038146")</f>
        <v>2038146</v>
      </c>
      <c r="D4772">
        <v>3</v>
      </c>
      <c r="E4772" t="s">
        <v>5069</v>
      </c>
      <c r="F4772" t="s">
        <v>17</v>
      </c>
    </row>
    <row r="4773" spans="1:6" x14ac:dyDescent="0.3">
      <c r="A4773" t="s">
        <v>1432</v>
      </c>
      <c r="B4773" t="s">
        <v>1433</v>
      </c>
    </row>
    <row r="4774" spans="1:6" x14ac:dyDescent="0.3">
      <c r="A4774" t="s">
        <v>5070</v>
      </c>
      <c r="B4774" t="s">
        <v>5071</v>
      </c>
      <c r="C4774" t="str">
        <f>HYPERLINK("http://service.sap.com/sap/support/notes/2043865","2043865")</f>
        <v>2043865</v>
      </c>
      <c r="D4774">
        <v>1</v>
      </c>
      <c r="E4774" t="s">
        <v>5072</v>
      </c>
      <c r="F4774" t="s">
        <v>17</v>
      </c>
    </row>
    <row r="4775" spans="1:6" x14ac:dyDescent="0.3">
      <c r="A4775" t="s">
        <v>1434</v>
      </c>
      <c r="B4775" t="s">
        <v>1435</v>
      </c>
    </row>
    <row r="4776" spans="1:6" x14ac:dyDescent="0.3">
      <c r="A4776" t="s">
        <v>5073</v>
      </c>
      <c r="B4776" t="s">
        <v>5074</v>
      </c>
      <c r="C4776" t="str">
        <f>HYPERLINK("http://service.sap.com/sap/support/notes/2032424","2032424")</f>
        <v>2032424</v>
      </c>
      <c r="D4776">
        <v>3</v>
      </c>
      <c r="E4776" t="s">
        <v>5075</v>
      </c>
      <c r="F4776" t="s">
        <v>17</v>
      </c>
    </row>
    <row r="4777" spans="1:6" x14ac:dyDescent="0.3">
      <c r="A4777" t="s">
        <v>2424</v>
      </c>
      <c r="B4777" t="s">
        <v>2425</v>
      </c>
    </row>
    <row r="4778" spans="1:6" x14ac:dyDescent="0.3">
      <c r="A4778" t="s">
        <v>5076</v>
      </c>
      <c r="B4778" t="s">
        <v>1556</v>
      </c>
      <c r="C4778" t="str">
        <f>HYPERLINK("http://service.sap.com/sap/support/notes/2055567","2055567")</f>
        <v>2055567</v>
      </c>
      <c r="D4778">
        <v>1</v>
      </c>
      <c r="E4778" t="s">
        <v>5077</v>
      </c>
      <c r="F4778" t="s">
        <v>17</v>
      </c>
    </row>
    <row r="4779" spans="1:6" x14ac:dyDescent="0.3">
      <c r="A4779" t="s">
        <v>1443</v>
      </c>
      <c r="B4779" t="s">
        <v>1444</v>
      </c>
    </row>
    <row r="4780" spans="1:6" x14ac:dyDescent="0.3">
      <c r="A4780" t="s">
        <v>1445</v>
      </c>
      <c r="B4780" t="s">
        <v>1446</v>
      </c>
      <c r="C4780" t="str">
        <f>HYPERLINK("http://service.sap.com/sap/support/notes/2049399","2049399")</f>
        <v>2049399</v>
      </c>
      <c r="D4780">
        <v>1</v>
      </c>
      <c r="E4780" t="s">
        <v>5078</v>
      </c>
      <c r="F4780" t="s">
        <v>17</v>
      </c>
    </row>
    <row r="4781" spans="1:6" x14ac:dyDescent="0.3">
      <c r="A4781" t="s">
        <v>1448</v>
      </c>
      <c r="B4781" t="s">
        <v>1449</v>
      </c>
    </row>
    <row r="4782" spans="1:6" x14ac:dyDescent="0.3">
      <c r="A4782" t="s">
        <v>1451</v>
      </c>
      <c r="B4782" t="s">
        <v>1452</v>
      </c>
      <c r="C4782" t="str">
        <f>HYPERLINK("http://service.sap.com/sap/support/notes/2037559","2037559")</f>
        <v>2037559</v>
      </c>
      <c r="D4782">
        <v>1</v>
      </c>
      <c r="E4782" t="s">
        <v>5079</v>
      </c>
      <c r="F4782" t="s">
        <v>17</v>
      </c>
    </row>
    <row r="4783" spans="1:6" x14ac:dyDescent="0.3">
      <c r="A4783" t="s">
        <v>4191</v>
      </c>
      <c r="B4783" t="s">
        <v>4192</v>
      </c>
    </row>
    <row r="4784" spans="1:6" x14ac:dyDescent="0.3">
      <c r="A4784" t="s">
        <v>5080</v>
      </c>
      <c r="B4784" t="s">
        <v>341</v>
      </c>
      <c r="C4784" t="str">
        <f>HYPERLINK("http://service.sap.com/sap/support/notes/2060470","2060470")</f>
        <v>2060470</v>
      </c>
      <c r="D4784">
        <v>2</v>
      </c>
      <c r="E4784" t="s">
        <v>5081</v>
      </c>
      <c r="F4784" t="s">
        <v>17</v>
      </c>
    </row>
    <row r="4785" spans="1:6" x14ac:dyDescent="0.3">
      <c r="A4785" t="s">
        <v>5082</v>
      </c>
      <c r="B4785" t="s">
        <v>5083</v>
      </c>
    </row>
    <row r="4786" spans="1:6" x14ac:dyDescent="0.3">
      <c r="A4786" t="s">
        <v>5084</v>
      </c>
      <c r="B4786" t="s">
        <v>5085</v>
      </c>
      <c r="C4786" t="str">
        <f>HYPERLINK("http://service.sap.com/sap/support/notes/2053824","2053824")</f>
        <v>2053824</v>
      </c>
      <c r="D4786">
        <v>1</v>
      </c>
      <c r="E4786" t="s">
        <v>5086</v>
      </c>
      <c r="F4786" t="s">
        <v>17</v>
      </c>
    </row>
    <row r="4787" spans="1:6" x14ac:dyDescent="0.3">
      <c r="A4787" t="s">
        <v>1465</v>
      </c>
      <c r="B4787" t="s">
        <v>1466</v>
      </c>
    </row>
    <row r="4788" spans="1:6" x14ac:dyDescent="0.3">
      <c r="A4788" t="s">
        <v>1467</v>
      </c>
      <c r="B4788" t="s">
        <v>1468</v>
      </c>
    </row>
    <row r="4789" spans="1:6" x14ac:dyDescent="0.3">
      <c r="A4789" t="s">
        <v>1500</v>
      </c>
      <c r="B4789" t="s">
        <v>1501</v>
      </c>
    </row>
    <row r="4790" spans="1:6" x14ac:dyDescent="0.3">
      <c r="A4790" t="s">
        <v>1505</v>
      </c>
      <c r="B4790" t="s">
        <v>1506</v>
      </c>
      <c r="C4790" t="str">
        <f>HYPERLINK("http://service.sap.com/sap/support/notes/1979666","1979666")</f>
        <v>1979666</v>
      </c>
      <c r="D4790">
        <v>2</v>
      </c>
      <c r="E4790" t="s">
        <v>5087</v>
      </c>
      <c r="F4790" t="s">
        <v>17</v>
      </c>
    </row>
    <row r="4791" spans="1:6" x14ac:dyDescent="0.3">
      <c r="A4791" t="s">
        <v>1505</v>
      </c>
      <c r="B4791" t="s">
        <v>1506</v>
      </c>
      <c r="C4791" t="str">
        <f>HYPERLINK("http://service.sap.com/sap/support/notes/1986219","1986219")</f>
        <v>1986219</v>
      </c>
      <c r="D4791">
        <v>2</v>
      </c>
      <c r="E4791" t="s">
        <v>5088</v>
      </c>
      <c r="F4791" t="s">
        <v>17</v>
      </c>
    </row>
    <row r="4792" spans="1:6" x14ac:dyDescent="0.3">
      <c r="A4792" t="s">
        <v>1505</v>
      </c>
      <c r="B4792" t="s">
        <v>1506</v>
      </c>
      <c r="C4792" t="str">
        <f>HYPERLINK("http://service.sap.com/sap/support/notes/1997366","1997366")</f>
        <v>1997366</v>
      </c>
      <c r="D4792">
        <v>2</v>
      </c>
      <c r="E4792" t="s">
        <v>5089</v>
      </c>
      <c r="F4792" t="s">
        <v>17</v>
      </c>
    </row>
    <row r="4793" spans="1:6" x14ac:dyDescent="0.3">
      <c r="A4793" t="s">
        <v>1505</v>
      </c>
      <c r="B4793" t="s">
        <v>1506</v>
      </c>
      <c r="C4793" t="str">
        <f>HYPERLINK("http://service.sap.com/sap/support/notes/2002297","2002297")</f>
        <v>2002297</v>
      </c>
      <c r="D4793">
        <v>4</v>
      </c>
      <c r="E4793" t="s">
        <v>5090</v>
      </c>
      <c r="F4793" t="s">
        <v>17</v>
      </c>
    </row>
    <row r="4794" spans="1:6" x14ac:dyDescent="0.3">
      <c r="A4794" t="s">
        <v>1505</v>
      </c>
      <c r="B4794" t="s">
        <v>1506</v>
      </c>
      <c r="C4794" t="str">
        <f>HYPERLINK("http://service.sap.com/sap/support/notes/2010170","2010170")</f>
        <v>2010170</v>
      </c>
      <c r="D4794">
        <v>1</v>
      </c>
      <c r="E4794" t="s">
        <v>5091</v>
      </c>
      <c r="F4794" t="s">
        <v>17</v>
      </c>
    </row>
    <row r="4795" spans="1:6" x14ac:dyDescent="0.3">
      <c r="A4795" t="s">
        <v>1505</v>
      </c>
      <c r="B4795" t="s">
        <v>1506</v>
      </c>
      <c r="C4795" t="str">
        <f>HYPERLINK("http://service.sap.com/sap/support/notes/2032010","2032010")</f>
        <v>2032010</v>
      </c>
      <c r="D4795">
        <v>2</v>
      </c>
      <c r="E4795" t="s">
        <v>5092</v>
      </c>
      <c r="F4795" t="s">
        <v>11</v>
      </c>
    </row>
    <row r="4796" spans="1:6" x14ac:dyDescent="0.3">
      <c r="A4796" t="s">
        <v>1505</v>
      </c>
      <c r="B4796" t="s">
        <v>1506</v>
      </c>
      <c r="C4796" t="str">
        <f>HYPERLINK("http://service.sap.com/sap/support/notes/2032696","2032696")</f>
        <v>2032696</v>
      </c>
      <c r="D4796">
        <v>1</v>
      </c>
      <c r="E4796" t="s">
        <v>5093</v>
      </c>
      <c r="F4796" t="s">
        <v>17</v>
      </c>
    </row>
    <row r="4797" spans="1:6" x14ac:dyDescent="0.3">
      <c r="A4797" t="s">
        <v>1505</v>
      </c>
      <c r="B4797" t="s">
        <v>1506</v>
      </c>
      <c r="C4797" t="str">
        <f>HYPERLINK("http://service.sap.com/sap/support/notes/2033622","2033622")</f>
        <v>2033622</v>
      </c>
      <c r="D4797">
        <v>2</v>
      </c>
      <c r="E4797" t="s">
        <v>5094</v>
      </c>
      <c r="F4797" t="s">
        <v>17</v>
      </c>
    </row>
    <row r="4798" spans="1:6" x14ac:dyDescent="0.3">
      <c r="A4798" t="s">
        <v>1505</v>
      </c>
      <c r="B4798" t="s">
        <v>1506</v>
      </c>
      <c r="C4798" t="str">
        <f>HYPERLINK("http://service.sap.com/sap/support/notes/2037184","2037184")</f>
        <v>2037184</v>
      </c>
      <c r="D4798">
        <v>4</v>
      </c>
      <c r="E4798" t="s">
        <v>5095</v>
      </c>
      <c r="F4798" t="s">
        <v>17</v>
      </c>
    </row>
    <row r="4799" spans="1:6" x14ac:dyDescent="0.3">
      <c r="A4799" t="s">
        <v>1505</v>
      </c>
      <c r="B4799" t="s">
        <v>1506</v>
      </c>
      <c r="C4799" t="str">
        <f>HYPERLINK("http://service.sap.com/sap/support/notes/2037794","2037794")</f>
        <v>2037794</v>
      </c>
      <c r="D4799">
        <v>2</v>
      </c>
      <c r="E4799" t="s">
        <v>5096</v>
      </c>
      <c r="F4799" t="s">
        <v>17</v>
      </c>
    </row>
    <row r="4800" spans="1:6" x14ac:dyDescent="0.3">
      <c r="A4800" t="s">
        <v>1505</v>
      </c>
      <c r="B4800" t="s">
        <v>1506</v>
      </c>
      <c r="C4800" t="str">
        <f>HYPERLINK("http://service.sap.com/sap/support/notes/2038818","2038818")</f>
        <v>2038818</v>
      </c>
      <c r="D4800">
        <v>1</v>
      </c>
      <c r="E4800" t="s">
        <v>5097</v>
      </c>
      <c r="F4800" t="s">
        <v>17</v>
      </c>
    </row>
    <row r="4801" spans="1:6" x14ac:dyDescent="0.3">
      <c r="A4801" t="s">
        <v>1505</v>
      </c>
      <c r="B4801" t="s">
        <v>1506</v>
      </c>
      <c r="C4801" t="str">
        <f>HYPERLINK("http://service.sap.com/sap/support/notes/2039342","2039342")</f>
        <v>2039342</v>
      </c>
      <c r="D4801">
        <v>1</v>
      </c>
      <c r="E4801" t="s">
        <v>5098</v>
      </c>
      <c r="F4801" t="s">
        <v>17</v>
      </c>
    </row>
    <row r="4802" spans="1:6" x14ac:dyDescent="0.3">
      <c r="A4802" t="s">
        <v>1505</v>
      </c>
      <c r="B4802" t="s">
        <v>1506</v>
      </c>
      <c r="C4802" t="str">
        <f>HYPERLINK("http://service.sap.com/sap/support/notes/2039343","2039343")</f>
        <v>2039343</v>
      </c>
      <c r="D4802">
        <v>2</v>
      </c>
      <c r="E4802" t="s">
        <v>5099</v>
      </c>
      <c r="F4802" t="s">
        <v>17</v>
      </c>
    </row>
    <row r="4803" spans="1:6" x14ac:dyDescent="0.3">
      <c r="A4803" t="s">
        <v>1505</v>
      </c>
      <c r="B4803" t="s">
        <v>1506</v>
      </c>
      <c r="C4803" t="str">
        <f>HYPERLINK("http://service.sap.com/sap/support/notes/2041045","2041045")</f>
        <v>2041045</v>
      </c>
      <c r="D4803">
        <v>2</v>
      </c>
      <c r="E4803" t="s">
        <v>5100</v>
      </c>
      <c r="F4803" t="s">
        <v>17</v>
      </c>
    </row>
    <row r="4804" spans="1:6" x14ac:dyDescent="0.3">
      <c r="A4804" t="s">
        <v>1505</v>
      </c>
      <c r="B4804" t="s">
        <v>1506</v>
      </c>
      <c r="C4804" t="str">
        <f>HYPERLINK("http://service.sap.com/sap/support/notes/2042147","2042147")</f>
        <v>2042147</v>
      </c>
      <c r="D4804">
        <v>1</v>
      </c>
      <c r="E4804" t="s">
        <v>5101</v>
      </c>
      <c r="F4804" t="s">
        <v>17</v>
      </c>
    </row>
    <row r="4805" spans="1:6" x14ac:dyDescent="0.3">
      <c r="A4805" t="s">
        <v>1505</v>
      </c>
      <c r="B4805" t="s">
        <v>1506</v>
      </c>
      <c r="C4805" t="str">
        <f>HYPERLINK("http://service.sap.com/sap/support/notes/2042262","2042262")</f>
        <v>2042262</v>
      </c>
      <c r="D4805">
        <v>1</v>
      </c>
      <c r="E4805" t="s">
        <v>5102</v>
      </c>
      <c r="F4805" t="s">
        <v>17</v>
      </c>
    </row>
    <row r="4806" spans="1:6" x14ac:dyDescent="0.3">
      <c r="A4806" t="s">
        <v>1505</v>
      </c>
      <c r="B4806" t="s">
        <v>1506</v>
      </c>
      <c r="C4806" t="str">
        <f>HYPERLINK("http://service.sap.com/sap/support/notes/2043813","2043813")</f>
        <v>2043813</v>
      </c>
      <c r="D4806">
        <v>2</v>
      </c>
      <c r="E4806" t="s">
        <v>5103</v>
      </c>
      <c r="F4806" t="s">
        <v>17</v>
      </c>
    </row>
    <row r="4807" spans="1:6" x14ac:dyDescent="0.3">
      <c r="A4807" t="s">
        <v>1505</v>
      </c>
      <c r="B4807" t="s">
        <v>1506</v>
      </c>
      <c r="C4807" t="str">
        <f>HYPERLINK("http://service.sap.com/sap/support/notes/2045095","2045095")</f>
        <v>2045095</v>
      </c>
      <c r="D4807">
        <v>2</v>
      </c>
      <c r="E4807" t="s">
        <v>5104</v>
      </c>
      <c r="F4807" t="s">
        <v>17</v>
      </c>
    </row>
    <row r="4808" spans="1:6" x14ac:dyDescent="0.3">
      <c r="A4808" t="s">
        <v>1505</v>
      </c>
      <c r="B4808" t="s">
        <v>1506</v>
      </c>
      <c r="C4808" t="str">
        <f>HYPERLINK("http://service.sap.com/sap/support/notes/2045988","2045988")</f>
        <v>2045988</v>
      </c>
      <c r="D4808">
        <v>1</v>
      </c>
      <c r="E4808" t="s">
        <v>5105</v>
      </c>
      <c r="F4808" t="s">
        <v>17</v>
      </c>
    </row>
    <row r="4809" spans="1:6" x14ac:dyDescent="0.3">
      <c r="A4809" t="s">
        <v>1505</v>
      </c>
      <c r="B4809" t="s">
        <v>1506</v>
      </c>
      <c r="C4809" t="str">
        <f>HYPERLINK("http://service.sap.com/sap/support/notes/2050409","2050409")</f>
        <v>2050409</v>
      </c>
      <c r="D4809">
        <v>1</v>
      </c>
      <c r="E4809" t="s">
        <v>5106</v>
      </c>
      <c r="F4809" t="s">
        <v>17</v>
      </c>
    </row>
    <row r="4810" spans="1:6" x14ac:dyDescent="0.3">
      <c r="A4810" t="s">
        <v>1505</v>
      </c>
      <c r="B4810" t="s">
        <v>1506</v>
      </c>
      <c r="C4810" t="str">
        <f>HYPERLINK("http://service.sap.com/sap/support/notes/2052142","2052142")</f>
        <v>2052142</v>
      </c>
      <c r="D4810">
        <v>1</v>
      </c>
      <c r="E4810" t="s">
        <v>5107</v>
      </c>
      <c r="F4810" t="s">
        <v>17</v>
      </c>
    </row>
    <row r="4811" spans="1:6" x14ac:dyDescent="0.3">
      <c r="A4811" t="s">
        <v>1505</v>
      </c>
      <c r="B4811" t="s">
        <v>1506</v>
      </c>
      <c r="C4811" t="str">
        <f>HYPERLINK("http://service.sap.com/sap/support/notes/2052597","2052597")</f>
        <v>2052597</v>
      </c>
      <c r="D4811">
        <v>2</v>
      </c>
      <c r="E4811" t="s">
        <v>5108</v>
      </c>
      <c r="F4811" t="s">
        <v>17</v>
      </c>
    </row>
    <row r="4812" spans="1:6" x14ac:dyDescent="0.3">
      <c r="A4812" t="s">
        <v>1505</v>
      </c>
      <c r="B4812" t="s">
        <v>1506</v>
      </c>
      <c r="C4812" t="str">
        <f>HYPERLINK("http://service.sap.com/sap/support/notes/2055198","2055198")</f>
        <v>2055198</v>
      </c>
      <c r="D4812">
        <v>2</v>
      </c>
      <c r="E4812" t="s">
        <v>5109</v>
      </c>
      <c r="F4812" t="s">
        <v>17</v>
      </c>
    </row>
    <row r="4813" spans="1:6" x14ac:dyDescent="0.3">
      <c r="A4813" t="s">
        <v>1505</v>
      </c>
      <c r="B4813" t="s">
        <v>1506</v>
      </c>
      <c r="C4813" t="str">
        <f>HYPERLINK("http://service.sap.com/sap/support/notes/2055320","2055320")</f>
        <v>2055320</v>
      </c>
      <c r="D4813">
        <v>2</v>
      </c>
      <c r="E4813" t="s">
        <v>5110</v>
      </c>
      <c r="F4813" t="s">
        <v>17</v>
      </c>
    </row>
    <row r="4814" spans="1:6" x14ac:dyDescent="0.3">
      <c r="A4814" t="s">
        <v>1505</v>
      </c>
      <c r="B4814" t="s">
        <v>1506</v>
      </c>
      <c r="C4814" t="str">
        <f>HYPERLINK("http://service.sap.com/sap/support/notes/2058544","2058544")</f>
        <v>2058544</v>
      </c>
      <c r="D4814">
        <v>2</v>
      </c>
      <c r="E4814" t="s">
        <v>5111</v>
      </c>
      <c r="F4814" t="s">
        <v>17</v>
      </c>
    </row>
    <row r="4815" spans="1:6" x14ac:dyDescent="0.3">
      <c r="A4815" t="s">
        <v>1505</v>
      </c>
      <c r="B4815" t="s">
        <v>1506</v>
      </c>
      <c r="C4815" t="str">
        <f>HYPERLINK("http://service.sap.com/sap/support/notes/2058615","2058615")</f>
        <v>2058615</v>
      </c>
      <c r="D4815">
        <v>2</v>
      </c>
      <c r="E4815" t="s">
        <v>5112</v>
      </c>
      <c r="F4815" t="s">
        <v>17</v>
      </c>
    </row>
    <row r="4816" spans="1:6" x14ac:dyDescent="0.3">
      <c r="A4816" t="s">
        <v>1505</v>
      </c>
      <c r="B4816" t="s">
        <v>1506</v>
      </c>
      <c r="C4816" t="str">
        <f>HYPERLINK("http://service.sap.com/sap/support/notes/2059120","2059120")</f>
        <v>2059120</v>
      </c>
      <c r="D4816">
        <v>2</v>
      </c>
      <c r="E4816" t="s">
        <v>5113</v>
      </c>
      <c r="F4816" t="s">
        <v>11</v>
      </c>
    </row>
    <row r="4817" spans="1:6" x14ac:dyDescent="0.3">
      <c r="A4817" t="s">
        <v>1505</v>
      </c>
      <c r="B4817" t="s">
        <v>1506</v>
      </c>
      <c r="C4817" t="str">
        <f>HYPERLINK("http://service.sap.com/sap/support/notes/2059871","2059871")</f>
        <v>2059871</v>
      </c>
      <c r="D4817">
        <v>2</v>
      </c>
      <c r="E4817" t="s">
        <v>5114</v>
      </c>
      <c r="F4817" t="s">
        <v>11</v>
      </c>
    </row>
    <row r="4818" spans="1:6" x14ac:dyDescent="0.3">
      <c r="A4818" t="s">
        <v>1505</v>
      </c>
      <c r="B4818" t="s">
        <v>1506</v>
      </c>
      <c r="C4818" t="str">
        <f>HYPERLINK("http://service.sap.com/sap/support/notes/2060324","2060324")</f>
        <v>2060324</v>
      </c>
      <c r="D4818">
        <v>1</v>
      </c>
      <c r="E4818" t="s">
        <v>5115</v>
      </c>
      <c r="F4818" t="s">
        <v>13</v>
      </c>
    </row>
    <row r="4819" spans="1:6" x14ac:dyDescent="0.3">
      <c r="A4819" t="s">
        <v>1505</v>
      </c>
      <c r="B4819" t="s">
        <v>1506</v>
      </c>
      <c r="C4819" t="str">
        <f>HYPERLINK("http://service.sap.com/sap/support/notes/2061584","2061584")</f>
        <v>2061584</v>
      </c>
      <c r="D4819">
        <v>2</v>
      </c>
      <c r="E4819" t="s">
        <v>5116</v>
      </c>
      <c r="F4819" t="s">
        <v>17</v>
      </c>
    </row>
    <row r="4820" spans="1:6" x14ac:dyDescent="0.3">
      <c r="A4820" t="s">
        <v>1505</v>
      </c>
      <c r="B4820" t="s">
        <v>1506</v>
      </c>
      <c r="C4820" t="str">
        <f>HYPERLINK("http://service.sap.com/sap/support/notes/2062090","2062090")</f>
        <v>2062090</v>
      </c>
      <c r="D4820">
        <v>1</v>
      </c>
      <c r="E4820" t="s">
        <v>5117</v>
      </c>
      <c r="F4820" t="s">
        <v>17</v>
      </c>
    </row>
    <row r="4821" spans="1:6" x14ac:dyDescent="0.3">
      <c r="A4821" t="s">
        <v>1513</v>
      </c>
      <c r="B4821" t="s">
        <v>61</v>
      </c>
      <c r="C4821" t="str">
        <f>HYPERLINK("http://service.sap.com/sap/support/notes/2030695","2030695")</f>
        <v>2030695</v>
      </c>
      <c r="D4821">
        <v>3</v>
      </c>
      <c r="E4821" t="s">
        <v>5118</v>
      </c>
      <c r="F4821" t="s">
        <v>17</v>
      </c>
    </row>
    <row r="4822" spans="1:6" x14ac:dyDescent="0.3">
      <c r="A4822" t="s">
        <v>1513</v>
      </c>
      <c r="B4822" t="s">
        <v>61</v>
      </c>
      <c r="C4822" t="str">
        <f>HYPERLINK("http://service.sap.com/sap/support/notes/2031742","2031742")</f>
        <v>2031742</v>
      </c>
      <c r="D4822">
        <v>2</v>
      </c>
      <c r="E4822" t="s">
        <v>5119</v>
      </c>
      <c r="F4822" t="s">
        <v>17</v>
      </c>
    </row>
    <row r="4823" spans="1:6" x14ac:dyDescent="0.3">
      <c r="A4823" t="s">
        <v>1513</v>
      </c>
      <c r="B4823" t="s">
        <v>61</v>
      </c>
      <c r="C4823" t="str">
        <f>HYPERLINK("http://service.sap.com/sap/support/notes/2036154","2036154")</f>
        <v>2036154</v>
      </c>
      <c r="D4823">
        <v>2</v>
      </c>
      <c r="E4823" t="s">
        <v>5120</v>
      </c>
      <c r="F4823" t="s">
        <v>17</v>
      </c>
    </row>
    <row r="4824" spans="1:6" x14ac:dyDescent="0.3">
      <c r="A4824" t="s">
        <v>1513</v>
      </c>
      <c r="B4824" t="s">
        <v>61</v>
      </c>
      <c r="C4824" t="str">
        <f>HYPERLINK("http://service.sap.com/sap/support/notes/2037316","2037316")</f>
        <v>2037316</v>
      </c>
      <c r="D4824">
        <v>2</v>
      </c>
      <c r="E4824" t="s">
        <v>5121</v>
      </c>
      <c r="F4824" t="s">
        <v>17</v>
      </c>
    </row>
    <row r="4825" spans="1:6" x14ac:dyDescent="0.3">
      <c r="A4825" t="s">
        <v>1513</v>
      </c>
      <c r="B4825" t="s">
        <v>61</v>
      </c>
      <c r="C4825" t="str">
        <f>HYPERLINK("http://service.sap.com/sap/support/notes/2058117","2058117")</f>
        <v>2058117</v>
      </c>
      <c r="D4825">
        <v>2</v>
      </c>
      <c r="E4825" t="s">
        <v>5122</v>
      </c>
      <c r="F4825" t="s">
        <v>17</v>
      </c>
    </row>
    <row r="4826" spans="1:6" x14ac:dyDescent="0.3">
      <c r="A4826" t="s">
        <v>1533</v>
      </c>
      <c r="B4826" t="s">
        <v>1534</v>
      </c>
    </row>
    <row r="4827" spans="1:6" x14ac:dyDescent="0.3">
      <c r="A4827" t="s">
        <v>3391</v>
      </c>
      <c r="B4827" t="s">
        <v>61</v>
      </c>
      <c r="C4827" t="str">
        <f>HYPERLINK("http://service.sap.com/sap/support/notes/1992966","1992966")</f>
        <v>1992966</v>
      </c>
      <c r="D4827">
        <v>14</v>
      </c>
      <c r="E4827" t="s">
        <v>5123</v>
      </c>
      <c r="F4827" t="s">
        <v>17</v>
      </c>
    </row>
    <row r="4828" spans="1:6" x14ac:dyDescent="0.3">
      <c r="A4828" t="s">
        <v>1535</v>
      </c>
      <c r="B4828" t="s">
        <v>1536</v>
      </c>
      <c r="C4828" t="str">
        <f>HYPERLINK("http://service.sap.com/sap/support/notes/2030749","2030749")</f>
        <v>2030749</v>
      </c>
      <c r="D4828">
        <v>2</v>
      </c>
      <c r="E4828" t="s">
        <v>5124</v>
      </c>
      <c r="F4828" t="s">
        <v>17</v>
      </c>
    </row>
    <row r="4829" spans="1:6" x14ac:dyDescent="0.3">
      <c r="A4829" t="s">
        <v>1535</v>
      </c>
      <c r="B4829" t="s">
        <v>1536</v>
      </c>
      <c r="C4829" t="str">
        <f>HYPERLINK("http://service.sap.com/sap/support/notes/2038570","2038570")</f>
        <v>2038570</v>
      </c>
      <c r="D4829">
        <v>1</v>
      </c>
      <c r="E4829" t="s">
        <v>5125</v>
      </c>
      <c r="F4829" t="s">
        <v>17</v>
      </c>
    </row>
    <row r="4830" spans="1:6" x14ac:dyDescent="0.3">
      <c r="A4830" t="s">
        <v>1535</v>
      </c>
      <c r="B4830" t="s">
        <v>1536</v>
      </c>
      <c r="C4830" t="str">
        <f>HYPERLINK("http://service.sap.com/sap/support/notes/2040078","2040078")</f>
        <v>2040078</v>
      </c>
      <c r="D4830">
        <v>3</v>
      </c>
      <c r="E4830" t="s">
        <v>5126</v>
      </c>
      <c r="F4830" t="s">
        <v>17</v>
      </c>
    </row>
    <row r="4831" spans="1:6" x14ac:dyDescent="0.3">
      <c r="A4831" t="s">
        <v>1535</v>
      </c>
      <c r="B4831" t="s">
        <v>1536</v>
      </c>
      <c r="C4831" t="str">
        <f>HYPERLINK("http://service.sap.com/sap/support/notes/2053281","2053281")</f>
        <v>2053281</v>
      </c>
      <c r="D4831">
        <v>1</v>
      </c>
      <c r="E4831" t="s">
        <v>5127</v>
      </c>
      <c r="F4831" t="s">
        <v>11</v>
      </c>
    </row>
    <row r="4832" spans="1:6" x14ac:dyDescent="0.3">
      <c r="A4832" t="s">
        <v>1535</v>
      </c>
      <c r="B4832" t="s">
        <v>1536</v>
      </c>
      <c r="C4832" t="str">
        <f>HYPERLINK("http://service.sap.com/sap/support/notes/2054227","2054227")</f>
        <v>2054227</v>
      </c>
      <c r="D4832">
        <v>1</v>
      </c>
      <c r="E4832" t="s">
        <v>5128</v>
      </c>
      <c r="F4832" t="s">
        <v>17</v>
      </c>
    </row>
    <row r="4833" spans="1:6" x14ac:dyDescent="0.3">
      <c r="A4833" t="s">
        <v>1535</v>
      </c>
      <c r="B4833" t="s">
        <v>1536</v>
      </c>
      <c r="C4833" t="str">
        <f>HYPERLINK("http://service.sap.com/sap/support/notes/2061750","2061750")</f>
        <v>2061750</v>
      </c>
      <c r="D4833">
        <v>1</v>
      </c>
      <c r="E4833" t="s">
        <v>5129</v>
      </c>
      <c r="F4833" t="s">
        <v>17</v>
      </c>
    </row>
    <row r="4834" spans="1:6" x14ac:dyDescent="0.3">
      <c r="A4834" t="s">
        <v>1538</v>
      </c>
      <c r="B4834" t="s">
        <v>1539</v>
      </c>
    </row>
    <row r="4835" spans="1:6" x14ac:dyDescent="0.3">
      <c r="A4835" t="s">
        <v>1541</v>
      </c>
      <c r="B4835" t="s">
        <v>61</v>
      </c>
      <c r="C4835" t="str">
        <f>HYPERLINK("http://service.sap.com/sap/support/notes/2026536","2026536")</f>
        <v>2026536</v>
      </c>
      <c r="D4835">
        <v>2</v>
      </c>
      <c r="E4835" t="s">
        <v>5130</v>
      </c>
      <c r="F4835" t="s">
        <v>17</v>
      </c>
    </row>
    <row r="4836" spans="1:6" x14ac:dyDescent="0.3">
      <c r="A4836" t="s">
        <v>1541</v>
      </c>
      <c r="B4836" t="s">
        <v>61</v>
      </c>
      <c r="C4836" t="str">
        <f>HYPERLINK("http://service.sap.com/sap/support/notes/2030863","2030863")</f>
        <v>2030863</v>
      </c>
      <c r="D4836">
        <v>4</v>
      </c>
      <c r="E4836" t="s">
        <v>5131</v>
      </c>
      <c r="F4836" t="s">
        <v>17</v>
      </c>
    </row>
    <row r="4837" spans="1:6" x14ac:dyDescent="0.3">
      <c r="A4837" t="s">
        <v>1541</v>
      </c>
      <c r="B4837" t="s">
        <v>61</v>
      </c>
      <c r="C4837" t="str">
        <f>HYPERLINK("http://service.sap.com/sap/support/notes/2033407","2033407")</f>
        <v>2033407</v>
      </c>
      <c r="D4837">
        <v>4</v>
      </c>
      <c r="E4837" t="s">
        <v>5132</v>
      </c>
      <c r="F4837" t="s">
        <v>17</v>
      </c>
    </row>
    <row r="4838" spans="1:6" x14ac:dyDescent="0.3">
      <c r="A4838" t="s">
        <v>1541</v>
      </c>
      <c r="B4838" t="s">
        <v>61</v>
      </c>
      <c r="C4838" t="str">
        <f>HYPERLINK("http://service.sap.com/sap/support/notes/2044745","2044745")</f>
        <v>2044745</v>
      </c>
      <c r="D4838">
        <v>4</v>
      </c>
      <c r="E4838" t="s">
        <v>5133</v>
      </c>
      <c r="F4838" t="s">
        <v>17</v>
      </c>
    </row>
    <row r="4839" spans="1:6" x14ac:dyDescent="0.3">
      <c r="A4839" t="s">
        <v>1541</v>
      </c>
      <c r="B4839" t="s">
        <v>61</v>
      </c>
      <c r="C4839" t="str">
        <f>HYPERLINK("http://service.sap.com/sap/support/notes/2049954","2049954")</f>
        <v>2049954</v>
      </c>
      <c r="D4839">
        <v>3</v>
      </c>
      <c r="E4839" t="s">
        <v>5134</v>
      </c>
      <c r="F4839" t="s">
        <v>17</v>
      </c>
    </row>
    <row r="4840" spans="1:6" x14ac:dyDescent="0.3">
      <c r="A4840" t="s">
        <v>1544</v>
      </c>
      <c r="B4840" t="s">
        <v>1545</v>
      </c>
      <c r="C4840" t="str">
        <f>HYPERLINK("http://service.sap.com/sap/support/notes/2032383","2032383")</f>
        <v>2032383</v>
      </c>
      <c r="D4840">
        <v>3</v>
      </c>
      <c r="E4840" t="s">
        <v>5135</v>
      </c>
      <c r="F4840" t="s">
        <v>17</v>
      </c>
    </row>
    <row r="4841" spans="1:6" x14ac:dyDescent="0.3">
      <c r="A4841" t="s">
        <v>1544</v>
      </c>
      <c r="B4841" t="s">
        <v>1545</v>
      </c>
      <c r="C4841" t="str">
        <f>HYPERLINK("http://service.sap.com/sap/support/notes/2052099","2052099")</f>
        <v>2052099</v>
      </c>
      <c r="D4841">
        <v>1</v>
      </c>
      <c r="E4841" t="s">
        <v>5136</v>
      </c>
      <c r="F4841" t="s">
        <v>11</v>
      </c>
    </row>
    <row r="4842" spans="1:6" x14ac:dyDescent="0.3">
      <c r="A4842" t="s">
        <v>1555</v>
      </c>
      <c r="B4842" t="s">
        <v>1556</v>
      </c>
    </row>
    <row r="4843" spans="1:6" x14ac:dyDescent="0.3">
      <c r="A4843" t="s">
        <v>1558</v>
      </c>
      <c r="B4843" t="s">
        <v>61</v>
      </c>
      <c r="C4843" t="str">
        <f>HYPERLINK("http://service.sap.com/sap/support/notes/1992491","1992491")</f>
        <v>1992491</v>
      </c>
      <c r="D4843">
        <v>18</v>
      </c>
      <c r="E4843" t="s">
        <v>5137</v>
      </c>
      <c r="F4843" t="s">
        <v>17</v>
      </c>
    </row>
    <row r="4844" spans="1:6" x14ac:dyDescent="0.3">
      <c r="A4844" t="s">
        <v>1558</v>
      </c>
      <c r="B4844" t="s">
        <v>61</v>
      </c>
      <c r="C4844" t="str">
        <f>HYPERLINK("http://service.sap.com/sap/support/notes/2004381","2004381")</f>
        <v>2004381</v>
      </c>
      <c r="D4844">
        <v>9</v>
      </c>
      <c r="E4844" t="s">
        <v>5138</v>
      </c>
      <c r="F4844" t="s">
        <v>17</v>
      </c>
    </row>
    <row r="4845" spans="1:6" x14ac:dyDescent="0.3">
      <c r="A4845" t="s">
        <v>1558</v>
      </c>
      <c r="B4845" t="s">
        <v>61</v>
      </c>
      <c r="C4845" t="str">
        <f>HYPERLINK("http://service.sap.com/sap/support/notes/2050206","2050206")</f>
        <v>2050206</v>
      </c>
      <c r="D4845">
        <v>1</v>
      </c>
      <c r="E4845" t="s">
        <v>5139</v>
      </c>
      <c r="F4845" t="s">
        <v>17</v>
      </c>
    </row>
    <row r="4846" spans="1:6" x14ac:dyDescent="0.3">
      <c r="A4846" t="s">
        <v>1558</v>
      </c>
      <c r="B4846" t="s">
        <v>61</v>
      </c>
      <c r="C4846" t="str">
        <f>HYPERLINK("http://service.sap.com/sap/support/notes/2054287","2054287")</f>
        <v>2054287</v>
      </c>
      <c r="D4846">
        <v>1</v>
      </c>
      <c r="E4846" t="s">
        <v>5140</v>
      </c>
      <c r="F4846" t="s">
        <v>17</v>
      </c>
    </row>
    <row r="4847" spans="1:6" x14ac:dyDescent="0.3">
      <c r="A4847" t="s">
        <v>1563</v>
      </c>
      <c r="B4847" t="s">
        <v>1553</v>
      </c>
      <c r="C4847" t="str">
        <f>HYPERLINK("http://service.sap.com/sap/support/notes/1809950","1809950")</f>
        <v>1809950</v>
      </c>
      <c r="D4847">
        <v>1</v>
      </c>
      <c r="E4847" t="s">
        <v>5141</v>
      </c>
      <c r="F4847" t="s">
        <v>11</v>
      </c>
    </row>
    <row r="4848" spans="1:6" x14ac:dyDescent="0.3">
      <c r="A4848" t="s">
        <v>1567</v>
      </c>
      <c r="B4848" t="s">
        <v>1568</v>
      </c>
    </row>
    <row r="4849" spans="1:6" x14ac:dyDescent="0.3">
      <c r="A4849" t="s">
        <v>1569</v>
      </c>
      <c r="B4849" t="s">
        <v>1480</v>
      </c>
      <c r="C4849" t="str">
        <f>HYPERLINK("http://service.sap.com/sap/support/notes/2021383","2021383")</f>
        <v>2021383</v>
      </c>
      <c r="D4849">
        <v>1</v>
      </c>
      <c r="E4849" t="s">
        <v>5142</v>
      </c>
      <c r="F4849" t="s">
        <v>17</v>
      </c>
    </row>
    <row r="4850" spans="1:6" x14ac:dyDescent="0.3">
      <c r="A4850" t="s">
        <v>1569</v>
      </c>
      <c r="B4850" t="s">
        <v>1480</v>
      </c>
      <c r="C4850" t="str">
        <f>HYPERLINK("http://service.sap.com/sap/support/notes/2023293","2023293")</f>
        <v>2023293</v>
      </c>
      <c r="D4850">
        <v>2</v>
      </c>
      <c r="E4850" t="s">
        <v>5143</v>
      </c>
      <c r="F4850" t="s">
        <v>17</v>
      </c>
    </row>
    <row r="4851" spans="1:6" x14ac:dyDescent="0.3">
      <c r="A4851" t="s">
        <v>1569</v>
      </c>
      <c r="B4851" t="s">
        <v>1480</v>
      </c>
      <c r="C4851" t="str">
        <f>HYPERLINK("http://service.sap.com/sap/support/notes/2029222","2029222")</f>
        <v>2029222</v>
      </c>
      <c r="D4851">
        <v>1</v>
      </c>
      <c r="E4851" t="s">
        <v>5144</v>
      </c>
      <c r="F4851" t="s">
        <v>17</v>
      </c>
    </row>
    <row r="4852" spans="1:6" x14ac:dyDescent="0.3">
      <c r="A4852" t="s">
        <v>1569</v>
      </c>
      <c r="B4852" t="s">
        <v>1480</v>
      </c>
      <c r="C4852" t="str">
        <f>HYPERLINK("http://service.sap.com/sap/support/notes/2034403","2034403")</f>
        <v>2034403</v>
      </c>
      <c r="D4852">
        <v>2</v>
      </c>
      <c r="E4852" t="s">
        <v>5145</v>
      </c>
      <c r="F4852" t="s">
        <v>17</v>
      </c>
    </row>
    <row r="4853" spans="1:6" x14ac:dyDescent="0.3">
      <c r="A4853" t="s">
        <v>1569</v>
      </c>
      <c r="B4853" t="s">
        <v>1480</v>
      </c>
      <c r="C4853" t="str">
        <f>HYPERLINK("http://service.sap.com/sap/support/notes/2037897","2037897")</f>
        <v>2037897</v>
      </c>
      <c r="D4853">
        <v>1</v>
      </c>
      <c r="E4853" t="s">
        <v>5146</v>
      </c>
      <c r="F4853" t="s">
        <v>17</v>
      </c>
    </row>
    <row r="4854" spans="1:6" x14ac:dyDescent="0.3">
      <c r="A4854" t="s">
        <v>1569</v>
      </c>
      <c r="B4854" t="s">
        <v>1480</v>
      </c>
      <c r="C4854" t="str">
        <f>HYPERLINK("http://service.sap.com/sap/support/notes/2040708","2040708")</f>
        <v>2040708</v>
      </c>
      <c r="D4854">
        <v>1</v>
      </c>
      <c r="E4854" t="s">
        <v>5147</v>
      </c>
      <c r="F4854" t="s">
        <v>17</v>
      </c>
    </row>
    <row r="4855" spans="1:6" x14ac:dyDescent="0.3">
      <c r="A4855" t="s">
        <v>1569</v>
      </c>
      <c r="B4855" t="s">
        <v>1480</v>
      </c>
      <c r="C4855" t="str">
        <f>HYPERLINK("http://service.sap.com/sap/support/notes/2042121","2042121")</f>
        <v>2042121</v>
      </c>
      <c r="D4855">
        <v>1</v>
      </c>
      <c r="E4855" t="s">
        <v>5148</v>
      </c>
      <c r="F4855" t="s">
        <v>17</v>
      </c>
    </row>
    <row r="4856" spans="1:6" x14ac:dyDescent="0.3">
      <c r="A4856" t="s">
        <v>1569</v>
      </c>
      <c r="B4856" t="s">
        <v>1480</v>
      </c>
      <c r="C4856" t="str">
        <f>HYPERLINK("http://service.sap.com/sap/support/notes/2043185","2043185")</f>
        <v>2043185</v>
      </c>
      <c r="D4856">
        <v>2</v>
      </c>
      <c r="E4856" t="s">
        <v>5149</v>
      </c>
      <c r="F4856" t="s">
        <v>17</v>
      </c>
    </row>
    <row r="4857" spans="1:6" x14ac:dyDescent="0.3">
      <c r="A4857" t="s">
        <v>1569</v>
      </c>
      <c r="B4857" t="s">
        <v>1480</v>
      </c>
      <c r="C4857" t="str">
        <f>HYPERLINK("http://service.sap.com/sap/support/notes/2045918","2045918")</f>
        <v>2045918</v>
      </c>
      <c r="D4857">
        <v>1</v>
      </c>
      <c r="E4857" t="s">
        <v>5150</v>
      </c>
      <c r="F4857" t="s">
        <v>17</v>
      </c>
    </row>
    <row r="4858" spans="1:6" x14ac:dyDescent="0.3">
      <c r="A4858" t="s">
        <v>1569</v>
      </c>
      <c r="B4858" t="s">
        <v>1480</v>
      </c>
      <c r="C4858" t="str">
        <f>HYPERLINK("http://service.sap.com/sap/support/notes/2050464","2050464")</f>
        <v>2050464</v>
      </c>
      <c r="D4858">
        <v>2</v>
      </c>
      <c r="E4858" t="s">
        <v>5151</v>
      </c>
      <c r="F4858" t="s">
        <v>11</v>
      </c>
    </row>
    <row r="4859" spans="1:6" x14ac:dyDescent="0.3">
      <c r="A4859" t="s">
        <v>1569</v>
      </c>
      <c r="B4859" t="s">
        <v>1480</v>
      </c>
      <c r="C4859" t="str">
        <f>HYPERLINK("http://service.sap.com/sap/support/notes/2050909","2050909")</f>
        <v>2050909</v>
      </c>
      <c r="D4859">
        <v>1</v>
      </c>
      <c r="E4859" t="s">
        <v>5152</v>
      </c>
      <c r="F4859" t="s">
        <v>17</v>
      </c>
    </row>
    <row r="4860" spans="1:6" x14ac:dyDescent="0.3">
      <c r="A4860" t="s">
        <v>1569</v>
      </c>
      <c r="B4860" t="s">
        <v>1480</v>
      </c>
      <c r="C4860" t="str">
        <f>HYPERLINK("http://service.sap.com/sap/support/notes/2057514","2057514")</f>
        <v>2057514</v>
      </c>
      <c r="D4860">
        <v>2</v>
      </c>
      <c r="E4860" t="s">
        <v>5153</v>
      </c>
      <c r="F4860" t="s">
        <v>17</v>
      </c>
    </row>
    <row r="4861" spans="1:6" x14ac:dyDescent="0.3">
      <c r="A4861" t="s">
        <v>1569</v>
      </c>
      <c r="B4861" t="s">
        <v>1480</v>
      </c>
      <c r="C4861" t="str">
        <f>HYPERLINK("http://service.sap.com/sap/support/notes/2057624","2057624")</f>
        <v>2057624</v>
      </c>
      <c r="D4861">
        <v>1</v>
      </c>
      <c r="E4861" t="s">
        <v>5154</v>
      </c>
      <c r="F4861" t="s">
        <v>17</v>
      </c>
    </row>
    <row r="4862" spans="1:6" x14ac:dyDescent="0.3">
      <c r="A4862" t="s">
        <v>1569</v>
      </c>
      <c r="B4862" t="s">
        <v>1480</v>
      </c>
      <c r="C4862" t="str">
        <f>HYPERLINK("http://service.sap.com/sap/support/notes/2057986","2057986")</f>
        <v>2057986</v>
      </c>
      <c r="D4862">
        <v>1</v>
      </c>
      <c r="E4862" t="s">
        <v>5155</v>
      </c>
      <c r="F4862" t="s">
        <v>17</v>
      </c>
    </row>
    <row r="4863" spans="1:6" x14ac:dyDescent="0.3">
      <c r="A4863" t="s">
        <v>1569</v>
      </c>
      <c r="B4863" t="s">
        <v>1480</v>
      </c>
      <c r="C4863" t="str">
        <f>HYPERLINK("http://service.sap.com/sap/support/notes/2061625","2061625")</f>
        <v>2061625</v>
      </c>
      <c r="D4863">
        <v>2</v>
      </c>
      <c r="E4863" t="s">
        <v>5156</v>
      </c>
      <c r="F4863" t="s">
        <v>17</v>
      </c>
    </row>
    <row r="4864" spans="1:6" x14ac:dyDescent="0.3">
      <c r="A4864" t="s">
        <v>1595</v>
      </c>
      <c r="B4864" t="s">
        <v>1596</v>
      </c>
      <c r="C4864" t="str">
        <f>HYPERLINK("http://service.sap.com/sap/support/notes/1990090","1990090")</f>
        <v>1990090</v>
      </c>
      <c r="D4864">
        <v>2</v>
      </c>
      <c r="E4864" t="s">
        <v>5157</v>
      </c>
      <c r="F4864" t="s">
        <v>17</v>
      </c>
    </row>
    <row r="4865" spans="1:6" x14ac:dyDescent="0.3">
      <c r="A4865" t="s">
        <v>1595</v>
      </c>
      <c r="B4865" t="s">
        <v>1596</v>
      </c>
      <c r="C4865" t="str">
        <f>HYPERLINK("http://service.sap.com/sap/support/notes/2010365","2010365")</f>
        <v>2010365</v>
      </c>
      <c r="D4865">
        <v>2</v>
      </c>
      <c r="E4865" t="s">
        <v>5158</v>
      </c>
      <c r="F4865" t="s">
        <v>17</v>
      </c>
    </row>
    <row r="4866" spans="1:6" x14ac:dyDescent="0.3">
      <c r="A4866" t="s">
        <v>4254</v>
      </c>
      <c r="B4866" t="s">
        <v>4255</v>
      </c>
      <c r="C4866" t="str">
        <f>HYPERLINK("http://service.sap.com/sap/support/notes/1943140","1943140")</f>
        <v>1943140</v>
      </c>
      <c r="D4866">
        <v>2</v>
      </c>
      <c r="E4866" t="s">
        <v>5159</v>
      </c>
      <c r="F4866" t="s">
        <v>17</v>
      </c>
    </row>
    <row r="4867" spans="1:6" x14ac:dyDescent="0.3">
      <c r="A4867" t="s">
        <v>1601</v>
      </c>
      <c r="B4867" t="s">
        <v>1602</v>
      </c>
    </row>
    <row r="4868" spans="1:6" x14ac:dyDescent="0.3">
      <c r="A4868" t="s">
        <v>2488</v>
      </c>
      <c r="B4868" t="s">
        <v>61</v>
      </c>
      <c r="C4868" t="str">
        <f>HYPERLINK("http://service.sap.com/sap/support/notes/1945172","1945172")</f>
        <v>1945172</v>
      </c>
      <c r="D4868">
        <v>3</v>
      </c>
      <c r="E4868" t="s">
        <v>5160</v>
      </c>
      <c r="F4868" t="s">
        <v>17</v>
      </c>
    </row>
    <row r="4869" spans="1:6" x14ac:dyDescent="0.3">
      <c r="A4869" t="s">
        <v>2488</v>
      </c>
      <c r="B4869" t="s">
        <v>61</v>
      </c>
      <c r="C4869" t="str">
        <f>HYPERLINK("http://service.sap.com/sap/support/notes/2012358","2012358")</f>
        <v>2012358</v>
      </c>
      <c r="D4869">
        <v>5</v>
      </c>
      <c r="E4869" t="s">
        <v>5161</v>
      </c>
      <c r="F4869" t="s">
        <v>17</v>
      </c>
    </row>
    <row r="4870" spans="1:6" x14ac:dyDescent="0.3">
      <c r="A4870" t="s">
        <v>2488</v>
      </c>
      <c r="B4870" t="s">
        <v>61</v>
      </c>
      <c r="C4870" t="str">
        <f>HYPERLINK("http://service.sap.com/sap/support/notes/2028152","2028152")</f>
        <v>2028152</v>
      </c>
      <c r="D4870">
        <v>4</v>
      </c>
      <c r="E4870" t="s">
        <v>4263</v>
      </c>
      <c r="F4870" t="s">
        <v>17</v>
      </c>
    </row>
    <row r="4871" spans="1:6" x14ac:dyDescent="0.3">
      <c r="A4871" t="s">
        <v>2488</v>
      </c>
      <c r="B4871" t="s">
        <v>61</v>
      </c>
      <c r="C4871" t="str">
        <f>HYPERLINK("http://service.sap.com/sap/support/notes/2044353","2044353")</f>
        <v>2044353</v>
      </c>
      <c r="D4871">
        <v>3</v>
      </c>
      <c r="E4871" t="s">
        <v>4263</v>
      </c>
      <c r="F4871" t="s">
        <v>17</v>
      </c>
    </row>
    <row r="4872" spans="1:6" x14ac:dyDescent="0.3">
      <c r="A4872" t="s">
        <v>1605</v>
      </c>
      <c r="B4872" t="s">
        <v>1606</v>
      </c>
    </row>
    <row r="4873" spans="1:6" x14ac:dyDescent="0.3">
      <c r="A4873" t="s">
        <v>2495</v>
      </c>
      <c r="B4873" t="s">
        <v>2496</v>
      </c>
      <c r="C4873" t="str">
        <f>HYPERLINK("http://service.sap.com/sap/support/notes/2041975","2041975")</f>
        <v>2041975</v>
      </c>
      <c r="D4873">
        <v>1</v>
      </c>
      <c r="E4873" t="s">
        <v>5162</v>
      </c>
      <c r="F4873" t="s">
        <v>13</v>
      </c>
    </row>
    <row r="4874" spans="1:6" x14ac:dyDescent="0.3">
      <c r="A4874" t="s">
        <v>1613</v>
      </c>
      <c r="B4874" t="s">
        <v>1614</v>
      </c>
    </row>
    <row r="4875" spans="1:6" x14ac:dyDescent="0.3">
      <c r="A4875" t="s">
        <v>1615</v>
      </c>
      <c r="B4875" t="s">
        <v>61</v>
      </c>
      <c r="C4875" t="str">
        <f>HYPERLINK("http://service.sap.com/sap/support/notes/2036441","2036441")</f>
        <v>2036441</v>
      </c>
      <c r="D4875">
        <v>2</v>
      </c>
      <c r="E4875" t="s">
        <v>5163</v>
      </c>
      <c r="F4875" t="s">
        <v>17</v>
      </c>
    </row>
    <row r="4876" spans="1:6" x14ac:dyDescent="0.3">
      <c r="A4876" t="s">
        <v>5164</v>
      </c>
      <c r="B4876" t="s">
        <v>5165</v>
      </c>
    </row>
    <row r="4877" spans="1:6" x14ac:dyDescent="0.3">
      <c r="A4877" t="s">
        <v>5166</v>
      </c>
      <c r="B4877" t="s">
        <v>61</v>
      </c>
      <c r="C4877" t="str">
        <f>HYPERLINK("http://service.sap.com/sap/support/notes/2027650","2027650")</f>
        <v>2027650</v>
      </c>
      <c r="D4877">
        <v>1</v>
      </c>
      <c r="E4877" t="s">
        <v>5167</v>
      </c>
      <c r="F4877" t="s">
        <v>11</v>
      </c>
    </row>
    <row r="4878" spans="1:6" x14ac:dyDescent="0.3">
      <c r="A4878" t="s">
        <v>2519</v>
      </c>
      <c r="B4878" t="s">
        <v>2520</v>
      </c>
      <c r="C4878" t="str">
        <f>HYPERLINK("http://service.sap.com/sap/support/notes/1949755","1949755")</f>
        <v>1949755</v>
      </c>
      <c r="D4878">
        <v>1</v>
      </c>
      <c r="E4878" t="s">
        <v>2522</v>
      </c>
      <c r="F4878" t="s">
        <v>17</v>
      </c>
    </row>
    <row r="4879" spans="1:6" x14ac:dyDescent="0.3">
      <c r="A4879" t="s">
        <v>1634</v>
      </c>
      <c r="B4879" t="s">
        <v>1635</v>
      </c>
    </row>
    <row r="4880" spans="1:6" x14ac:dyDescent="0.3">
      <c r="A4880" t="s">
        <v>1636</v>
      </c>
      <c r="B4880" t="s">
        <v>61</v>
      </c>
      <c r="C4880" t="str">
        <f>HYPERLINK("http://service.sap.com/sap/support/notes/1976819","1976819")</f>
        <v>1976819</v>
      </c>
      <c r="D4880">
        <v>3</v>
      </c>
      <c r="E4880" t="s">
        <v>5168</v>
      </c>
      <c r="F4880" t="s">
        <v>17</v>
      </c>
    </row>
    <row r="4881" spans="1:6" x14ac:dyDescent="0.3">
      <c r="A4881" t="s">
        <v>1636</v>
      </c>
      <c r="B4881" t="s">
        <v>61</v>
      </c>
      <c r="C4881" t="str">
        <f>HYPERLINK("http://service.sap.com/sap/support/notes/2007635","2007635")</f>
        <v>2007635</v>
      </c>
      <c r="D4881">
        <v>1</v>
      </c>
      <c r="E4881" t="s">
        <v>5169</v>
      </c>
      <c r="F4881" t="s">
        <v>17</v>
      </c>
    </row>
    <row r="4882" spans="1:6" x14ac:dyDescent="0.3">
      <c r="A4882" t="s">
        <v>1636</v>
      </c>
      <c r="B4882" t="s">
        <v>61</v>
      </c>
      <c r="C4882" t="str">
        <f>HYPERLINK("http://service.sap.com/sap/support/notes/2050505","2050505")</f>
        <v>2050505</v>
      </c>
      <c r="D4882">
        <v>2</v>
      </c>
      <c r="E4882" t="s">
        <v>5170</v>
      </c>
      <c r="F4882" t="s">
        <v>17</v>
      </c>
    </row>
    <row r="4883" spans="1:6" x14ac:dyDescent="0.3">
      <c r="A4883" t="s">
        <v>1636</v>
      </c>
      <c r="B4883" t="s">
        <v>61</v>
      </c>
      <c r="C4883" t="str">
        <f>HYPERLINK("http://service.sap.com/sap/support/notes/2058548","2058548")</f>
        <v>2058548</v>
      </c>
      <c r="D4883">
        <v>2</v>
      </c>
      <c r="E4883" t="s">
        <v>5171</v>
      </c>
      <c r="F4883" t="s">
        <v>17</v>
      </c>
    </row>
    <row r="4884" spans="1:6" x14ac:dyDescent="0.3">
      <c r="A4884" t="s">
        <v>1641</v>
      </c>
      <c r="B4884" t="s">
        <v>1553</v>
      </c>
      <c r="C4884" t="str">
        <f>HYPERLINK("http://service.sap.com/sap/support/notes/1947291","1947291")</f>
        <v>1947291</v>
      </c>
      <c r="D4884">
        <v>3</v>
      </c>
      <c r="E4884" t="s">
        <v>5172</v>
      </c>
      <c r="F4884" t="s">
        <v>17</v>
      </c>
    </row>
    <row r="4885" spans="1:6" x14ac:dyDescent="0.3">
      <c r="A4885" t="s">
        <v>1641</v>
      </c>
      <c r="B4885" t="s">
        <v>1553</v>
      </c>
      <c r="C4885" t="str">
        <f>HYPERLINK("http://service.sap.com/sap/support/notes/1971624","1971624")</f>
        <v>1971624</v>
      </c>
      <c r="D4885">
        <v>2</v>
      </c>
      <c r="E4885" t="s">
        <v>5173</v>
      </c>
      <c r="F4885" t="s">
        <v>17</v>
      </c>
    </row>
    <row r="4886" spans="1:6" x14ac:dyDescent="0.3">
      <c r="A4886" t="s">
        <v>1641</v>
      </c>
      <c r="B4886" t="s">
        <v>1553</v>
      </c>
      <c r="C4886" t="str">
        <f>HYPERLINK("http://service.sap.com/sap/support/notes/2038925","2038925")</f>
        <v>2038925</v>
      </c>
      <c r="D4886">
        <v>2</v>
      </c>
      <c r="E4886" t="s">
        <v>5174</v>
      </c>
      <c r="F4886" t="s">
        <v>17</v>
      </c>
    </row>
    <row r="4887" spans="1:6" x14ac:dyDescent="0.3">
      <c r="A4887" t="s">
        <v>1641</v>
      </c>
      <c r="B4887" t="s">
        <v>1553</v>
      </c>
      <c r="C4887" t="str">
        <f>HYPERLINK("http://service.sap.com/sap/support/notes/2042137","2042137")</f>
        <v>2042137</v>
      </c>
      <c r="D4887">
        <v>2</v>
      </c>
      <c r="E4887" t="s">
        <v>5175</v>
      </c>
      <c r="F4887" t="s">
        <v>17</v>
      </c>
    </row>
    <row r="4888" spans="1:6" x14ac:dyDescent="0.3">
      <c r="A4888" t="s">
        <v>1641</v>
      </c>
      <c r="B4888" t="s">
        <v>1553</v>
      </c>
      <c r="C4888" t="str">
        <f>HYPERLINK("http://service.sap.com/sap/support/notes/2058613","2058613")</f>
        <v>2058613</v>
      </c>
      <c r="D4888">
        <v>1</v>
      </c>
      <c r="E4888" t="s">
        <v>5176</v>
      </c>
      <c r="F4888" t="s">
        <v>17</v>
      </c>
    </row>
    <row r="4889" spans="1:6" x14ac:dyDescent="0.3">
      <c r="A4889" t="s">
        <v>1643</v>
      </c>
      <c r="B4889" t="s">
        <v>1644</v>
      </c>
    </row>
    <row r="4890" spans="1:6" x14ac:dyDescent="0.3">
      <c r="A4890" t="s">
        <v>1649</v>
      </c>
      <c r="B4890" t="s">
        <v>61</v>
      </c>
      <c r="C4890" t="str">
        <f>HYPERLINK("http://service.sap.com/sap/support/notes/2000745","2000745")</f>
        <v>2000745</v>
      </c>
      <c r="D4890">
        <v>10</v>
      </c>
      <c r="E4890" t="s">
        <v>5177</v>
      </c>
      <c r="F4890" t="s">
        <v>17</v>
      </c>
    </row>
    <row r="4891" spans="1:6" x14ac:dyDescent="0.3">
      <c r="A4891" t="s">
        <v>1649</v>
      </c>
      <c r="B4891" t="s">
        <v>61</v>
      </c>
      <c r="C4891" t="str">
        <f>HYPERLINK("http://service.sap.com/sap/support/notes/2022629","2022629")</f>
        <v>2022629</v>
      </c>
      <c r="D4891">
        <v>3</v>
      </c>
      <c r="E4891" t="s">
        <v>5178</v>
      </c>
      <c r="F4891" t="s">
        <v>17</v>
      </c>
    </row>
    <row r="4892" spans="1:6" x14ac:dyDescent="0.3">
      <c r="A4892" t="s">
        <v>1649</v>
      </c>
      <c r="B4892" t="s">
        <v>61</v>
      </c>
      <c r="C4892" t="str">
        <f>HYPERLINK("http://service.sap.com/sap/support/notes/2026970","2026970")</f>
        <v>2026970</v>
      </c>
      <c r="D4892">
        <v>3</v>
      </c>
      <c r="E4892" t="s">
        <v>5179</v>
      </c>
      <c r="F4892" t="s">
        <v>17</v>
      </c>
    </row>
    <row r="4893" spans="1:6" x14ac:dyDescent="0.3">
      <c r="A4893" t="s">
        <v>1664</v>
      </c>
      <c r="B4893" t="s">
        <v>63</v>
      </c>
      <c r="C4893" t="str">
        <f>HYPERLINK("http://service.sap.com/sap/support/notes/1882562","1882562")</f>
        <v>1882562</v>
      </c>
      <c r="D4893">
        <v>10</v>
      </c>
      <c r="E4893" t="s">
        <v>1667</v>
      </c>
      <c r="F4893" t="s">
        <v>11</v>
      </c>
    </row>
    <row r="4894" spans="1:6" x14ac:dyDescent="0.3">
      <c r="A4894" t="s">
        <v>1664</v>
      </c>
      <c r="B4894" t="s">
        <v>63</v>
      </c>
      <c r="C4894" t="str">
        <f>HYPERLINK("http://service.sap.com/sap/support/notes/2021654","2021654")</f>
        <v>2021654</v>
      </c>
      <c r="D4894">
        <v>2</v>
      </c>
      <c r="E4894" t="s">
        <v>5180</v>
      </c>
      <c r="F4894" t="s">
        <v>17</v>
      </c>
    </row>
    <row r="4895" spans="1:6" x14ac:dyDescent="0.3">
      <c r="A4895" t="s">
        <v>1664</v>
      </c>
      <c r="B4895" t="s">
        <v>63</v>
      </c>
      <c r="C4895" t="str">
        <f>HYPERLINK("http://service.sap.com/sap/support/notes/2023848","2023848")</f>
        <v>2023848</v>
      </c>
      <c r="D4895">
        <v>2</v>
      </c>
      <c r="E4895" t="s">
        <v>5181</v>
      </c>
      <c r="F4895" t="s">
        <v>17</v>
      </c>
    </row>
    <row r="4896" spans="1:6" x14ac:dyDescent="0.3">
      <c r="A4896" t="s">
        <v>1664</v>
      </c>
      <c r="B4896" t="s">
        <v>63</v>
      </c>
      <c r="C4896" t="str">
        <f>HYPERLINK("http://service.sap.com/sap/support/notes/2028794","2028794")</f>
        <v>2028794</v>
      </c>
      <c r="D4896">
        <v>2</v>
      </c>
      <c r="E4896" t="s">
        <v>5182</v>
      </c>
      <c r="F4896" t="s">
        <v>17</v>
      </c>
    </row>
    <row r="4897" spans="1:6" x14ac:dyDescent="0.3">
      <c r="A4897" t="s">
        <v>1664</v>
      </c>
      <c r="B4897" t="s">
        <v>63</v>
      </c>
      <c r="C4897" t="str">
        <f>HYPERLINK("http://service.sap.com/sap/support/notes/2038512","2038512")</f>
        <v>2038512</v>
      </c>
      <c r="D4897">
        <v>2</v>
      </c>
      <c r="E4897" t="s">
        <v>5183</v>
      </c>
      <c r="F4897" t="s">
        <v>17</v>
      </c>
    </row>
    <row r="4898" spans="1:6" x14ac:dyDescent="0.3">
      <c r="A4898" t="s">
        <v>1664</v>
      </c>
      <c r="B4898" t="s">
        <v>63</v>
      </c>
      <c r="C4898" t="str">
        <f>HYPERLINK("http://service.sap.com/sap/support/notes/2043553","2043553")</f>
        <v>2043553</v>
      </c>
      <c r="D4898">
        <v>3</v>
      </c>
      <c r="E4898" t="s">
        <v>5184</v>
      </c>
      <c r="F4898" t="s">
        <v>17</v>
      </c>
    </row>
    <row r="4899" spans="1:6" x14ac:dyDescent="0.3">
      <c r="A4899" t="s">
        <v>1664</v>
      </c>
      <c r="B4899" t="s">
        <v>63</v>
      </c>
      <c r="C4899" t="str">
        <f>HYPERLINK("http://service.sap.com/sap/support/notes/2056485","2056485")</f>
        <v>2056485</v>
      </c>
      <c r="D4899">
        <v>1</v>
      </c>
      <c r="E4899" t="s">
        <v>5185</v>
      </c>
      <c r="F4899" t="s">
        <v>17</v>
      </c>
    </row>
    <row r="4900" spans="1:6" x14ac:dyDescent="0.3">
      <c r="A4900" t="s">
        <v>1678</v>
      </c>
      <c r="B4900" t="s">
        <v>1679</v>
      </c>
    </row>
    <row r="4901" spans="1:6" x14ac:dyDescent="0.3">
      <c r="A4901" t="s">
        <v>1681</v>
      </c>
      <c r="B4901" t="s">
        <v>61</v>
      </c>
      <c r="C4901" t="str">
        <f>HYPERLINK("http://service.sap.com/sap/support/notes/1891920","1891920")</f>
        <v>1891920</v>
      </c>
      <c r="D4901">
        <v>1</v>
      </c>
      <c r="E4901" t="s">
        <v>5186</v>
      </c>
      <c r="F4901" t="s">
        <v>17</v>
      </c>
    </row>
    <row r="4902" spans="1:6" x14ac:dyDescent="0.3">
      <c r="A4902" t="s">
        <v>1681</v>
      </c>
      <c r="B4902" t="s">
        <v>61</v>
      </c>
      <c r="C4902" t="str">
        <f>HYPERLINK("http://service.sap.com/sap/support/notes/1950824","1950824")</f>
        <v>1950824</v>
      </c>
      <c r="D4902">
        <v>1</v>
      </c>
      <c r="E4902" t="s">
        <v>5187</v>
      </c>
      <c r="F4902" t="s">
        <v>17</v>
      </c>
    </row>
    <row r="4903" spans="1:6" x14ac:dyDescent="0.3">
      <c r="A4903" t="s">
        <v>1681</v>
      </c>
      <c r="B4903" t="s">
        <v>61</v>
      </c>
      <c r="C4903" t="str">
        <f>HYPERLINK("http://service.sap.com/sap/support/notes/1983138","1983138")</f>
        <v>1983138</v>
      </c>
      <c r="D4903">
        <v>2</v>
      </c>
      <c r="E4903" t="s">
        <v>4288</v>
      </c>
      <c r="F4903" t="s">
        <v>17</v>
      </c>
    </row>
    <row r="4904" spans="1:6" x14ac:dyDescent="0.3">
      <c r="A4904" t="s">
        <v>1681</v>
      </c>
      <c r="B4904" t="s">
        <v>61</v>
      </c>
      <c r="C4904" t="str">
        <f>HYPERLINK("http://service.sap.com/sap/support/notes/2003284","2003284")</f>
        <v>2003284</v>
      </c>
      <c r="D4904">
        <v>6</v>
      </c>
      <c r="E4904" t="s">
        <v>5188</v>
      </c>
      <c r="F4904" t="s">
        <v>17</v>
      </c>
    </row>
    <row r="4905" spans="1:6" x14ac:dyDescent="0.3">
      <c r="A4905" t="s">
        <v>1681</v>
      </c>
      <c r="B4905" t="s">
        <v>61</v>
      </c>
      <c r="C4905" t="str">
        <f>HYPERLINK("http://service.sap.com/sap/support/notes/2010039","2010039")</f>
        <v>2010039</v>
      </c>
      <c r="D4905">
        <v>5</v>
      </c>
      <c r="E4905" t="s">
        <v>5189</v>
      </c>
      <c r="F4905" t="s">
        <v>17</v>
      </c>
    </row>
    <row r="4906" spans="1:6" x14ac:dyDescent="0.3">
      <c r="A4906" t="s">
        <v>1681</v>
      </c>
      <c r="B4906" t="s">
        <v>61</v>
      </c>
      <c r="C4906" t="str">
        <f>HYPERLINK("http://service.sap.com/sap/support/notes/2011466","2011466")</f>
        <v>2011466</v>
      </c>
      <c r="D4906">
        <v>2</v>
      </c>
      <c r="E4906" t="s">
        <v>5190</v>
      </c>
      <c r="F4906" t="s">
        <v>17</v>
      </c>
    </row>
    <row r="4907" spans="1:6" x14ac:dyDescent="0.3">
      <c r="A4907" t="s">
        <v>1681</v>
      </c>
      <c r="B4907" t="s">
        <v>61</v>
      </c>
      <c r="C4907" t="str">
        <f>HYPERLINK("http://service.sap.com/sap/support/notes/2011533","2011533")</f>
        <v>2011533</v>
      </c>
      <c r="D4907">
        <v>10</v>
      </c>
      <c r="E4907" t="s">
        <v>5191</v>
      </c>
      <c r="F4907" t="s">
        <v>17</v>
      </c>
    </row>
    <row r="4908" spans="1:6" x14ac:dyDescent="0.3">
      <c r="A4908" t="s">
        <v>1681</v>
      </c>
      <c r="B4908" t="s">
        <v>61</v>
      </c>
      <c r="C4908" t="str">
        <f>HYPERLINK("http://service.sap.com/sap/support/notes/2016362","2016362")</f>
        <v>2016362</v>
      </c>
      <c r="D4908">
        <v>2</v>
      </c>
      <c r="E4908" t="s">
        <v>5192</v>
      </c>
      <c r="F4908" t="s">
        <v>17</v>
      </c>
    </row>
    <row r="4909" spans="1:6" x14ac:dyDescent="0.3">
      <c r="A4909" t="s">
        <v>1681</v>
      </c>
      <c r="B4909" t="s">
        <v>61</v>
      </c>
      <c r="C4909" t="str">
        <f>HYPERLINK("http://service.sap.com/sap/support/notes/2018839","2018839")</f>
        <v>2018839</v>
      </c>
      <c r="D4909">
        <v>8</v>
      </c>
      <c r="E4909" t="s">
        <v>5193</v>
      </c>
      <c r="F4909" t="s">
        <v>17</v>
      </c>
    </row>
    <row r="4910" spans="1:6" x14ac:dyDescent="0.3">
      <c r="A4910" t="s">
        <v>1681</v>
      </c>
      <c r="B4910" t="s">
        <v>61</v>
      </c>
      <c r="C4910" t="str">
        <f>HYPERLINK("http://service.sap.com/sap/support/notes/2019683","2019683")</f>
        <v>2019683</v>
      </c>
      <c r="D4910">
        <v>3</v>
      </c>
      <c r="E4910" t="s">
        <v>5194</v>
      </c>
      <c r="F4910" t="s">
        <v>17</v>
      </c>
    </row>
    <row r="4911" spans="1:6" x14ac:dyDescent="0.3">
      <c r="A4911" t="s">
        <v>1681</v>
      </c>
      <c r="B4911" t="s">
        <v>61</v>
      </c>
      <c r="C4911" t="str">
        <f>HYPERLINK("http://service.sap.com/sap/support/notes/2019699","2019699")</f>
        <v>2019699</v>
      </c>
      <c r="D4911">
        <v>1</v>
      </c>
      <c r="E4911" t="s">
        <v>5195</v>
      </c>
      <c r="F4911" t="s">
        <v>17</v>
      </c>
    </row>
    <row r="4912" spans="1:6" x14ac:dyDescent="0.3">
      <c r="A4912" t="s">
        <v>1681</v>
      </c>
      <c r="B4912" t="s">
        <v>61</v>
      </c>
      <c r="C4912" t="str">
        <f>HYPERLINK("http://service.sap.com/sap/support/notes/2020262","2020262")</f>
        <v>2020262</v>
      </c>
      <c r="D4912">
        <v>6</v>
      </c>
      <c r="E4912" t="s">
        <v>5196</v>
      </c>
      <c r="F4912" t="s">
        <v>17</v>
      </c>
    </row>
    <row r="4913" spans="1:6" x14ac:dyDescent="0.3">
      <c r="A4913" t="s">
        <v>1681</v>
      </c>
      <c r="B4913" t="s">
        <v>61</v>
      </c>
      <c r="C4913" t="str">
        <f>HYPERLINK("http://service.sap.com/sap/support/notes/2023707","2023707")</f>
        <v>2023707</v>
      </c>
      <c r="D4913">
        <v>7</v>
      </c>
      <c r="E4913" t="s">
        <v>5197</v>
      </c>
      <c r="F4913" t="s">
        <v>17</v>
      </c>
    </row>
    <row r="4914" spans="1:6" x14ac:dyDescent="0.3">
      <c r="A4914" t="s">
        <v>1681</v>
      </c>
      <c r="B4914" t="s">
        <v>61</v>
      </c>
      <c r="C4914" t="str">
        <f>HYPERLINK("http://service.sap.com/sap/support/notes/2024249","2024249")</f>
        <v>2024249</v>
      </c>
      <c r="D4914">
        <v>2</v>
      </c>
      <c r="E4914" t="s">
        <v>5198</v>
      </c>
      <c r="F4914" t="s">
        <v>17</v>
      </c>
    </row>
    <row r="4915" spans="1:6" x14ac:dyDescent="0.3">
      <c r="A4915" t="s">
        <v>1681</v>
      </c>
      <c r="B4915" t="s">
        <v>61</v>
      </c>
      <c r="C4915" t="str">
        <f>HYPERLINK("http://service.sap.com/sap/support/notes/2025963","2025963")</f>
        <v>2025963</v>
      </c>
      <c r="D4915">
        <v>4</v>
      </c>
      <c r="E4915" t="s">
        <v>5199</v>
      </c>
      <c r="F4915" t="s">
        <v>17</v>
      </c>
    </row>
    <row r="4916" spans="1:6" x14ac:dyDescent="0.3">
      <c r="A4916" t="s">
        <v>1681</v>
      </c>
      <c r="B4916" t="s">
        <v>61</v>
      </c>
      <c r="C4916" t="str">
        <f>HYPERLINK("http://service.sap.com/sap/support/notes/2026947","2026947")</f>
        <v>2026947</v>
      </c>
      <c r="D4916">
        <v>6</v>
      </c>
      <c r="E4916" t="s">
        <v>5200</v>
      </c>
      <c r="F4916" t="s">
        <v>17</v>
      </c>
    </row>
    <row r="4917" spans="1:6" x14ac:dyDescent="0.3">
      <c r="A4917" t="s">
        <v>1681</v>
      </c>
      <c r="B4917" t="s">
        <v>61</v>
      </c>
      <c r="C4917" t="str">
        <f>HYPERLINK("http://service.sap.com/sap/support/notes/2027374","2027374")</f>
        <v>2027374</v>
      </c>
      <c r="D4917">
        <v>5</v>
      </c>
      <c r="E4917" t="s">
        <v>5201</v>
      </c>
      <c r="F4917" t="s">
        <v>17</v>
      </c>
    </row>
    <row r="4918" spans="1:6" x14ac:dyDescent="0.3">
      <c r="A4918" t="s">
        <v>1681</v>
      </c>
      <c r="B4918" t="s">
        <v>61</v>
      </c>
      <c r="C4918" t="str">
        <f>HYPERLINK("http://service.sap.com/sap/support/notes/2027566","2027566")</f>
        <v>2027566</v>
      </c>
      <c r="D4918">
        <v>5</v>
      </c>
      <c r="E4918" t="s">
        <v>5202</v>
      </c>
      <c r="F4918" t="s">
        <v>17</v>
      </c>
    </row>
    <row r="4919" spans="1:6" x14ac:dyDescent="0.3">
      <c r="A4919" t="s">
        <v>1681</v>
      </c>
      <c r="B4919" t="s">
        <v>61</v>
      </c>
      <c r="C4919" t="str">
        <f>HYPERLINK("http://service.sap.com/sap/support/notes/2028123","2028123")</f>
        <v>2028123</v>
      </c>
      <c r="D4919">
        <v>3</v>
      </c>
      <c r="E4919" t="s">
        <v>5203</v>
      </c>
      <c r="F4919" t="s">
        <v>17</v>
      </c>
    </row>
    <row r="4920" spans="1:6" x14ac:dyDescent="0.3">
      <c r="A4920" t="s">
        <v>1681</v>
      </c>
      <c r="B4920" t="s">
        <v>61</v>
      </c>
      <c r="C4920" t="str">
        <f>HYPERLINK("http://service.sap.com/sap/support/notes/2028325","2028325")</f>
        <v>2028325</v>
      </c>
      <c r="D4920">
        <v>3</v>
      </c>
      <c r="E4920" t="s">
        <v>5204</v>
      </c>
      <c r="F4920" t="s">
        <v>17</v>
      </c>
    </row>
    <row r="4921" spans="1:6" x14ac:dyDescent="0.3">
      <c r="A4921" t="s">
        <v>1681</v>
      </c>
      <c r="B4921" t="s">
        <v>61</v>
      </c>
      <c r="C4921" t="str">
        <f>HYPERLINK("http://service.sap.com/sap/support/notes/2030920","2030920")</f>
        <v>2030920</v>
      </c>
      <c r="D4921">
        <v>4</v>
      </c>
      <c r="E4921" t="s">
        <v>5205</v>
      </c>
      <c r="F4921" t="s">
        <v>17</v>
      </c>
    </row>
    <row r="4922" spans="1:6" x14ac:dyDescent="0.3">
      <c r="A4922" t="s">
        <v>1681</v>
      </c>
      <c r="B4922" t="s">
        <v>61</v>
      </c>
      <c r="C4922" t="str">
        <f>HYPERLINK("http://service.sap.com/sap/support/notes/2031338","2031338")</f>
        <v>2031338</v>
      </c>
      <c r="D4922">
        <v>7</v>
      </c>
      <c r="E4922" t="s">
        <v>5206</v>
      </c>
      <c r="F4922" t="s">
        <v>17</v>
      </c>
    </row>
    <row r="4923" spans="1:6" x14ac:dyDescent="0.3">
      <c r="A4923" t="s">
        <v>1681</v>
      </c>
      <c r="B4923" t="s">
        <v>61</v>
      </c>
      <c r="C4923" t="str">
        <f>HYPERLINK("http://service.sap.com/sap/support/notes/2031759","2031759")</f>
        <v>2031759</v>
      </c>
      <c r="D4923">
        <v>6</v>
      </c>
      <c r="E4923" t="s">
        <v>5207</v>
      </c>
      <c r="F4923" t="s">
        <v>17</v>
      </c>
    </row>
    <row r="4924" spans="1:6" x14ac:dyDescent="0.3">
      <c r="A4924" t="s">
        <v>1681</v>
      </c>
      <c r="B4924" t="s">
        <v>61</v>
      </c>
      <c r="C4924" t="str">
        <f>HYPERLINK("http://service.sap.com/sap/support/notes/2032396","2032396")</f>
        <v>2032396</v>
      </c>
      <c r="D4924">
        <v>4</v>
      </c>
      <c r="E4924" t="s">
        <v>5208</v>
      </c>
      <c r="F4924" t="s">
        <v>17</v>
      </c>
    </row>
    <row r="4925" spans="1:6" x14ac:dyDescent="0.3">
      <c r="A4925" t="s">
        <v>1681</v>
      </c>
      <c r="B4925" t="s">
        <v>61</v>
      </c>
      <c r="C4925" t="str">
        <f>HYPERLINK("http://service.sap.com/sap/support/notes/2032594","2032594")</f>
        <v>2032594</v>
      </c>
      <c r="D4925">
        <v>2</v>
      </c>
      <c r="E4925" t="s">
        <v>5209</v>
      </c>
      <c r="F4925" t="s">
        <v>17</v>
      </c>
    </row>
    <row r="4926" spans="1:6" x14ac:dyDescent="0.3">
      <c r="A4926" t="s">
        <v>1681</v>
      </c>
      <c r="B4926" t="s">
        <v>61</v>
      </c>
      <c r="C4926" t="str">
        <f>HYPERLINK("http://service.sap.com/sap/support/notes/2032847","2032847")</f>
        <v>2032847</v>
      </c>
      <c r="D4926">
        <v>1</v>
      </c>
      <c r="E4926" t="s">
        <v>5210</v>
      </c>
      <c r="F4926" t="s">
        <v>17</v>
      </c>
    </row>
    <row r="4927" spans="1:6" x14ac:dyDescent="0.3">
      <c r="A4927" t="s">
        <v>1681</v>
      </c>
      <c r="B4927" t="s">
        <v>61</v>
      </c>
      <c r="C4927" t="str">
        <f>HYPERLINK("http://service.sap.com/sap/support/notes/2032974","2032974")</f>
        <v>2032974</v>
      </c>
      <c r="D4927">
        <v>2</v>
      </c>
      <c r="E4927" t="s">
        <v>5211</v>
      </c>
      <c r="F4927" t="s">
        <v>17</v>
      </c>
    </row>
    <row r="4928" spans="1:6" x14ac:dyDescent="0.3">
      <c r="A4928" t="s">
        <v>1681</v>
      </c>
      <c r="B4928" t="s">
        <v>61</v>
      </c>
      <c r="C4928" t="str">
        <f>HYPERLINK("http://service.sap.com/sap/support/notes/2034120","2034120")</f>
        <v>2034120</v>
      </c>
      <c r="D4928">
        <v>3</v>
      </c>
      <c r="E4928" t="s">
        <v>5212</v>
      </c>
      <c r="F4928" t="s">
        <v>17</v>
      </c>
    </row>
    <row r="4929" spans="1:6" x14ac:dyDescent="0.3">
      <c r="A4929" t="s">
        <v>1681</v>
      </c>
      <c r="B4929" t="s">
        <v>61</v>
      </c>
      <c r="C4929" t="str">
        <f>HYPERLINK("http://service.sap.com/sap/support/notes/2034410","2034410")</f>
        <v>2034410</v>
      </c>
      <c r="D4929">
        <v>1</v>
      </c>
      <c r="E4929" t="s">
        <v>4306</v>
      </c>
      <c r="F4929" t="s">
        <v>17</v>
      </c>
    </row>
    <row r="4930" spans="1:6" x14ac:dyDescent="0.3">
      <c r="A4930" t="s">
        <v>1681</v>
      </c>
      <c r="B4930" t="s">
        <v>61</v>
      </c>
      <c r="C4930" t="str">
        <f>HYPERLINK("http://service.sap.com/sap/support/notes/2035279","2035279")</f>
        <v>2035279</v>
      </c>
      <c r="D4930">
        <v>3</v>
      </c>
      <c r="E4930" t="s">
        <v>5213</v>
      </c>
      <c r="F4930" t="s">
        <v>17</v>
      </c>
    </row>
    <row r="4931" spans="1:6" x14ac:dyDescent="0.3">
      <c r="A4931" t="s">
        <v>1681</v>
      </c>
      <c r="B4931" t="s">
        <v>61</v>
      </c>
      <c r="C4931" t="str">
        <f>HYPERLINK("http://service.sap.com/sap/support/notes/2035699","2035699")</f>
        <v>2035699</v>
      </c>
      <c r="D4931">
        <v>3</v>
      </c>
      <c r="E4931" t="s">
        <v>5214</v>
      </c>
      <c r="F4931" t="s">
        <v>17</v>
      </c>
    </row>
    <row r="4932" spans="1:6" x14ac:dyDescent="0.3">
      <c r="A4932" t="s">
        <v>1681</v>
      </c>
      <c r="B4932" t="s">
        <v>61</v>
      </c>
      <c r="C4932" t="str">
        <f>HYPERLINK("http://service.sap.com/sap/support/notes/2036364","2036364")</f>
        <v>2036364</v>
      </c>
      <c r="D4932">
        <v>2</v>
      </c>
      <c r="E4932" t="s">
        <v>5215</v>
      </c>
      <c r="F4932" t="s">
        <v>13</v>
      </c>
    </row>
    <row r="4933" spans="1:6" x14ac:dyDescent="0.3">
      <c r="A4933" t="s">
        <v>1681</v>
      </c>
      <c r="B4933" t="s">
        <v>61</v>
      </c>
      <c r="C4933" t="str">
        <f>HYPERLINK("http://service.sap.com/sap/support/notes/2037120","2037120")</f>
        <v>2037120</v>
      </c>
      <c r="D4933">
        <v>3</v>
      </c>
      <c r="E4933" t="s">
        <v>1763</v>
      </c>
      <c r="F4933" t="s">
        <v>17</v>
      </c>
    </row>
    <row r="4934" spans="1:6" x14ac:dyDescent="0.3">
      <c r="A4934" t="s">
        <v>1681</v>
      </c>
      <c r="B4934" t="s">
        <v>61</v>
      </c>
      <c r="C4934" t="str">
        <f>HYPERLINK("http://service.sap.com/sap/support/notes/2037368","2037368")</f>
        <v>2037368</v>
      </c>
      <c r="D4934">
        <v>2</v>
      </c>
      <c r="E4934" t="s">
        <v>5216</v>
      </c>
      <c r="F4934" t="s">
        <v>17</v>
      </c>
    </row>
    <row r="4935" spans="1:6" x14ac:dyDescent="0.3">
      <c r="A4935" t="s">
        <v>1681</v>
      </c>
      <c r="B4935" t="s">
        <v>61</v>
      </c>
      <c r="C4935" t="str">
        <f>HYPERLINK("http://service.sap.com/sap/support/notes/2038431","2038431")</f>
        <v>2038431</v>
      </c>
      <c r="D4935">
        <v>1</v>
      </c>
      <c r="E4935" t="s">
        <v>5217</v>
      </c>
      <c r="F4935" t="s">
        <v>17</v>
      </c>
    </row>
    <row r="4936" spans="1:6" x14ac:dyDescent="0.3">
      <c r="A4936" t="s">
        <v>1681</v>
      </c>
      <c r="B4936" t="s">
        <v>61</v>
      </c>
      <c r="C4936" t="str">
        <f>HYPERLINK("http://service.sap.com/sap/support/notes/2038921","2038921")</f>
        <v>2038921</v>
      </c>
      <c r="D4936">
        <v>2</v>
      </c>
      <c r="E4936" t="s">
        <v>5218</v>
      </c>
      <c r="F4936" t="s">
        <v>17</v>
      </c>
    </row>
    <row r="4937" spans="1:6" x14ac:dyDescent="0.3">
      <c r="A4937" t="s">
        <v>1681</v>
      </c>
      <c r="B4937" t="s">
        <v>61</v>
      </c>
      <c r="C4937" t="str">
        <f>HYPERLINK("http://service.sap.com/sap/support/notes/2039985","2039985")</f>
        <v>2039985</v>
      </c>
      <c r="D4937">
        <v>6</v>
      </c>
      <c r="E4937" t="s">
        <v>5219</v>
      </c>
      <c r="F4937" t="s">
        <v>17</v>
      </c>
    </row>
    <row r="4938" spans="1:6" x14ac:dyDescent="0.3">
      <c r="A4938" t="s">
        <v>1681</v>
      </c>
      <c r="B4938" t="s">
        <v>61</v>
      </c>
      <c r="C4938" t="str">
        <f>HYPERLINK("http://service.sap.com/sap/support/notes/2041295","2041295")</f>
        <v>2041295</v>
      </c>
      <c r="D4938">
        <v>1</v>
      </c>
      <c r="E4938" t="s">
        <v>5220</v>
      </c>
      <c r="F4938" t="s">
        <v>17</v>
      </c>
    </row>
    <row r="4939" spans="1:6" x14ac:dyDescent="0.3">
      <c r="A4939" t="s">
        <v>1681</v>
      </c>
      <c r="B4939" t="s">
        <v>61</v>
      </c>
      <c r="C4939" t="str">
        <f>HYPERLINK("http://service.sap.com/sap/support/notes/2041673","2041673")</f>
        <v>2041673</v>
      </c>
      <c r="D4939">
        <v>2</v>
      </c>
      <c r="E4939" t="s">
        <v>5221</v>
      </c>
      <c r="F4939" t="s">
        <v>17</v>
      </c>
    </row>
    <row r="4940" spans="1:6" x14ac:dyDescent="0.3">
      <c r="A4940" t="s">
        <v>1681</v>
      </c>
      <c r="B4940" t="s">
        <v>61</v>
      </c>
      <c r="C4940" t="str">
        <f>HYPERLINK("http://service.sap.com/sap/support/notes/2042306","2042306")</f>
        <v>2042306</v>
      </c>
      <c r="D4940">
        <v>1</v>
      </c>
      <c r="E4940" t="s">
        <v>5222</v>
      </c>
      <c r="F4940" t="s">
        <v>17</v>
      </c>
    </row>
    <row r="4941" spans="1:6" x14ac:dyDescent="0.3">
      <c r="A4941" t="s">
        <v>1681</v>
      </c>
      <c r="B4941" t="s">
        <v>61</v>
      </c>
      <c r="C4941" t="str">
        <f>HYPERLINK("http://service.sap.com/sap/support/notes/2042628","2042628")</f>
        <v>2042628</v>
      </c>
      <c r="D4941">
        <v>2</v>
      </c>
      <c r="E4941" t="s">
        <v>5223</v>
      </c>
      <c r="F4941" t="s">
        <v>17</v>
      </c>
    </row>
    <row r="4942" spans="1:6" x14ac:dyDescent="0.3">
      <c r="A4942" t="s">
        <v>1681</v>
      </c>
      <c r="B4942" t="s">
        <v>61</v>
      </c>
      <c r="C4942" t="str">
        <f>HYPERLINK("http://service.sap.com/sap/support/notes/2042677","2042677")</f>
        <v>2042677</v>
      </c>
      <c r="D4942">
        <v>3</v>
      </c>
      <c r="E4942" t="s">
        <v>5224</v>
      </c>
      <c r="F4942" t="s">
        <v>17</v>
      </c>
    </row>
    <row r="4943" spans="1:6" x14ac:dyDescent="0.3">
      <c r="A4943" t="s">
        <v>1681</v>
      </c>
      <c r="B4943" t="s">
        <v>61</v>
      </c>
      <c r="C4943" t="str">
        <f>HYPERLINK("http://service.sap.com/sap/support/notes/2043489","2043489")</f>
        <v>2043489</v>
      </c>
      <c r="D4943">
        <v>3</v>
      </c>
      <c r="E4943" t="s">
        <v>5225</v>
      </c>
      <c r="F4943" t="s">
        <v>17</v>
      </c>
    </row>
    <row r="4944" spans="1:6" x14ac:dyDescent="0.3">
      <c r="A4944" t="s">
        <v>1681</v>
      </c>
      <c r="B4944" t="s">
        <v>61</v>
      </c>
      <c r="C4944" t="str">
        <f>HYPERLINK("http://service.sap.com/sap/support/notes/2044268","2044268")</f>
        <v>2044268</v>
      </c>
      <c r="D4944">
        <v>3</v>
      </c>
      <c r="E4944" t="s">
        <v>5226</v>
      </c>
      <c r="F4944" t="s">
        <v>17</v>
      </c>
    </row>
    <row r="4945" spans="1:6" x14ac:dyDescent="0.3">
      <c r="A4945" t="s">
        <v>1681</v>
      </c>
      <c r="B4945" t="s">
        <v>61</v>
      </c>
      <c r="C4945" t="str">
        <f>HYPERLINK("http://service.sap.com/sap/support/notes/2046606","2046606")</f>
        <v>2046606</v>
      </c>
      <c r="D4945">
        <v>1</v>
      </c>
      <c r="E4945" t="s">
        <v>5227</v>
      </c>
      <c r="F4945" t="s">
        <v>17</v>
      </c>
    </row>
    <row r="4946" spans="1:6" x14ac:dyDescent="0.3">
      <c r="A4946" t="s">
        <v>1681</v>
      </c>
      <c r="B4946" t="s">
        <v>61</v>
      </c>
      <c r="C4946" t="str">
        <f>HYPERLINK("http://service.sap.com/sap/support/notes/2046660","2046660")</f>
        <v>2046660</v>
      </c>
      <c r="D4946">
        <v>4</v>
      </c>
      <c r="E4946" t="s">
        <v>5228</v>
      </c>
      <c r="F4946" t="s">
        <v>17</v>
      </c>
    </row>
    <row r="4947" spans="1:6" x14ac:dyDescent="0.3">
      <c r="A4947" t="s">
        <v>1681</v>
      </c>
      <c r="B4947" t="s">
        <v>61</v>
      </c>
      <c r="C4947" t="str">
        <f>HYPERLINK("http://service.sap.com/sap/support/notes/2046824","2046824")</f>
        <v>2046824</v>
      </c>
      <c r="D4947">
        <v>2</v>
      </c>
      <c r="E4947" t="s">
        <v>5229</v>
      </c>
      <c r="F4947" t="s">
        <v>17</v>
      </c>
    </row>
    <row r="4948" spans="1:6" x14ac:dyDescent="0.3">
      <c r="A4948" t="s">
        <v>1681</v>
      </c>
      <c r="B4948" t="s">
        <v>61</v>
      </c>
      <c r="C4948" t="str">
        <f>HYPERLINK("http://service.sap.com/sap/support/notes/2048538","2048538")</f>
        <v>2048538</v>
      </c>
      <c r="D4948">
        <v>2</v>
      </c>
      <c r="E4948" t="s">
        <v>5230</v>
      </c>
      <c r="F4948" t="s">
        <v>17</v>
      </c>
    </row>
    <row r="4949" spans="1:6" x14ac:dyDescent="0.3">
      <c r="A4949" t="s">
        <v>1681</v>
      </c>
      <c r="B4949" t="s">
        <v>61</v>
      </c>
      <c r="C4949" t="str">
        <f>HYPERLINK("http://service.sap.com/sap/support/notes/2048918","2048918")</f>
        <v>2048918</v>
      </c>
      <c r="D4949">
        <v>4</v>
      </c>
      <c r="E4949" t="s">
        <v>5231</v>
      </c>
      <c r="F4949" t="s">
        <v>17</v>
      </c>
    </row>
    <row r="4950" spans="1:6" x14ac:dyDescent="0.3">
      <c r="A4950" t="s">
        <v>1681</v>
      </c>
      <c r="B4950" t="s">
        <v>61</v>
      </c>
      <c r="C4950" t="str">
        <f>HYPERLINK("http://service.sap.com/sap/support/notes/2049533","2049533")</f>
        <v>2049533</v>
      </c>
      <c r="D4950">
        <v>1</v>
      </c>
      <c r="E4950" t="s">
        <v>5232</v>
      </c>
      <c r="F4950" t="s">
        <v>17</v>
      </c>
    </row>
    <row r="4951" spans="1:6" x14ac:dyDescent="0.3">
      <c r="A4951" t="s">
        <v>1681</v>
      </c>
      <c r="B4951" t="s">
        <v>61</v>
      </c>
      <c r="C4951" t="str">
        <f>HYPERLINK("http://service.sap.com/sap/support/notes/2050199","2050199")</f>
        <v>2050199</v>
      </c>
      <c r="D4951">
        <v>1</v>
      </c>
      <c r="E4951" t="s">
        <v>5233</v>
      </c>
      <c r="F4951" t="s">
        <v>17</v>
      </c>
    </row>
    <row r="4952" spans="1:6" x14ac:dyDescent="0.3">
      <c r="A4952" t="s">
        <v>1681</v>
      </c>
      <c r="B4952" t="s">
        <v>61</v>
      </c>
      <c r="C4952" t="str">
        <f>HYPERLINK("http://service.sap.com/sap/support/notes/2050583","2050583")</f>
        <v>2050583</v>
      </c>
      <c r="D4952">
        <v>3</v>
      </c>
      <c r="E4952" t="s">
        <v>5234</v>
      </c>
      <c r="F4952" t="s">
        <v>17</v>
      </c>
    </row>
    <row r="4953" spans="1:6" x14ac:dyDescent="0.3">
      <c r="A4953" t="s">
        <v>1681</v>
      </c>
      <c r="B4953" t="s">
        <v>61</v>
      </c>
      <c r="C4953" t="str">
        <f>HYPERLINK("http://service.sap.com/sap/support/notes/2050745","2050745")</f>
        <v>2050745</v>
      </c>
      <c r="D4953">
        <v>2</v>
      </c>
      <c r="E4953" t="s">
        <v>5235</v>
      </c>
      <c r="F4953" t="s">
        <v>17</v>
      </c>
    </row>
    <row r="4954" spans="1:6" x14ac:dyDescent="0.3">
      <c r="A4954" t="s">
        <v>1681</v>
      </c>
      <c r="B4954" t="s">
        <v>61</v>
      </c>
      <c r="C4954" t="str">
        <f>HYPERLINK("http://service.sap.com/sap/support/notes/2050979","2050979")</f>
        <v>2050979</v>
      </c>
      <c r="D4954">
        <v>3</v>
      </c>
      <c r="E4954" t="s">
        <v>5236</v>
      </c>
      <c r="F4954" t="s">
        <v>17</v>
      </c>
    </row>
    <row r="4955" spans="1:6" x14ac:dyDescent="0.3">
      <c r="A4955" t="s">
        <v>1681</v>
      </c>
      <c r="B4955" t="s">
        <v>61</v>
      </c>
      <c r="C4955" t="str">
        <f>HYPERLINK("http://service.sap.com/sap/support/notes/2051197","2051197")</f>
        <v>2051197</v>
      </c>
      <c r="D4955">
        <v>1</v>
      </c>
      <c r="E4955" t="s">
        <v>5237</v>
      </c>
      <c r="F4955" t="s">
        <v>17</v>
      </c>
    </row>
    <row r="4956" spans="1:6" x14ac:dyDescent="0.3">
      <c r="A4956" t="s">
        <v>1681</v>
      </c>
      <c r="B4956" t="s">
        <v>61</v>
      </c>
      <c r="C4956" t="str">
        <f>HYPERLINK("http://service.sap.com/sap/support/notes/2051263","2051263")</f>
        <v>2051263</v>
      </c>
      <c r="D4956">
        <v>1</v>
      </c>
      <c r="E4956" t="s">
        <v>5238</v>
      </c>
      <c r="F4956" t="s">
        <v>17</v>
      </c>
    </row>
    <row r="4957" spans="1:6" x14ac:dyDescent="0.3">
      <c r="A4957" t="s">
        <v>1681</v>
      </c>
      <c r="B4957" t="s">
        <v>61</v>
      </c>
      <c r="C4957" t="str">
        <f>HYPERLINK("http://service.sap.com/sap/support/notes/2051659","2051659")</f>
        <v>2051659</v>
      </c>
      <c r="D4957">
        <v>1</v>
      </c>
      <c r="E4957" t="s">
        <v>5239</v>
      </c>
      <c r="F4957" t="s">
        <v>17</v>
      </c>
    </row>
    <row r="4958" spans="1:6" x14ac:dyDescent="0.3">
      <c r="A4958" t="s">
        <v>1681</v>
      </c>
      <c r="B4958" t="s">
        <v>61</v>
      </c>
      <c r="C4958" t="str">
        <f>HYPERLINK("http://service.sap.com/sap/support/notes/2051823","2051823")</f>
        <v>2051823</v>
      </c>
      <c r="D4958">
        <v>2</v>
      </c>
      <c r="E4958" t="s">
        <v>5240</v>
      </c>
      <c r="F4958" t="s">
        <v>17</v>
      </c>
    </row>
    <row r="4959" spans="1:6" x14ac:dyDescent="0.3">
      <c r="A4959" t="s">
        <v>1681</v>
      </c>
      <c r="B4959" t="s">
        <v>61</v>
      </c>
      <c r="C4959" t="str">
        <f>HYPERLINK("http://service.sap.com/sap/support/notes/2052186","2052186")</f>
        <v>2052186</v>
      </c>
      <c r="D4959">
        <v>1</v>
      </c>
      <c r="E4959" t="s">
        <v>5241</v>
      </c>
      <c r="F4959" t="s">
        <v>17</v>
      </c>
    </row>
    <row r="4960" spans="1:6" x14ac:dyDescent="0.3">
      <c r="A4960" t="s">
        <v>1681</v>
      </c>
      <c r="B4960" t="s">
        <v>61</v>
      </c>
      <c r="C4960" t="str">
        <f>HYPERLINK("http://service.sap.com/sap/support/notes/2052300","2052300")</f>
        <v>2052300</v>
      </c>
      <c r="D4960">
        <v>2</v>
      </c>
      <c r="E4960" t="s">
        <v>5242</v>
      </c>
      <c r="F4960" t="s">
        <v>17</v>
      </c>
    </row>
    <row r="4961" spans="1:6" x14ac:dyDescent="0.3">
      <c r="A4961" t="s">
        <v>1681</v>
      </c>
      <c r="B4961" t="s">
        <v>61</v>
      </c>
      <c r="C4961" t="str">
        <f>HYPERLINK("http://service.sap.com/sap/support/notes/2052787","2052787")</f>
        <v>2052787</v>
      </c>
      <c r="D4961">
        <v>2</v>
      </c>
      <c r="E4961" t="s">
        <v>5243</v>
      </c>
      <c r="F4961" t="s">
        <v>17</v>
      </c>
    </row>
    <row r="4962" spans="1:6" x14ac:dyDescent="0.3">
      <c r="A4962" t="s">
        <v>1681</v>
      </c>
      <c r="B4962" t="s">
        <v>61</v>
      </c>
      <c r="C4962" t="str">
        <f>HYPERLINK("http://service.sap.com/sap/support/notes/2052911","2052911")</f>
        <v>2052911</v>
      </c>
      <c r="D4962">
        <v>1</v>
      </c>
      <c r="E4962" t="s">
        <v>5244</v>
      </c>
      <c r="F4962" t="s">
        <v>17</v>
      </c>
    </row>
    <row r="4963" spans="1:6" x14ac:dyDescent="0.3">
      <c r="A4963" t="s">
        <v>1681</v>
      </c>
      <c r="B4963" t="s">
        <v>61</v>
      </c>
      <c r="C4963" t="str">
        <f>HYPERLINK("http://service.sap.com/sap/support/notes/2053069","2053069")</f>
        <v>2053069</v>
      </c>
      <c r="D4963">
        <v>2</v>
      </c>
      <c r="E4963" t="s">
        <v>5245</v>
      </c>
      <c r="F4963" t="s">
        <v>13</v>
      </c>
    </row>
    <row r="4964" spans="1:6" x14ac:dyDescent="0.3">
      <c r="A4964" t="s">
        <v>1681</v>
      </c>
      <c r="B4964" t="s">
        <v>61</v>
      </c>
      <c r="C4964" t="str">
        <f>HYPERLINK("http://service.sap.com/sap/support/notes/2053285","2053285")</f>
        <v>2053285</v>
      </c>
      <c r="D4964">
        <v>1</v>
      </c>
      <c r="E4964" t="s">
        <v>5246</v>
      </c>
      <c r="F4964" t="s">
        <v>17</v>
      </c>
    </row>
    <row r="4965" spans="1:6" x14ac:dyDescent="0.3">
      <c r="A4965" t="s">
        <v>1681</v>
      </c>
      <c r="B4965" t="s">
        <v>61</v>
      </c>
      <c r="C4965" t="str">
        <f>HYPERLINK("http://service.sap.com/sap/support/notes/2054631","2054631")</f>
        <v>2054631</v>
      </c>
      <c r="D4965">
        <v>1</v>
      </c>
      <c r="E4965" t="s">
        <v>5247</v>
      </c>
      <c r="F4965" t="s">
        <v>17</v>
      </c>
    </row>
    <row r="4966" spans="1:6" x14ac:dyDescent="0.3">
      <c r="A4966" t="s">
        <v>1681</v>
      </c>
      <c r="B4966" t="s">
        <v>61</v>
      </c>
      <c r="C4966" t="str">
        <f>HYPERLINK("http://service.sap.com/sap/support/notes/2054785","2054785")</f>
        <v>2054785</v>
      </c>
      <c r="D4966">
        <v>1</v>
      </c>
      <c r="E4966" t="s">
        <v>5248</v>
      </c>
      <c r="F4966" t="s">
        <v>17</v>
      </c>
    </row>
    <row r="4967" spans="1:6" x14ac:dyDescent="0.3">
      <c r="A4967" t="s">
        <v>1681</v>
      </c>
      <c r="B4967" t="s">
        <v>61</v>
      </c>
      <c r="C4967" t="str">
        <f>HYPERLINK("http://service.sap.com/sap/support/notes/2055043","2055043")</f>
        <v>2055043</v>
      </c>
      <c r="D4967">
        <v>3</v>
      </c>
      <c r="E4967" t="s">
        <v>5249</v>
      </c>
      <c r="F4967" t="s">
        <v>17</v>
      </c>
    </row>
    <row r="4968" spans="1:6" x14ac:dyDescent="0.3">
      <c r="A4968" t="s">
        <v>1681</v>
      </c>
      <c r="B4968" t="s">
        <v>61</v>
      </c>
      <c r="C4968" t="str">
        <f>HYPERLINK("http://service.sap.com/sap/support/notes/2055068","2055068")</f>
        <v>2055068</v>
      </c>
      <c r="D4968">
        <v>2</v>
      </c>
      <c r="E4968" t="s">
        <v>5250</v>
      </c>
      <c r="F4968" t="s">
        <v>17</v>
      </c>
    </row>
    <row r="4969" spans="1:6" x14ac:dyDescent="0.3">
      <c r="A4969" t="s">
        <v>1681</v>
      </c>
      <c r="B4969" t="s">
        <v>61</v>
      </c>
      <c r="C4969" t="str">
        <f>HYPERLINK("http://service.sap.com/sap/support/notes/2055240","2055240")</f>
        <v>2055240</v>
      </c>
      <c r="D4969">
        <v>1</v>
      </c>
      <c r="E4969" t="s">
        <v>5251</v>
      </c>
      <c r="F4969" t="s">
        <v>17</v>
      </c>
    </row>
    <row r="4970" spans="1:6" x14ac:dyDescent="0.3">
      <c r="A4970" t="s">
        <v>1681</v>
      </c>
      <c r="B4970" t="s">
        <v>61</v>
      </c>
      <c r="C4970" t="str">
        <f>HYPERLINK("http://service.sap.com/sap/support/notes/2056387","2056387")</f>
        <v>2056387</v>
      </c>
      <c r="D4970">
        <v>4</v>
      </c>
      <c r="E4970" t="s">
        <v>5252</v>
      </c>
      <c r="F4970" t="s">
        <v>17</v>
      </c>
    </row>
    <row r="4971" spans="1:6" x14ac:dyDescent="0.3">
      <c r="A4971" t="s">
        <v>1681</v>
      </c>
      <c r="B4971" t="s">
        <v>61</v>
      </c>
      <c r="C4971" t="str">
        <f>HYPERLINK("http://service.sap.com/sap/support/notes/2056552","2056552")</f>
        <v>2056552</v>
      </c>
      <c r="D4971">
        <v>2</v>
      </c>
      <c r="E4971" t="s">
        <v>5253</v>
      </c>
      <c r="F4971" t="s">
        <v>13</v>
      </c>
    </row>
    <row r="4972" spans="1:6" x14ac:dyDescent="0.3">
      <c r="A4972" t="s">
        <v>1681</v>
      </c>
      <c r="B4972" t="s">
        <v>61</v>
      </c>
      <c r="C4972" t="str">
        <f>HYPERLINK("http://service.sap.com/sap/support/notes/2056562","2056562")</f>
        <v>2056562</v>
      </c>
      <c r="D4972">
        <v>3</v>
      </c>
      <c r="E4972" t="s">
        <v>5254</v>
      </c>
      <c r="F4972" t="s">
        <v>17</v>
      </c>
    </row>
    <row r="4973" spans="1:6" x14ac:dyDescent="0.3">
      <c r="A4973" t="s">
        <v>1681</v>
      </c>
      <c r="B4973" t="s">
        <v>61</v>
      </c>
      <c r="C4973" t="str">
        <f>HYPERLINK("http://service.sap.com/sap/support/notes/2057056","2057056")</f>
        <v>2057056</v>
      </c>
      <c r="D4973">
        <v>1</v>
      </c>
      <c r="E4973" t="s">
        <v>5255</v>
      </c>
      <c r="F4973" t="s">
        <v>17</v>
      </c>
    </row>
    <row r="4974" spans="1:6" x14ac:dyDescent="0.3">
      <c r="A4974" t="s">
        <v>1681</v>
      </c>
      <c r="B4974" t="s">
        <v>61</v>
      </c>
      <c r="C4974" t="str">
        <f>HYPERLINK("http://service.sap.com/sap/support/notes/2057292","2057292")</f>
        <v>2057292</v>
      </c>
      <c r="D4974">
        <v>1</v>
      </c>
      <c r="E4974" t="s">
        <v>5256</v>
      </c>
      <c r="F4974" t="s">
        <v>17</v>
      </c>
    </row>
    <row r="4975" spans="1:6" x14ac:dyDescent="0.3">
      <c r="A4975" t="s">
        <v>1681</v>
      </c>
      <c r="B4975" t="s">
        <v>61</v>
      </c>
      <c r="C4975" t="str">
        <f>HYPERLINK("http://service.sap.com/sap/support/notes/2057383","2057383")</f>
        <v>2057383</v>
      </c>
      <c r="D4975">
        <v>2</v>
      </c>
      <c r="E4975" t="s">
        <v>5257</v>
      </c>
      <c r="F4975" t="s">
        <v>17</v>
      </c>
    </row>
    <row r="4976" spans="1:6" x14ac:dyDescent="0.3">
      <c r="A4976" t="s">
        <v>1681</v>
      </c>
      <c r="B4976" t="s">
        <v>61</v>
      </c>
      <c r="C4976" t="str">
        <f>HYPERLINK("http://service.sap.com/sap/support/notes/2058066","2058066")</f>
        <v>2058066</v>
      </c>
      <c r="D4976">
        <v>2</v>
      </c>
      <c r="E4976" t="s">
        <v>5258</v>
      </c>
      <c r="F4976" t="s">
        <v>17</v>
      </c>
    </row>
    <row r="4977" spans="1:6" x14ac:dyDescent="0.3">
      <c r="A4977" t="s">
        <v>1681</v>
      </c>
      <c r="B4977" t="s">
        <v>61</v>
      </c>
      <c r="C4977" t="str">
        <f>HYPERLINK("http://service.sap.com/sap/support/notes/2058217","2058217")</f>
        <v>2058217</v>
      </c>
      <c r="D4977">
        <v>1</v>
      </c>
      <c r="E4977" t="s">
        <v>5259</v>
      </c>
      <c r="F4977" t="s">
        <v>17</v>
      </c>
    </row>
    <row r="4978" spans="1:6" x14ac:dyDescent="0.3">
      <c r="A4978" t="s">
        <v>1681</v>
      </c>
      <c r="B4978" t="s">
        <v>61</v>
      </c>
      <c r="C4978" t="str">
        <f>HYPERLINK("http://service.sap.com/sap/support/notes/2058372","2058372")</f>
        <v>2058372</v>
      </c>
      <c r="D4978">
        <v>1</v>
      </c>
      <c r="E4978" t="s">
        <v>5260</v>
      </c>
      <c r="F4978" t="s">
        <v>17</v>
      </c>
    </row>
    <row r="4979" spans="1:6" x14ac:dyDescent="0.3">
      <c r="A4979" t="s">
        <v>1681</v>
      </c>
      <c r="B4979" t="s">
        <v>61</v>
      </c>
      <c r="C4979" t="str">
        <f>HYPERLINK("http://service.sap.com/sap/support/notes/2058621","2058621")</f>
        <v>2058621</v>
      </c>
      <c r="D4979">
        <v>2</v>
      </c>
      <c r="E4979" t="s">
        <v>5261</v>
      </c>
      <c r="F4979" t="s">
        <v>17</v>
      </c>
    </row>
    <row r="4980" spans="1:6" x14ac:dyDescent="0.3">
      <c r="A4980" t="s">
        <v>1681</v>
      </c>
      <c r="B4980" t="s">
        <v>61</v>
      </c>
      <c r="C4980" t="str">
        <f>HYPERLINK("http://service.sap.com/sap/support/notes/2059100","2059100")</f>
        <v>2059100</v>
      </c>
      <c r="D4980">
        <v>1</v>
      </c>
      <c r="E4980" t="s">
        <v>5262</v>
      </c>
      <c r="F4980" t="s">
        <v>17</v>
      </c>
    </row>
    <row r="4981" spans="1:6" x14ac:dyDescent="0.3">
      <c r="A4981" t="s">
        <v>1681</v>
      </c>
      <c r="B4981" t="s">
        <v>61</v>
      </c>
      <c r="C4981" t="str">
        <f>HYPERLINK("http://service.sap.com/sap/support/notes/2059171","2059171")</f>
        <v>2059171</v>
      </c>
      <c r="D4981">
        <v>3</v>
      </c>
      <c r="E4981" t="s">
        <v>5204</v>
      </c>
      <c r="F4981" t="s">
        <v>17</v>
      </c>
    </row>
    <row r="4982" spans="1:6" x14ac:dyDescent="0.3">
      <c r="A4982" t="s">
        <v>1681</v>
      </c>
      <c r="B4982" t="s">
        <v>61</v>
      </c>
      <c r="C4982" t="str">
        <f>HYPERLINK("http://service.sap.com/sap/support/notes/2059176","2059176")</f>
        <v>2059176</v>
      </c>
      <c r="D4982">
        <v>3</v>
      </c>
      <c r="E4982" t="s">
        <v>5263</v>
      </c>
      <c r="F4982" t="s">
        <v>17</v>
      </c>
    </row>
    <row r="4983" spans="1:6" x14ac:dyDescent="0.3">
      <c r="A4983" t="s">
        <v>1681</v>
      </c>
      <c r="B4983" t="s">
        <v>61</v>
      </c>
      <c r="C4983" t="str">
        <f>HYPERLINK("http://service.sap.com/sap/support/notes/2059824","2059824")</f>
        <v>2059824</v>
      </c>
      <c r="D4983">
        <v>2</v>
      </c>
      <c r="E4983" t="s">
        <v>5264</v>
      </c>
      <c r="F4983" t="s">
        <v>17</v>
      </c>
    </row>
    <row r="4984" spans="1:6" x14ac:dyDescent="0.3">
      <c r="A4984" t="s">
        <v>1681</v>
      </c>
      <c r="B4984" t="s">
        <v>61</v>
      </c>
      <c r="C4984" t="str">
        <f>HYPERLINK("http://service.sap.com/sap/support/notes/2059832","2059832")</f>
        <v>2059832</v>
      </c>
      <c r="D4984">
        <v>2</v>
      </c>
      <c r="E4984" t="s">
        <v>5265</v>
      </c>
      <c r="F4984" t="s">
        <v>17</v>
      </c>
    </row>
    <row r="4985" spans="1:6" x14ac:dyDescent="0.3">
      <c r="A4985" t="s">
        <v>1681</v>
      </c>
      <c r="B4985" t="s">
        <v>61</v>
      </c>
      <c r="C4985" t="str">
        <f>HYPERLINK("http://service.sap.com/sap/support/notes/2059931","2059931")</f>
        <v>2059931</v>
      </c>
      <c r="D4985">
        <v>1</v>
      </c>
      <c r="E4985" t="s">
        <v>5266</v>
      </c>
      <c r="F4985" t="s">
        <v>17</v>
      </c>
    </row>
    <row r="4986" spans="1:6" x14ac:dyDescent="0.3">
      <c r="A4986" t="s">
        <v>1681</v>
      </c>
      <c r="B4986" t="s">
        <v>61</v>
      </c>
      <c r="C4986" t="str">
        <f>HYPERLINK("http://service.sap.com/sap/support/notes/2059935","2059935")</f>
        <v>2059935</v>
      </c>
      <c r="D4986">
        <v>2</v>
      </c>
      <c r="E4986" t="s">
        <v>5204</v>
      </c>
      <c r="F4986" t="s">
        <v>17</v>
      </c>
    </row>
    <row r="4987" spans="1:6" x14ac:dyDescent="0.3">
      <c r="A4987" t="s">
        <v>1681</v>
      </c>
      <c r="B4987" t="s">
        <v>61</v>
      </c>
      <c r="C4987" t="str">
        <f>HYPERLINK("http://service.sap.com/sap/support/notes/2061128","2061128")</f>
        <v>2061128</v>
      </c>
      <c r="D4987">
        <v>3</v>
      </c>
      <c r="E4987" t="s">
        <v>5267</v>
      </c>
      <c r="F4987" t="s">
        <v>17</v>
      </c>
    </row>
    <row r="4988" spans="1:6" x14ac:dyDescent="0.3">
      <c r="A4988" t="s">
        <v>1681</v>
      </c>
      <c r="B4988" t="s">
        <v>61</v>
      </c>
      <c r="C4988" t="str">
        <f>HYPERLINK("http://service.sap.com/sap/support/notes/2061634","2061634")</f>
        <v>2061634</v>
      </c>
      <c r="D4988">
        <v>3</v>
      </c>
      <c r="E4988" t="s">
        <v>5268</v>
      </c>
      <c r="F4988" t="s">
        <v>17</v>
      </c>
    </row>
    <row r="4989" spans="1:6" x14ac:dyDescent="0.3">
      <c r="A4989" t="s">
        <v>1681</v>
      </c>
      <c r="B4989" t="s">
        <v>61</v>
      </c>
      <c r="C4989" t="str">
        <f>HYPERLINK("http://service.sap.com/sap/support/notes/2061722","2061722")</f>
        <v>2061722</v>
      </c>
      <c r="D4989">
        <v>2</v>
      </c>
      <c r="E4989" t="s">
        <v>5269</v>
      </c>
      <c r="F4989" t="s">
        <v>17</v>
      </c>
    </row>
    <row r="4990" spans="1:6" x14ac:dyDescent="0.3">
      <c r="A4990" t="s">
        <v>1791</v>
      </c>
      <c r="B4990" t="s">
        <v>1553</v>
      </c>
      <c r="C4990" t="str">
        <f>HYPERLINK("http://service.sap.com/sap/support/notes/2018450","2018450")</f>
        <v>2018450</v>
      </c>
      <c r="D4990">
        <v>3</v>
      </c>
      <c r="E4990" t="s">
        <v>5270</v>
      </c>
      <c r="F4990" t="s">
        <v>17</v>
      </c>
    </row>
    <row r="4991" spans="1:6" x14ac:dyDescent="0.3">
      <c r="A4991" t="s">
        <v>1791</v>
      </c>
      <c r="B4991" t="s">
        <v>1553</v>
      </c>
      <c r="C4991" t="str">
        <f>HYPERLINK("http://service.sap.com/sap/support/notes/2061486","2061486")</f>
        <v>2061486</v>
      </c>
      <c r="D4991">
        <v>1</v>
      </c>
      <c r="E4991" t="s">
        <v>5271</v>
      </c>
      <c r="F4991" t="s">
        <v>17</v>
      </c>
    </row>
    <row r="4992" spans="1:6" x14ac:dyDescent="0.3">
      <c r="A4992" t="s">
        <v>2600</v>
      </c>
      <c r="B4992" t="s">
        <v>2601</v>
      </c>
    </row>
    <row r="4993" spans="1:6" x14ac:dyDescent="0.3">
      <c r="A4993" t="s">
        <v>2602</v>
      </c>
      <c r="B4993" t="s">
        <v>2603</v>
      </c>
      <c r="C4993" t="str">
        <f>HYPERLINK("http://service.sap.com/sap/support/notes/1992068","1992068")</f>
        <v>1992068</v>
      </c>
      <c r="D4993">
        <v>2</v>
      </c>
      <c r="E4993" t="s">
        <v>3603</v>
      </c>
      <c r="F4993" t="s">
        <v>17</v>
      </c>
    </row>
    <row r="4994" spans="1:6" x14ac:dyDescent="0.3">
      <c r="A4994" t="s">
        <v>2602</v>
      </c>
      <c r="B4994" t="s">
        <v>2603</v>
      </c>
      <c r="C4994" t="str">
        <f>HYPERLINK("http://service.sap.com/sap/support/notes/2036028","2036028")</f>
        <v>2036028</v>
      </c>
      <c r="D4994">
        <v>1</v>
      </c>
      <c r="E4994" t="s">
        <v>5272</v>
      </c>
      <c r="F4994" t="s">
        <v>17</v>
      </c>
    </row>
    <row r="4995" spans="1:6" x14ac:dyDescent="0.3">
      <c r="A4995" t="s">
        <v>1794</v>
      </c>
      <c r="B4995" t="s">
        <v>1795</v>
      </c>
    </row>
    <row r="4996" spans="1:6" x14ac:dyDescent="0.3">
      <c r="A4996" t="s">
        <v>1796</v>
      </c>
      <c r="B4996" t="s">
        <v>61</v>
      </c>
      <c r="C4996" t="str">
        <f>HYPERLINK("http://service.sap.com/sap/support/notes/2013865","2013865")</f>
        <v>2013865</v>
      </c>
      <c r="D4996">
        <v>2</v>
      </c>
      <c r="E4996" t="s">
        <v>5273</v>
      </c>
      <c r="F4996" t="s">
        <v>11</v>
      </c>
    </row>
    <row r="4997" spans="1:6" x14ac:dyDescent="0.3">
      <c r="A4997" t="s">
        <v>1796</v>
      </c>
      <c r="B4997" t="s">
        <v>61</v>
      </c>
      <c r="C4997" t="str">
        <f>HYPERLINK("http://service.sap.com/sap/support/notes/2015760","2015760")</f>
        <v>2015760</v>
      </c>
      <c r="D4997">
        <v>2</v>
      </c>
      <c r="E4997" t="s">
        <v>5274</v>
      </c>
      <c r="F4997" t="s">
        <v>17</v>
      </c>
    </row>
    <row r="4998" spans="1:6" x14ac:dyDescent="0.3">
      <c r="A4998" t="s">
        <v>1796</v>
      </c>
      <c r="B4998" t="s">
        <v>61</v>
      </c>
      <c r="C4998" t="str">
        <f>HYPERLINK("http://service.sap.com/sap/support/notes/2017899","2017899")</f>
        <v>2017899</v>
      </c>
      <c r="D4998">
        <v>6</v>
      </c>
      <c r="E4998" t="s">
        <v>5275</v>
      </c>
      <c r="F4998" t="s">
        <v>11</v>
      </c>
    </row>
    <row r="4999" spans="1:6" x14ac:dyDescent="0.3">
      <c r="A4999" t="s">
        <v>1796</v>
      </c>
      <c r="B4999" t="s">
        <v>61</v>
      </c>
      <c r="C4999" t="str">
        <f>HYPERLINK("http://service.sap.com/sap/support/notes/2030903","2030903")</f>
        <v>2030903</v>
      </c>
      <c r="D4999">
        <v>7</v>
      </c>
      <c r="E4999" t="s">
        <v>5276</v>
      </c>
      <c r="F4999" t="s">
        <v>11</v>
      </c>
    </row>
    <row r="5000" spans="1:6" x14ac:dyDescent="0.3">
      <c r="A5000" t="s">
        <v>1796</v>
      </c>
      <c r="B5000" t="s">
        <v>61</v>
      </c>
      <c r="C5000" t="str">
        <f>HYPERLINK("http://service.sap.com/sap/support/notes/2033807","2033807")</f>
        <v>2033807</v>
      </c>
      <c r="D5000">
        <v>1</v>
      </c>
      <c r="E5000" t="s">
        <v>5277</v>
      </c>
      <c r="F5000" t="s">
        <v>11</v>
      </c>
    </row>
    <row r="5001" spans="1:6" x14ac:dyDescent="0.3">
      <c r="A5001" t="s">
        <v>1796</v>
      </c>
      <c r="B5001" t="s">
        <v>61</v>
      </c>
      <c r="C5001" t="str">
        <f>HYPERLINK("http://service.sap.com/sap/support/notes/2062460","2062460")</f>
        <v>2062460</v>
      </c>
      <c r="D5001">
        <v>1</v>
      </c>
      <c r="E5001" t="s">
        <v>5278</v>
      </c>
      <c r="F5001" t="s">
        <v>13</v>
      </c>
    </row>
    <row r="5002" spans="1:6" x14ac:dyDescent="0.3">
      <c r="A5002" t="s">
        <v>1798</v>
      </c>
      <c r="B5002" t="s">
        <v>1799</v>
      </c>
    </row>
    <row r="5003" spans="1:6" x14ac:dyDescent="0.3">
      <c r="A5003" t="s">
        <v>1800</v>
      </c>
      <c r="B5003" t="s">
        <v>1801</v>
      </c>
      <c r="C5003" t="str">
        <f>HYPERLINK("http://service.sap.com/sap/support/notes/2014834","2014834")</f>
        <v>2014834</v>
      </c>
      <c r="D5003">
        <v>7</v>
      </c>
      <c r="E5003" t="s">
        <v>5279</v>
      </c>
      <c r="F5003" t="s">
        <v>17</v>
      </c>
    </row>
    <row r="5004" spans="1:6" x14ac:dyDescent="0.3">
      <c r="A5004" t="s">
        <v>1800</v>
      </c>
      <c r="B5004" t="s">
        <v>1801</v>
      </c>
      <c r="C5004" t="str">
        <f>HYPERLINK("http://service.sap.com/sap/support/notes/2038523","2038523")</f>
        <v>2038523</v>
      </c>
      <c r="D5004">
        <v>1</v>
      </c>
      <c r="E5004" t="s">
        <v>5280</v>
      </c>
      <c r="F5004" t="s">
        <v>17</v>
      </c>
    </row>
    <row r="5005" spans="1:6" x14ac:dyDescent="0.3">
      <c r="A5005" t="s">
        <v>1800</v>
      </c>
      <c r="B5005" t="s">
        <v>1801</v>
      </c>
      <c r="C5005" t="str">
        <f>HYPERLINK("http://service.sap.com/sap/support/notes/2052602","2052602")</f>
        <v>2052602</v>
      </c>
      <c r="D5005">
        <v>1</v>
      </c>
      <c r="E5005" t="s">
        <v>5281</v>
      </c>
      <c r="F5005" t="s">
        <v>17</v>
      </c>
    </row>
    <row r="5006" spans="1:6" x14ac:dyDescent="0.3">
      <c r="A5006" t="s">
        <v>1805</v>
      </c>
      <c r="B5006" t="s">
        <v>1806</v>
      </c>
    </row>
    <row r="5007" spans="1:6" x14ac:dyDescent="0.3">
      <c r="A5007" t="s">
        <v>1807</v>
      </c>
      <c r="B5007" t="s">
        <v>61</v>
      </c>
      <c r="C5007" t="str">
        <f>HYPERLINK("http://service.sap.com/sap/support/notes/2034699","2034699")</f>
        <v>2034699</v>
      </c>
      <c r="D5007">
        <v>2</v>
      </c>
      <c r="E5007" t="s">
        <v>5282</v>
      </c>
      <c r="F5007" t="s">
        <v>17</v>
      </c>
    </row>
    <row r="5008" spans="1:6" x14ac:dyDescent="0.3">
      <c r="A5008" t="s">
        <v>4360</v>
      </c>
      <c r="B5008" t="s">
        <v>4361</v>
      </c>
      <c r="C5008" t="str">
        <f>HYPERLINK("http://service.sap.com/sap/support/notes/1926738","1926738")</f>
        <v>1926738</v>
      </c>
      <c r="D5008">
        <v>2</v>
      </c>
      <c r="E5008" t="s">
        <v>5283</v>
      </c>
      <c r="F5008" t="s">
        <v>17</v>
      </c>
    </row>
    <row r="5009" spans="1:6" x14ac:dyDescent="0.3">
      <c r="A5009" t="s">
        <v>1810</v>
      </c>
      <c r="B5009" t="s">
        <v>1811</v>
      </c>
    </row>
    <row r="5010" spans="1:6" x14ac:dyDescent="0.3">
      <c r="A5010" t="s">
        <v>1812</v>
      </c>
      <c r="B5010" t="s">
        <v>61</v>
      </c>
      <c r="C5010" t="str">
        <f>HYPERLINK("http://service.sap.com/sap/support/notes/2048402","2048402")</f>
        <v>2048402</v>
      </c>
      <c r="D5010">
        <v>2</v>
      </c>
      <c r="E5010" t="s">
        <v>5284</v>
      </c>
      <c r="F5010" t="s">
        <v>17</v>
      </c>
    </row>
    <row r="5011" spans="1:6" x14ac:dyDescent="0.3">
      <c r="A5011" t="s">
        <v>1814</v>
      </c>
      <c r="B5011" t="s">
        <v>1815</v>
      </c>
    </row>
    <row r="5012" spans="1:6" x14ac:dyDescent="0.3">
      <c r="A5012" t="s">
        <v>1816</v>
      </c>
      <c r="B5012" t="s">
        <v>1817</v>
      </c>
      <c r="C5012" t="str">
        <f>HYPERLINK("http://service.sap.com/sap/support/notes/2024010","2024010")</f>
        <v>2024010</v>
      </c>
      <c r="D5012">
        <v>1</v>
      </c>
      <c r="E5012" t="s">
        <v>5285</v>
      </c>
      <c r="F5012" t="s">
        <v>17</v>
      </c>
    </row>
    <row r="5013" spans="1:6" x14ac:dyDescent="0.3">
      <c r="A5013" t="s">
        <v>1816</v>
      </c>
      <c r="B5013" t="s">
        <v>1817</v>
      </c>
      <c r="C5013" t="str">
        <f>HYPERLINK("http://service.sap.com/sap/support/notes/2025548","2025548")</f>
        <v>2025548</v>
      </c>
      <c r="D5013">
        <v>7</v>
      </c>
      <c r="E5013" t="s">
        <v>5286</v>
      </c>
      <c r="F5013" t="s">
        <v>17</v>
      </c>
    </row>
    <row r="5014" spans="1:6" x14ac:dyDescent="0.3">
      <c r="A5014" t="s">
        <v>1816</v>
      </c>
      <c r="B5014" t="s">
        <v>1817</v>
      </c>
      <c r="C5014" t="str">
        <f>HYPERLINK("http://service.sap.com/sap/support/notes/2037622","2037622")</f>
        <v>2037622</v>
      </c>
      <c r="D5014">
        <v>2</v>
      </c>
      <c r="E5014" t="s">
        <v>5287</v>
      </c>
      <c r="F5014" t="s">
        <v>11</v>
      </c>
    </row>
    <row r="5015" spans="1:6" x14ac:dyDescent="0.3">
      <c r="A5015" t="s">
        <v>1819</v>
      </c>
      <c r="B5015" t="s">
        <v>1820</v>
      </c>
    </row>
    <row r="5016" spans="1:6" x14ac:dyDescent="0.3">
      <c r="A5016" t="s">
        <v>1821</v>
      </c>
      <c r="B5016" t="s">
        <v>1822</v>
      </c>
    </row>
    <row r="5017" spans="1:6" x14ac:dyDescent="0.3">
      <c r="A5017" t="s">
        <v>5288</v>
      </c>
      <c r="B5017" t="s">
        <v>5289</v>
      </c>
      <c r="C5017" t="str">
        <f>HYPERLINK("http://service.sap.com/sap/support/notes/2008742","2008742")</f>
        <v>2008742</v>
      </c>
      <c r="D5017">
        <v>1</v>
      </c>
      <c r="E5017" t="s">
        <v>5290</v>
      </c>
      <c r="F5017" t="s">
        <v>17</v>
      </c>
    </row>
    <row r="5018" spans="1:6" x14ac:dyDescent="0.3">
      <c r="A5018" t="s">
        <v>5291</v>
      </c>
      <c r="B5018" t="s">
        <v>5292</v>
      </c>
      <c r="C5018" t="str">
        <f>HYPERLINK("http://service.sap.com/sap/support/notes/1273008","1273008")</f>
        <v>1273008</v>
      </c>
      <c r="D5018">
        <v>2</v>
      </c>
      <c r="E5018" t="s">
        <v>5293</v>
      </c>
      <c r="F5018" t="s">
        <v>17</v>
      </c>
    </row>
    <row r="5019" spans="1:6" x14ac:dyDescent="0.3">
      <c r="A5019" t="s">
        <v>1832</v>
      </c>
      <c r="B5019" t="s">
        <v>1833</v>
      </c>
    </row>
    <row r="5020" spans="1:6" x14ac:dyDescent="0.3">
      <c r="A5020" t="s">
        <v>4372</v>
      </c>
      <c r="B5020" t="s">
        <v>4373</v>
      </c>
      <c r="C5020" t="str">
        <f>HYPERLINK("http://service.sap.com/sap/support/notes/2016578","2016578")</f>
        <v>2016578</v>
      </c>
      <c r="D5020">
        <v>11</v>
      </c>
      <c r="E5020" t="s">
        <v>4374</v>
      </c>
      <c r="F5020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SAPK-61702INSAPFIN_notes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Desiree Roberts</dc:creator>
  <cp:lastModifiedBy>Desiree Roberts</cp:lastModifiedBy>
  <dcterms:created xsi:type="dcterms:W3CDTF">2014-11-04T14:42:16Z</dcterms:created>
  <dcterms:modified xsi:type="dcterms:W3CDTF">2014-11-04T14:42:16Z</dcterms:modified>
</cp:coreProperties>
</file>