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T:\03 Projects\Support Packs\Support Pack testing - 2014\Notes\"/>
    </mc:Choice>
  </mc:AlternateContent>
  <bookViews>
    <workbookView xWindow="0" yWindow="0" windowWidth="20160" windowHeight="9036"/>
  </bookViews>
  <sheets>
    <sheet name="SAPKE60467_notes" sheetId="1" r:id="rId1"/>
  </sheets>
  <definedNames>
    <definedName name="_xlnm._FilterDatabase" localSheetId="0" hidden="1">SAPKE60467_notes!$A$1:$F$5448</definedName>
  </definedNames>
  <calcPr calcId="0"/>
</workbook>
</file>

<file path=xl/calcChain.xml><?xml version="1.0" encoding="utf-8"?>
<calcChain xmlns="http://schemas.openxmlformats.org/spreadsheetml/2006/main">
  <c r="C5419" i="1" l="1"/>
  <c r="C5418" i="1"/>
  <c r="C5417" i="1"/>
  <c r="C5416" i="1"/>
  <c r="C5415" i="1"/>
  <c r="C5414" i="1"/>
  <c r="C5339" i="1"/>
  <c r="C5122" i="1"/>
  <c r="C5121" i="1"/>
  <c r="C5120" i="1"/>
  <c r="C5119" i="1"/>
  <c r="C5118" i="1"/>
  <c r="C5117" i="1"/>
  <c r="C5005" i="1"/>
  <c r="C5004" i="1"/>
  <c r="C5003" i="1"/>
  <c r="C5002" i="1"/>
  <c r="C4987" i="1"/>
  <c r="C4947" i="1"/>
  <c r="C4946" i="1"/>
  <c r="C4900" i="1"/>
  <c r="C4899" i="1"/>
  <c r="C4898" i="1"/>
  <c r="C4897" i="1"/>
  <c r="C4896" i="1"/>
  <c r="C4824" i="1"/>
  <c r="C4805" i="1"/>
  <c r="C4804" i="1"/>
  <c r="C4803" i="1"/>
  <c r="C4802" i="1"/>
  <c r="C4801" i="1"/>
  <c r="C4800" i="1"/>
  <c r="C4799" i="1"/>
  <c r="C4798" i="1"/>
  <c r="C4797" i="1"/>
  <c r="C4796" i="1"/>
  <c r="C4795" i="1"/>
  <c r="C4794" i="1"/>
  <c r="C4793" i="1"/>
  <c r="C4792" i="1"/>
  <c r="C4643" i="1"/>
  <c r="C4642" i="1"/>
  <c r="C4585" i="1"/>
  <c r="C4584" i="1"/>
  <c r="C4583" i="1"/>
  <c r="C4582" i="1"/>
  <c r="C4581" i="1"/>
  <c r="C4580" i="1"/>
  <c r="C4579" i="1"/>
  <c r="C4578" i="1"/>
  <c r="C4577" i="1"/>
  <c r="C4576" i="1"/>
  <c r="C4575" i="1"/>
  <c r="C4574" i="1"/>
  <c r="C4573" i="1"/>
  <c r="C4572" i="1"/>
  <c r="C4474" i="1"/>
  <c r="C4473" i="1"/>
  <c r="C4459" i="1"/>
  <c r="C4458" i="1"/>
  <c r="C4457" i="1"/>
  <c r="C4425" i="1"/>
  <c r="C4424" i="1"/>
  <c r="C4423" i="1"/>
  <c r="C4339" i="1"/>
  <c r="C4338" i="1"/>
  <c r="C4337" i="1"/>
  <c r="C4336" i="1"/>
  <c r="C4307" i="1"/>
  <c r="C4253" i="1"/>
  <c r="C4252" i="1"/>
  <c r="C4251" i="1"/>
  <c r="C4159" i="1"/>
  <c r="C4158" i="1"/>
  <c r="C4157" i="1"/>
  <c r="C4156" i="1"/>
  <c r="C4155" i="1"/>
  <c r="C4154" i="1"/>
  <c r="C4153" i="1"/>
  <c r="C4152" i="1"/>
  <c r="C4151" i="1"/>
  <c r="C4050" i="1"/>
  <c r="C4049" i="1"/>
  <c r="C3961" i="1"/>
  <c r="C3960" i="1"/>
  <c r="C3959" i="1"/>
  <c r="C3880" i="1"/>
  <c r="C3832" i="1"/>
  <c r="C3831" i="1"/>
  <c r="C3799" i="1"/>
  <c r="C3798" i="1"/>
  <c r="C3797" i="1"/>
  <c r="C3796" i="1"/>
  <c r="C3795" i="1"/>
  <c r="C3710" i="1"/>
  <c r="C3707" i="1"/>
  <c r="C3706" i="1"/>
  <c r="C3705" i="1"/>
  <c r="C3687" i="1"/>
  <c r="C3686" i="1"/>
  <c r="C3655" i="1"/>
  <c r="C3654" i="1"/>
  <c r="C3653" i="1"/>
  <c r="C3652" i="1"/>
  <c r="C3651" i="1"/>
  <c r="C3650" i="1"/>
  <c r="C3649" i="1"/>
  <c r="C3566" i="1"/>
  <c r="C3565" i="1"/>
  <c r="C3564" i="1"/>
  <c r="C3563" i="1"/>
  <c r="C3562" i="1"/>
  <c r="C3561" i="1"/>
  <c r="C3560" i="1"/>
  <c r="C3559" i="1"/>
  <c r="C3558" i="1"/>
  <c r="C3557" i="1"/>
  <c r="C3484" i="1"/>
  <c r="C3483" i="1"/>
  <c r="C3462" i="1"/>
  <c r="C3461" i="1"/>
  <c r="C3460" i="1"/>
  <c r="C3393" i="1"/>
  <c r="C3392" i="1"/>
  <c r="C3391" i="1"/>
  <c r="C3326" i="1"/>
  <c r="C3325" i="1"/>
  <c r="C3278" i="1"/>
  <c r="C3277" i="1"/>
  <c r="C3276" i="1"/>
  <c r="C3275" i="1"/>
  <c r="C3274" i="1"/>
  <c r="C3273" i="1"/>
  <c r="C3272" i="1"/>
  <c r="C3271" i="1"/>
  <c r="C3270" i="1"/>
  <c r="C3043" i="1"/>
  <c r="C3042" i="1"/>
  <c r="C3041" i="1"/>
  <c r="C3040" i="1"/>
  <c r="C3039" i="1"/>
  <c r="C3038" i="1"/>
  <c r="C3037" i="1"/>
  <c r="C3036" i="1"/>
  <c r="C3035" i="1"/>
  <c r="C3034" i="1"/>
  <c r="C3033" i="1"/>
  <c r="C3032" i="1"/>
  <c r="C2798" i="1"/>
  <c r="C2797" i="1"/>
  <c r="C2796" i="1"/>
  <c r="C2755" i="1"/>
  <c r="C2754" i="1"/>
  <c r="C2753" i="1"/>
  <c r="C2752" i="1"/>
  <c r="C2751" i="1"/>
  <c r="C2750" i="1"/>
  <c r="C2749" i="1"/>
  <c r="C2748" i="1"/>
  <c r="C2747" i="1"/>
  <c r="C2746" i="1"/>
  <c r="C2745" i="1"/>
  <c r="C2744" i="1"/>
  <c r="C2743" i="1"/>
  <c r="C2742" i="1"/>
  <c r="C2741" i="1"/>
  <c r="C2740" i="1"/>
  <c r="C2739" i="1"/>
  <c r="C2738" i="1"/>
  <c r="C2488" i="1"/>
  <c r="C2469" i="1"/>
  <c r="C2468" i="1"/>
  <c r="C2467" i="1"/>
  <c r="C2466" i="1"/>
  <c r="C2436" i="1"/>
  <c r="C2435" i="1"/>
  <c r="C2434" i="1"/>
  <c r="C2433" i="1"/>
  <c r="C2432" i="1"/>
  <c r="C2431" i="1"/>
  <c r="C2430" i="1"/>
  <c r="C2340" i="1"/>
  <c r="C2339" i="1"/>
  <c r="C2338" i="1"/>
  <c r="C2337" i="1"/>
  <c r="C2336" i="1"/>
  <c r="C2335" i="1"/>
  <c r="C2238" i="1"/>
  <c r="C2237" i="1"/>
  <c r="C2236" i="1"/>
  <c r="C2235" i="1"/>
  <c r="C2234" i="1"/>
  <c r="C2233" i="1"/>
  <c r="C2195" i="1"/>
  <c r="C2194" i="1"/>
  <c r="C2193" i="1"/>
  <c r="C2150" i="1"/>
  <c r="C2114" i="1"/>
  <c r="C2103" i="1"/>
  <c r="C2102" i="1"/>
  <c r="C2101" i="1"/>
  <c r="C2100" i="1"/>
  <c r="C2071" i="1"/>
  <c r="C2070" i="1"/>
  <c r="C2021" i="1"/>
  <c r="C2020" i="1"/>
  <c r="C1997" i="1"/>
  <c r="C1996" i="1"/>
  <c r="C1962" i="1"/>
  <c r="C1961" i="1"/>
  <c r="C1960" i="1"/>
  <c r="C1927" i="1"/>
  <c r="C1926" i="1"/>
  <c r="C1869" i="1"/>
  <c r="C1868" i="1"/>
  <c r="C1823" i="1"/>
  <c r="C1822" i="1"/>
  <c r="C1821" i="1"/>
  <c r="C1820" i="1"/>
  <c r="C1819" i="1"/>
  <c r="C1818" i="1"/>
  <c r="C1817" i="1"/>
  <c r="C1816" i="1"/>
  <c r="C1815" i="1"/>
  <c r="C1814" i="1"/>
  <c r="C1813" i="1"/>
  <c r="C1812" i="1"/>
  <c r="C1691" i="1"/>
  <c r="C1684" i="1"/>
  <c r="C1683" i="1"/>
  <c r="C1682" i="1"/>
  <c r="C1681" i="1"/>
  <c r="C1680" i="1"/>
  <c r="C1661" i="1"/>
  <c r="C1660" i="1"/>
  <c r="C1659" i="1"/>
  <c r="C1658" i="1"/>
  <c r="C1657" i="1"/>
  <c r="C1656" i="1"/>
  <c r="C1640" i="1"/>
  <c r="C1639" i="1"/>
  <c r="C1638" i="1"/>
  <c r="C1637" i="1"/>
  <c r="C1636" i="1"/>
  <c r="C1635" i="1"/>
  <c r="C1634" i="1"/>
  <c r="C1633" i="1"/>
  <c r="C1632" i="1"/>
  <c r="C1631" i="1"/>
  <c r="C1630" i="1"/>
  <c r="C1629" i="1"/>
  <c r="C1628" i="1"/>
  <c r="C1627" i="1"/>
  <c r="C1626" i="1"/>
  <c r="C1625" i="1"/>
  <c r="C1624" i="1"/>
  <c r="C1623" i="1"/>
  <c r="C1497" i="1"/>
  <c r="C1496" i="1"/>
  <c r="C1492" i="1"/>
  <c r="C1491" i="1"/>
  <c r="C1490" i="1"/>
  <c r="C1489" i="1"/>
  <c r="C1488" i="1"/>
  <c r="C1487" i="1"/>
  <c r="C1486" i="1"/>
  <c r="C1485" i="1"/>
  <c r="C1308" i="1"/>
  <c r="C1288" i="1"/>
  <c r="C1287" i="1"/>
  <c r="C1286" i="1"/>
  <c r="C1266" i="1"/>
  <c r="C1260" i="1"/>
  <c r="C1259" i="1"/>
  <c r="C1258" i="1"/>
  <c r="C1257" i="1"/>
  <c r="C1256" i="1"/>
  <c r="C1255" i="1"/>
  <c r="C1125" i="1"/>
  <c r="C1124" i="1"/>
  <c r="C1123" i="1"/>
  <c r="C1122" i="1"/>
  <c r="C1121" i="1"/>
  <c r="C1120" i="1"/>
  <c r="C1119" i="1"/>
  <c r="C1118" i="1"/>
  <c r="C1117" i="1"/>
  <c r="C1116" i="1"/>
  <c r="C1115" i="1"/>
  <c r="C1114" i="1"/>
  <c r="C1113" i="1"/>
  <c r="C941" i="1"/>
  <c r="C940" i="1"/>
  <c r="C939" i="1"/>
  <c r="C938" i="1"/>
  <c r="C888" i="1"/>
  <c r="C771" i="1"/>
  <c r="C766" i="1"/>
  <c r="C760" i="1"/>
  <c r="C741" i="1"/>
  <c r="C709" i="1"/>
  <c r="C570" i="1"/>
  <c r="C557" i="1"/>
  <c r="C534" i="1"/>
  <c r="C526" i="1"/>
  <c r="C525" i="1"/>
  <c r="C524" i="1"/>
  <c r="C523" i="1"/>
  <c r="C487" i="1"/>
  <c r="C486" i="1"/>
  <c r="C485" i="1"/>
  <c r="C484" i="1"/>
  <c r="C483" i="1"/>
  <c r="C404" i="1"/>
  <c r="C381" i="1"/>
  <c r="C379" i="1"/>
  <c r="C356" i="1"/>
  <c r="C355" i="1"/>
  <c r="C354" i="1"/>
  <c r="C312" i="1"/>
  <c r="C311" i="1"/>
  <c r="C310" i="1"/>
  <c r="C260" i="1"/>
  <c r="C247" i="1"/>
  <c r="C233" i="1"/>
  <c r="C232" i="1"/>
  <c r="C214" i="1"/>
  <c r="C205" i="1"/>
  <c r="C186" i="1"/>
  <c r="C185" i="1"/>
  <c r="C42" i="1"/>
  <c r="C4" i="1"/>
  <c r="C5413" i="1"/>
  <c r="C5412" i="1"/>
  <c r="C5411" i="1"/>
  <c r="C5410" i="1"/>
  <c r="C5409" i="1"/>
  <c r="C5408" i="1"/>
  <c r="C5407" i="1"/>
  <c r="C5406" i="1"/>
  <c r="C5405" i="1"/>
  <c r="C5168" i="1"/>
  <c r="C5167" i="1"/>
  <c r="C5166" i="1"/>
  <c r="C5116" i="1"/>
  <c r="C5115" i="1"/>
  <c r="C5114" i="1"/>
  <c r="C5113" i="1"/>
  <c r="C5112" i="1"/>
  <c r="C5111" i="1"/>
  <c r="C5110" i="1"/>
  <c r="C5109" i="1"/>
  <c r="C5108" i="1"/>
  <c r="C5107" i="1"/>
  <c r="C5106" i="1"/>
  <c r="C5039" i="1"/>
  <c r="C5038" i="1"/>
  <c r="C5001" i="1"/>
  <c r="C5000" i="1"/>
  <c r="C4986" i="1"/>
  <c r="C4985" i="1"/>
  <c r="C4984" i="1"/>
  <c r="C4945" i="1"/>
  <c r="C4895" i="1"/>
  <c r="C4894" i="1"/>
  <c r="C4893" i="1"/>
  <c r="C4892" i="1"/>
  <c r="C4891" i="1"/>
  <c r="C4890" i="1"/>
  <c r="C4889" i="1"/>
  <c r="C4888" i="1"/>
  <c r="C4887" i="1"/>
  <c r="C4886" i="1"/>
  <c r="C4823" i="1"/>
  <c r="C4822" i="1"/>
  <c r="C4821" i="1"/>
  <c r="C4820" i="1"/>
  <c r="C4791" i="1"/>
  <c r="C4790" i="1"/>
  <c r="C4789" i="1"/>
  <c r="C4788" i="1"/>
  <c r="C4787" i="1"/>
  <c r="C4786" i="1"/>
  <c r="C4785" i="1"/>
  <c r="C4784" i="1"/>
  <c r="C4783" i="1"/>
  <c r="C4782" i="1"/>
  <c r="C4641" i="1"/>
  <c r="C4640" i="1"/>
  <c r="C4639" i="1"/>
  <c r="C4638" i="1"/>
  <c r="C4571" i="1"/>
  <c r="C4570" i="1"/>
  <c r="C4569" i="1"/>
  <c r="C4568" i="1"/>
  <c r="C4472" i="1"/>
  <c r="C4456" i="1"/>
  <c r="C4455" i="1"/>
  <c r="C4454" i="1"/>
  <c r="C4422" i="1"/>
  <c r="C4421" i="1"/>
  <c r="C4420" i="1"/>
  <c r="C4335" i="1"/>
  <c r="C4306" i="1"/>
  <c r="C4305" i="1"/>
  <c r="C4304" i="1"/>
  <c r="C4250" i="1"/>
  <c r="C4165" i="1"/>
  <c r="C4150" i="1"/>
  <c r="C4149" i="1"/>
  <c r="C4148" i="1"/>
  <c r="C4147" i="1"/>
  <c r="C4146" i="1"/>
  <c r="C4048" i="1"/>
  <c r="C4047" i="1"/>
  <c r="C4046" i="1"/>
  <c r="C4045" i="1"/>
  <c r="C4044" i="1"/>
  <c r="C3958" i="1"/>
  <c r="C3957" i="1"/>
  <c r="C3956" i="1"/>
  <c r="C3955" i="1"/>
  <c r="C3887" i="1"/>
  <c r="C3879" i="1"/>
  <c r="C3878" i="1"/>
  <c r="C3877" i="1"/>
  <c r="C3830" i="1"/>
  <c r="C3829" i="1"/>
  <c r="C3828" i="1"/>
  <c r="C3794" i="1"/>
  <c r="C3793" i="1"/>
  <c r="C3792" i="1"/>
  <c r="C3791" i="1"/>
  <c r="C3790" i="1"/>
  <c r="C3709" i="1"/>
  <c r="C3656" i="1"/>
  <c r="C3648" i="1"/>
  <c r="C3647" i="1"/>
  <c r="C3646" i="1"/>
  <c r="C3645" i="1"/>
  <c r="C3644" i="1"/>
  <c r="C3643" i="1"/>
  <c r="C3642" i="1"/>
  <c r="C3641" i="1"/>
  <c r="C3640" i="1"/>
  <c r="C3639" i="1"/>
  <c r="C3556" i="1"/>
  <c r="C3555" i="1"/>
  <c r="C3482" i="1"/>
  <c r="C3459" i="1"/>
  <c r="C3324" i="1"/>
  <c r="C3323" i="1"/>
  <c r="C3322" i="1"/>
  <c r="C3321" i="1"/>
  <c r="C3320" i="1"/>
  <c r="C3269" i="1"/>
  <c r="C3268" i="1"/>
  <c r="C3267" i="1"/>
  <c r="C3266" i="1"/>
  <c r="C3265" i="1"/>
  <c r="C3264" i="1"/>
  <c r="C3263" i="1"/>
  <c r="C3262" i="1"/>
  <c r="C3261" i="1"/>
  <c r="C3260" i="1"/>
  <c r="C3259" i="1"/>
  <c r="C3258" i="1"/>
  <c r="C3031" i="1"/>
  <c r="C3030" i="1"/>
  <c r="C3029" i="1"/>
  <c r="C3028" i="1"/>
  <c r="C3027" i="1"/>
  <c r="C3026" i="1"/>
  <c r="C3025" i="1"/>
  <c r="C3024" i="1"/>
  <c r="C3023" i="1"/>
  <c r="C3022" i="1"/>
  <c r="C3021" i="1"/>
  <c r="C3020" i="1"/>
  <c r="C3019" i="1"/>
  <c r="C3018" i="1"/>
  <c r="C3017" i="1"/>
  <c r="C3016" i="1"/>
  <c r="C3015" i="1"/>
  <c r="C3014" i="1"/>
  <c r="C3013" i="1"/>
  <c r="C3012" i="1"/>
  <c r="C3011" i="1"/>
  <c r="C2795" i="1"/>
  <c r="C2794" i="1"/>
  <c r="C2737" i="1"/>
  <c r="C2736" i="1"/>
  <c r="C2735" i="1"/>
  <c r="C2734" i="1"/>
  <c r="C2733" i="1"/>
  <c r="C2732" i="1"/>
  <c r="C2731" i="1"/>
  <c r="C2730" i="1"/>
  <c r="C2729" i="1"/>
  <c r="C2728" i="1"/>
  <c r="C2727" i="1"/>
  <c r="C2726" i="1"/>
  <c r="C2725" i="1"/>
  <c r="C2724" i="1"/>
  <c r="C2723" i="1"/>
  <c r="C2722" i="1"/>
  <c r="C2721" i="1"/>
  <c r="C2720" i="1"/>
  <c r="C2719" i="1"/>
  <c r="C2718" i="1"/>
  <c r="C2717" i="1"/>
  <c r="C2716" i="1"/>
  <c r="C2715" i="1"/>
  <c r="C2714" i="1"/>
  <c r="C2713" i="1"/>
  <c r="C2712" i="1"/>
  <c r="C2711" i="1"/>
  <c r="C2487" i="1"/>
  <c r="C2486" i="1"/>
  <c r="C2465" i="1"/>
  <c r="C2464" i="1"/>
  <c r="C2429" i="1"/>
  <c r="C2428" i="1"/>
  <c r="C2334" i="1"/>
  <c r="C2333" i="1"/>
  <c r="C2332" i="1"/>
  <c r="C2331" i="1"/>
  <c r="C2330" i="1"/>
  <c r="C2329" i="1"/>
  <c r="C2328" i="1"/>
  <c r="C2327" i="1"/>
  <c r="C2326" i="1"/>
  <c r="C2325" i="1"/>
  <c r="C2324" i="1"/>
  <c r="C2323" i="1"/>
  <c r="C2322" i="1"/>
  <c r="C2321" i="1"/>
  <c r="C2271" i="1"/>
  <c r="C2270" i="1"/>
  <c r="C2232" i="1"/>
  <c r="C2231" i="1"/>
  <c r="C2230" i="1"/>
  <c r="C2229" i="1"/>
  <c r="C2192" i="1"/>
  <c r="C2191" i="1"/>
  <c r="C2190" i="1"/>
  <c r="C2149" i="1"/>
  <c r="C2148" i="1"/>
  <c r="C2131" i="1"/>
  <c r="C2113" i="1"/>
  <c r="C2099" i="1"/>
  <c r="C2098" i="1"/>
  <c r="C2069" i="1"/>
  <c r="C2068" i="1"/>
  <c r="C2067" i="1"/>
  <c r="C2019" i="1"/>
  <c r="C2018" i="1"/>
  <c r="C2017" i="1"/>
  <c r="C1995" i="1"/>
  <c r="C1959" i="1"/>
  <c r="C1925" i="1"/>
  <c r="C1924" i="1"/>
  <c r="C1923" i="1"/>
  <c r="C1867" i="1"/>
  <c r="C1866" i="1"/>
  <c r="C1865" i="1"/>
  <c r="C1811" i="1"/>
  <c r="C1810" i="1"/>
  <c r="C1809" i="1"/>
  <c r="C1808" i="1"/>
  <c r="C1807" i="1"/>
  <c r="C1806" i="1"/>
  <c r="C1805" i="1"/>
  <c r="C1804" i="1"/>
  <c r="C1803" i="1"/>
  <c r="C1802" i="1"/>
  <c r="C1690" i="1"/>
  <c r="C1679" i="1"/>
  <c r="C1663" i="1"/>
  <c r="C1655" i="1"/>
  <c r="C1654" i="1"/>
  <c r="C1622" i="1"/>
  <c r="C1621" i="1"/>
  <c r="C1620" i="1"/>
  <c r="C1619" i="1"/>
  <c r="C1618" i="1"/>
  <c r="C1617" i="1"/>
  <c r="C1616" i="1"/>
  <c r="C1615" i="1"/>
  <c r="C1614" i="1"/>
  <c r="C1613" i="1"/>
  <c r="C1484" i="1"/>
  <c r="C1483" i="1"/>
  <c r="C1482" i="1"/>
  <c r="C1481" i="1"/>
  <c r="C1480" i="1"/>
  <c r="C1479" i="1"/>
  <c r="C1478" i="1"/>
  <c r="C1477" i="1"/>
  <c r="C1476" i="1"/>
  <c r="C1475" i="1"/>
  <c r="C1474" i="1"/>
  <c r="C1473" i="1"/>
  <c r="C1472" i="1"/>
  <c r="C1471" i="1"/>
  <c r="C1307" i="1"/>
  <c r="C1306" i="1"/>
  <c r="C1305" i="1"/>
  <c r="C1254" i="1"/>
  <c r="C1253" i="1"/>
  <c r="C1252" i="1"/>
  <c r="C1251" i="1"/>
  <c r="C1250" i="1"/>
  <c r="C1249" i="1"/>
  <c r="C1248" i="1"/>
  <c r="C1247" i="1"/>
  <c r="C1246" i="1"/>
  <c r="C1245" i="1"/>
  <c r="C1131" i="1"/>
  <c r="C1112" i="1"/>
  <c r="C1111" i="1"/>
  <c r="C1110" i="1"/>
  <c r="C1109" i="1"/>
  <c r="C1108" i="1"/>
  <c r="C1107" i="1"/>
  <c r="C1106" i="1"/>
  <c r="C1105" i="1"/>
  <c r="C1104" i="1"/>
  <c r="C1103" i="1"/>
  <c r="C1102" i="1"/>
  <c r="C1101" i="1"/>
  <c r="C937" i="1"/>
  <c r="C887" i="1"/>
  <c r="C886" i="1"/>
  <c r="C840" i="1"/>
  <c r="C768" i="1"/>
  <c r="C767" i="1"/>
  <c r="C708" i="1"/>
  <c r="C569" i="1"/>
  <c r="C556" i="1"/>
  <c r="C522" i="1"/>
  <c r="C521" i="1"/>
  <c r="C520" i="1"/>
  <c r="C519" i="1"/>
  <c r="C518" i="1"/>
  <c r="C482" i="1"/>
  <c r="C481" i="1"/>
  <c r="C480" i="1"/>
  <c r="C479" i="1"/>
  <c r="C478" i="1"/>
  <c r="C477" i="1"/>
  <c r="C476" i="1"/>
  <c r="C475" i="1"/>
  <c r="C403" i="1"/>
  <c r="C402" i="1"/>
  <c r="C377" i="1"/>
  <c r="C353" i="1"/>
  <c r="C352" i="1"/>
  <c r="C351" i="1"/>
  <c r="C350" i="1"/>
  <c r="C325" i="1"/>
  <c r="C313" i="1"/>
  <c r="C309" i="1"/>
  <c r="C288" i="1"/>
  <c r="C254" i="1"/>
  <c r="C217" i="1"/>
  <c r="C184" i="1"/>
  <c r="C183" i="1"/>
  <c r="C29" i="1"/>
  <c r="C5425" i="1"/>
  <c r="C5421" i="1"/>
  <c r="C5404" i="1"/>
  <c r="C5403" i="1"/>
  <c r="C5165" i="1"/>
  <c r="C5164" i="1"/>
  <c r="C5105" i="1"/>
  <c r="C5104" i="1"/>
  <c r="C5103" i="1"/>
  <c r="C5017" i="1"/>
  <c r="C4999" i="1"/>
  <c r="C4983" i="1"/>
  <c r="C4982" i="1"/>
  <c r="C4981" i="1"/>
  <c r="C4944" i="1"/>
  <c r="C4885" i="1"/>
  <c r="C4884" i="1"/>
  <c r="C4883" i="1"/>
  <c r="C4882" i="1"/>
  <c r="C4881" i="1"/>
  <c r="C4880" i="1"/>
  <c r="C4879" i="1"/>
  <c r="C4878" i="1"/>
  <c r="C4877" i="1"/>
  <c r="C4876" i="1"/>
  <c r="C4875" i="1"/>
  <c r="C4874" i="1"/>
  <c r="C4819" i="1"/>
  <c r="C4818" i="1"/>
  <c r="C4817" i="1"/>
  <c r="C4816" i="1"/>
  <c r="C4815" i="1"/>
  <c r="C4781" i="1"/>
  <c r="C4780" i="1"/>
  <c r="C4779" i="1"/>
  <c r="C4778" i="1"/>
  <c r="C4777" i="1"/>
  <c r="C4776" i="1"/>
  <c r="C4775" i="1"/>
  <c r="C4774" i="1"/>
  <c r="C4773" i="1"/>
  <c r="C4772" i="1"/>
  <c r="C4771" i="1"/>
  <c r="C4770" i="1"/>
  <c r="C4769" i="1"/>
  <c r="C4637" i="1"/>
  <c r="C4636" i="1"/>
  <c r="C4635" i="1"/>
  <c r="C4634" i="1"/>
  <c r="C4567" i="1"/>
  <c r="C4566" i="1"/>
  <c r="C4565" i="1"/>
  <c r="C4564" i="1"/>
  <c r="C4563" i="1"/>
  <c r="C4562" i="1"/>
  <c r="C4561" i="1"/>
  <c r="C4453" i="1"/>
  <c r="C4452" i="1"/>
  <c r="C4419" i="1"/>
  <c r="C4418" i="1"/>
  <c r="C4417" i="1"/>
  <c r="C4416" i="1"/>
  <c r="C4415" i="1"/>
  <c r="C4414" i="1"/>
  <c r="C4413" i="1"/>
  <c r="C4334" i="1"/>
  <c r="C4303" i="1"/>
  <c r="C4302" i="1"/>
  <c r="C4301" i="1"/>
  <c r="C4300" i="1"/>
  <c r="C4249" i="1"/>
  <c r="C4248" i="1"/>
  <c r="C4247" i="1"/>
  <c r="C4246" i="1"/>
  <c r="C4245" i="1"/>
  <c r="C4164" i="1"/>
  <c r="C4163" i="1"/>
  <c r="C4162" i="1"/>
  <c r="C4145" i="1"/>
  <c r="C4144" i="1"/>
  <c r="C4143" i="1"/>
  <c r="C4142" i="1"/>
  <c r="C4141" i="1"/>
  <c r="C4140" i="1"/>
  <c r="C4139" i="1"/>
  <c r="C4138" i="1"/>
  <c r="C4137" i="1"/>
  <c r="C4043" i="1"/>
  <c r="C4042" i="1"/>
  <c r="C3954" i="1"/>
  <c r="C3953" i="1"/>
  <c r="C3952" i="1"/>
  <c r="C3951" i="1"/>
  <c r="C3950" i="1"/>
  <c r="C3949" i="1"/>
  <c r="C3948" i="1"/>
  <c r="C3947" i="1"/>
  <c r="C3946" i="1"/>
  <c r="C3945" i="1"/>
  <c r="C3886" i="1"/>
  <c r="C3876" i="1"/>
  <c r="C3875" i="1"/>
  <c r="C3874" i="1"/>
  <c r="C3873" i="1"/>
  <c r="C3827" i="1"/>
  <c r="C3826" i="1"/>
  <c r="C3825" i="1"/>
  <c r="C3789" i="1"/>
  <c r="C3788" i="1"/>
  <c r="C3787" i="1"/>
  <c r="C3786" i="1"/>
  <c r="C3785" i="1"/>
  <c r="C3784" i="1"/>
  <c r="C3783" i="1"/>
  <c r="C3782" i="1"/>
  <c r="C3704" i="1"/>
  <c r="C3703" i="1"/>
  <c r="C3702" i="1"/>
  <c r="C3701" i="1"/>
  <c r="C3700" i="1"/>
  <c r="C3699" i="1"/>
  <c r="C3683" i="1"/>
  <c r="C3638" i="1"/>
  <c r="C3637" i="1"/>
  <c r="C3636" i="1"/>
  <c r="C3635" i="1"/>
  <c r="C3634" i="1"/>
  <c r="C3633" i="1"/>
  <c r="C3632" i="1"/>
  <c r="C3631" i="1"/>
  <c r="C3630" i="1"/>
  <c r="C3629" i="1"/>
  <c r="C3554" i="1"/>
  <c r="C3553" i="1"/>
  <c r="C3552" i="1"/>
  <c r="C3551" i="1"/>
  <c r="C3550" i="1"/>
  <c r="C3549" i="1"/>
  <c r="C3548" i="1"/>
  <c r="C3481" i="1"/>
  <c r="C3458" i="1"/>
  <c r="C3457" i="1"/>
  <c r="C3456" i="1"/>
  <c r="C3455" i="1"/>
  <c r="C3417" i="1"/>
  <c r="C3390" i="1"/>
  <c r="C3389" i="1"/>
  <c r="C3388" i="1"/>
  <c r="C3387" i="1"/>
  <c r="C3386" i="1"/>
  <c r="C3385" i="1"/>
  <c r="C3384" i="1"/>
  <c r="C3336" i="1"/>
  <c r="C3319" i="1"/>
  <c r="C3318" i="1"/>
  <c r="C3317" i="1"/>
  <c r="C3316" i="1"/>
  <c r="C3315" i="1"/>
  <c r="C3314" i="1"/>
  <c r="C3313" i="1"/>
  <c r="C3312" i="1"/>
  <c r="C3257" i="1"/>
  <c r="C3256" i="1"/>
  <c r="C3255" i="1"/>
  <c r="C3254" i="1"/>
  <c r="C3253" i="1"/>
  <c r="C3252" i="1"/>
  <c r="C3251" i="1"/>
  <c r="C3250" i="1"/>
  <c r="C3249" i="1"/>
  <c r="C3248" i="1"/>
  <c r="C3247" i="1"/>
  <c r="C3246" i="1"/>
  <c r="C3245" i="1"/>
  <c r="C3244" i="1"/>
  <c r="C3243" i="1"/>
  <c r="C3242" i="1"/>
  <c r="C3241" i="1"/>
  <c r="C3240" i="1"/>
  <c r="C3239" i="1"/>
  <c r="C3238" i="1"/>
  <c r="C3237" i="1"/>
  <c r="C3236" i="1"/>
  <c r="C3235" i="1"/>
  <c r="C3056" i="1"/>
  <c r="C3055" i="1"/>
  <c r="C3010" i="1"/>
  <c r="C3009" i="1"/>
  <c r="C3008" i="1"/>
  <c r="C3007" i="1"/>
  <c r="C3006" i="1"/>
  <c r="C3005" i="1"/>
  <c r="C3004" i="1"/>
  <c r="C3003" i="1"/>
  <c r="C3002" i="1"/>
  <c r="C3001" i="1"/>
  <c r="C3000" i="1"/>
  <c r="C2999" i="1"/>
  <c r="C2998" i="1"/>
  <c r="C2997" i="1"/>
  <c r="C2996" i="1"/>
  <c r="C2995" i="1"/>
  <c r="C2994" i="1"/>
  <c r="C2993" i="1"/>
  <c r="C2992" i="1"/>
  <c r="C2991" i="1"/>
  <c r="C2990" i="1"/>
  <c r="C2989" i="1"/>
  <c r="C2988" i="1"/>
  <c r="C2987" i="1"/>
  <c r="C2986" i="1"/>
  <c r="C2985" i="1"/>
  <c r="C2984" i="1"/>
  <c r="C2983" i="1"/>
  <c r="C2982" i="1"/>
  <c r="C2793" i="1"/>
  <c r="C2792" i="1"/>
  <c r="C2791" i="1"/>
  <c r="C2790" i="1"/>
  <c r="C2789" i="1"/>
  <c r="C2710" i="1"/>
  <c r="C2709" i="1"/>
  <c r="C2708" i="1"/>
  <c r="C2707" i="1"/>
  <c r="C2706" i="1"/>
  <c r="C2705" i="1"/>
  <c r="C2704" i="1"/>
  <c r="C2703" i="1"/>
  <c r="C2702" i="1"/>
  <c r="C2701" i="1"/>
  <c r="C2700" i="1"/>
  <c r="C2699" i="1"/>
  <c r="C2698" i="1"/>
  <c r="C2697" i="1"/>
  <c r="C2696" i="1"/>
  <c r="C2695" i="1"/>
  <c r="C2463" i="1"/>
  <c r="C2462" i="1"/>
  <c r="C2427" i="1"/>
  <c r="C2426" i="1"/>
  <c r="C2425" i="1"/>
  <c r="C2424" i="1"/>
  <c r="C2423" i="1"/>
  <c r="C2422" i="1"/>
  <c r="C2421" i="1"/>
  <c r="C2420" i="1"/>
  <c r="C2419" i="1"/>
  <c r="C2320" i="1"/>
  <c r="C2319" i="1"/>
  <c r="C2318" i="1"/>
  <c r="C2317" i="1"/>
  <c r="C2316" i="1"/>
  <c r="C2315" i="1"/>
  <c r="C2314" i="1"/>
  <c r="C2313" i="1"/>
  <c r="C2269" i="1"/>
  <c r="C2268" i="1"/>
  <c r="C2267" i="1"/>
  <c r="C2266" i="1"/>
  <c r="C2228" i="1"/>
  <c r="C2227" i="1"/>
  <c r="C2226" i="1"/>
  <c r="C2225" i="1"/>
  <c r="C2189" i="1"/>
  <c r="C2188" i="1"/>
  <c r="C2187" i="1"/>
  <c r="C2130" i="1"/>
  <c r="C2129" i="1"/>
  <c r="C2128" i="1"/>
  <c r="C2127" i="1"/>
  <c r="C2126" i="1"/>
  <c r="C2097" i="1"/>
  <c r="C2096" i="1"/>
  <c r="C2095" i="1"/>
  <c r="C2066" i="1"/>
  <c r="C2065" i="1"/>
  <c r="C2064" i="1"/>
  <c r="C2016" i="1"/>
  <c r="C1994" i="1"/>
  <c r="C1958" i="1"/>
  <c r="C1957" i="1"/>
  <c r="C1956" i="1"/>
  <c r="C1922" i="1"/>
  <c r="C1921" i="1"/>
  <c r="C1920" i="1"/>
  <c r="C1864" i="1"/>
  <c r="C1863" i="1"/>
  <c r="C1862" i="1"/>
  <c r="C1861" i="1"/>
  <c r="C1801" i="1"/>
  <c r="C1800" i="1"/>
  <c r="C1799" i="1"/>
  <c r="C1798" i="1"/>
  <c r="C1653" i="1"/>
  <c r="C1612" i="1"/>
  <c r="C1611" i="1"/>
  <c r="C1610" i="1"/>
  <c r="C1609" i="1"/>
  <c r="C1608" i="1"/>
  <c r="C1607" i="1"/>
  <c r="C1606" i="1"/>
  <c r="C1605" i="1"/>
  <c r="C1470" i="1"/>
  <c r="C1469" i="1"/>
  <c r="C1468" i="1"/>
  <c r="C1467" i="1"/>
  <c r="C1466" i="1"/>
  <c r="C1465" i="1"/>
  <c r="C1464" i="1"/>
  <c r="C1304" i="1"/>
  <c r="C1303" i="1"/>
  <c r="C1285" i="1"/>
  <c r="C1284" i="1"/>
  <c r="C1244" i="1"/>
  <c r="C1243" i="1"/>
  <c r="C1242" i="1"/>
  <c r="C1241" i="1"/>
  <c r="C1240" i="1"/>
  <c r="C1239" i="1"/>
  <c r="C1238" i="1"/>
  <c r="C1237" i="1"/>
  <c r="C1236" i="1"/>
  <c r="C1235" i="1"/>
  <c r="C1234" i="1"/>
  <c r="C1100" i="1"/>
  <c r="C1099" i="1"/>
  <c r="C1098" i="1"/>
  <c r="C1097" i="1"/>
  <c r="C1096" i="1"/>
  <c r="C1095" i="1"/>
  <c r="C1094" i="1"/>
  <c r="C1093" i="1"/>
  <c r="C1092" i="1"/>
  <c r="C1091" i="1"/>
  <c r="C1090" i="1"/>
  <c r="C1089" i="1"/>
  <c r="C1088" i="1"/>
  <c r="C936" i="1"/>
  <c r="C935" i="1"/>
  <c r="C934" i="1"/>
  <c r="C933" i="1"/>
  <c r="C932" i="1"/>
  <c r="C885" i="1"/>
  <c r="C884" i="1"/>
  <c r="C883" i="1"/>
  <c r="C882" i="1"/>
  <c r="C881" i="1"/>
  <c r="C740" i="1"/>
  <c r="C739" i="1"/>
  <c r="C738" i="1"/>
  <c r="C737" i="1"/>
  <c r="C571" i="1"/>
  <c r="C568" i="1"/>
  <c r="C555" i="1"/>
  <c r="C517" i="1"/>
  <c r="C516" i="1"/>
  <c r="C515" i="1"/>
  <c r="C474" i="1"/>
  <c r="C473" i="1"/>
  <c r="C472" i="1"/>
  <c r="C471" i="1"/>
  <c r="C470" i="1"/>
  <c r="C469" i="1"/>
  <c r="C468" i="1"/>
  <c r="C411" i="1"/>
  <c r="C410" i="1"/>
  <c r="C407" i="1"/>
  <c r="C406" i="1"/>
  <c r="C401" i="1"/>
  <c r="C384" i="1"/>
  <c r="C376" i="1"/>
  <c r="C375" i="1"/>
  <c r="C374" i="1"/>
  <c r="C349" i="1"/>
  <c r="C324" i="1"/>
  <c r="C323" i="1"/>
  <c r="C315" i="1"/>
  <c r="C308" i="1"/>
  <c r="C307" i="1"/>
  <c r="C287" i="1"/>
  <c r="C213" i="1"/>
  <c r="C204" i="1"/>
  <c r="C182" i="1"/>
  <c r="C39" i="1"/>
  <c r="C28" i="1"/>
  <c r="C20" i="1"/>
  <c r="C5402" i="1"/>
  <c r="C5401" i="1"/>
  <c r="C5400" i="1"/>
  <c r="C5399" i="1"/>
  <c r="C5398" i="1"/>
  <c r="C5163" i="1"/>
  <c r="C5162" i="1"/>
  <c r="C5102" i="1"/>
  <c r="C5101" i="1"/>
  <c r="C5100" i="1"/>
  <c r="C5099" i="1"/>
  <c r="C5098" i="1"/>
  <c r="C5037" i="1"/>
  <c r="C5026" i="1"/>
  <c r="C5024" i="1"/>
  <c r="C4980" i="1"/>
  <c r="C4948" i="1"/>
  <c r="C4943" i="1"/>
  <c r="C4942" i="1"/>
  <c r="C4941" i="1"/>
  <c r="C4873" i="1"/>
  <c r="C4814" i="1"/>
  <c r="C4813" i="1"/>
  <c r="C4768" i="1"/>
  <c r="C4767" i="1"/>
  <c r="C4766" i="1"/>
  <c r="C4765" i="1"/>
  <c r="C4764" i="1"/>
  <c r="C4763" i="1"/>
  <c r="C4762" i="1"/>
  <c r="C4761" i="1"/>
  <c r="C4760" i="1"/>
  <c r="C4633" i="1"/>
  <c r="C4560" i="1"/>
  <c r="C4559" i="1"/>
  <c r="C4558" i="1"/>
  <c r="C4557" i="1"/>
  <c r="C4556" i="1"/>
  <c r="C4555" i="1"/>
  <c r="C4471" i="1"/>
  <c r="C4470" i="1"/>
  <c r="C4451" i="1"/>
  <c r="C4450" i="1"/>
  <c r="C4449" i="1"/>
  <c r="C4412" i="1"/>
  <c r="C4411" i="1"/>
  <c r="C4410" i="1"/>
  <c r="C4409" i="1"/>
  <c r="C4408" i="1"/>
  <c r="C4407" i="1"/>
  <c r="C4406" i="1"/>
  <c r="C4333" i="1"/>
  <c r="C4332" i="1"/>
  <c r="C4331" i="1"/>
  <c r="C4299" i="1"/>
  <c r="C4244" i="1"/>
  <c r="C4243" i="1"/>
  <c r="C4242" i="1"/>
  <c r="C4241" i="1"/>
  <c r="C4240" i="1"/>
  <c r="C4239" i="1"/>
  <c r="C4136" i="1"/>
  <c r="C4135" i="1"/>
  <c r="C4134" i="1"/>
  <c r="C4133" i="1"/>
  <c r="C4132" i="1"/>
  <c r="C4131" i="1"/>
  <c r="C4130" i="1"/>
  <c r="C4129" i="1"/>
  <c r="C4128" i="1"/>
  <c r="C4127" i="1"/>
  <c r="C4041" i="1"/>
  <c r="C4040" i="1"/>
  <c r="C4039" i="1"/>
  <c r="C4038" i="1"/>
  <c r="C4037" i="1"/>
  <c r="C4036" i="1"/>
  <c r="C4035" i="1"/>
  <c r="C4034" i="1"/>
  <c r="C3944" i="1"/>
  <c r="C3943" i="1"/>
  <c r="C3872" i="1"/>
  <c r="C3871" i="1"/>
  <c r="C3824" i="1"/>
  <c r="C3823" i="1"/>
  <c r="C3781" i="1"/>
  <c r="C3780" i="1"/>
  <c r="C3779" i="1"/>
  <c r="C3690" i="1"/>
  <c r="C3682" i="1"/>
  <c r="C3681" i="1"/>
  <c r="C3680" i="1"/>
  <c r="C3679" i="1"/>
  <c r="C3678" i="1"/>
  <c r="C3677" i="1"/>
  <c r="C3628" i="1"/>
  <c r="C3627" i="1"/>
  <c r="C3626" i="1"/>
  <c r="C3625" i="1"/>
  <c r="C3624" i="1"/>
  <c r="C3623" i="1"/>
  <c r="C3547" i="1"/>
  <c r="C3546" i="1"/>
  <c r="C3545" i="1"/>
  <c r="C3544" i="1"/>
  <c r="C3454" i="1"/>
  <c r="C3453" i="1"/>
  <c r="C3452" i="1"/>
  <c r="C3383" i="1"/>
  <c r="C3382" i="1"/>
  <c r="C3381" i="1"/>
  <c r="C3380" i="1"/>
  <c r="C3379" i="1"/>
  <c r="C3378" i="1"/>
  <c r="C3335" i="1"/>
  <c r="C3311" i="1"/>
  <c r="C3234" i="1"/>
  <c r="C3233" i="1"/>
  <c r="C3232" i="1"/>
  <c r="C3231" i="1"/>
  <c r="C3230" i="1"/>
  <c r="C3229" i="1"/>
  <c r="C3228" i="1"/>
  <c r="C3227" i="1"/>
  <c r="C3226" i="1"/>
  <c r="C3225" i="1"/>
  <c r="C3224" i="1"/>
  <c r="C3223" i="1"/>
  <c r="C3222" i="1"/>
  <c r="C3221" i="1"/>
  <c r="C3220" i="1"/>
  <c r="C3219" i="1"/>
  <c r="C3218" i="1"/>
  <c r="C3217" i="1"/>
  <c r="C2981" i="1"/>
  <c r="C2980" i="1"/>
  <c r="C2979" i="1"/>
  <c r="C2978" i="1"/>
  <c r="C2977" i="1"/>
  <c r="C2976" i="1"/>
  <c r="C2975" i="1"/>
  <c r="C2974" i="1"/>
  <c r="C2973" i="1"/>
  <c r="C2972" i="1"/>
  <c r="C2971" i="1"/>
  <c r="C2970" i="1"/>
  <c r="C2969" i="1"/>
  <c r="C2788" i="1"/>
  <c r="C2787" i="1"/>
  <c r="C2786" i="1"/>
  <c r="C2785" i="1"/>
  <c r="C2784" i="1"/>
  <c r="C2694" i="1"/>
  <c r="C2693" i="1"/>
  <c r="C2692" i="1"/>
  <c r="C2691" i="1"/>
  <c r="C2690" i="1"/>
  <c r="C2689" i="1"/>
  <c r="C2688" i="1"/>
  <c r="C2687" i="1"/>
  <c r="C2686" i="1"/>
  <c r="C2685" i="1"/>
  <c r="C2684" i="1"/>
  <c r="C2683" i="1"/>
  <c r="C2682" i="1"/>
  <c r="C2681" i="1"/>
  <c r="C2680" i="1"/>
  <c r="C2496" i="1"/>
  <c r="C2495" i="1"/>
  <c r="C2461" i="1"/>
  <c r="C2418" i="1"/>
  <c r="C2417" i="1"/>
  <c r="C2416" i="1"/>
  <c r="C2415" i="1"/>
  <c r="C2414" i="1"/>
  <c r="C2413" i="1"/>
  <c r="C2412" i="1"/>
  <c r="C2411" i="1"/>
  <c r="C2410" i="1"/>
  <c r="C2409" i="1"/>
  <c r="C2312" i="1"/>
  <c r="C2311" i="1"/>
  <c r="C2265" i="1"/>
  <c r="C2264" i="1"/>
  <c r="C2263" i="1"/>
  <c r="C2262" i="1"/>
  <c r="C2261" i="1"/>
  <c r="C2224" i="1"/>
  <c r="C2223" i="1"/>
  <c r="C2222" i="1"/>
  <c r="C2186" i="1"/>
  <c r="C2185" i="1"/>
  <c r="C2184" i="1"/>
  <c r="C2183" i="1"/>
  <c r="C2152" i="1"/>
  <c r="C2147" i="1"/>
  <c r="C2146" i="1"/>
  <c r="C2112" i="1"/>
  <c r="C2094" i="1"/>
  <c r="C2093" i="1"/>
  <c r="C2063" i="1"/>
  <c r="C2062" i="1"/>
  <c r="C2061" i="1"/>
  <c r="C2060" i="1"/>
  <c r="C2015" i="1"/>
  <c r="C1993" i="1"/>
  <c r="C1992" i="1"/>
  <c r="C1919" i="1"/>
  <c r="C1918" i="1"/>
  <c r="C1860" i="1"/>
  <c r="C1859" i="1"/>
  <c r="C1858" i="1"/>
  <c r="C1797" i="1"/>
  <c r="C1796" i="1"/>
  <c r="C1795" i="1"/>
  <c r="C1794" i="1"/>
  <c r="C1793" i="1"/>
  <c r="C1792" i="1"/>
  <c r="C1791" i="1"/>
  <c r="C1790" i="1"/>
  <c r="C1789" i="1"/>
  <c r="C1788" i="1"/>
  <c r="C1787" i="1"/>
  <c r="C1786" i="1"/>
  <c r="C1678" i="1"/>
  <c r="C1604" i="1"/>
  <c r="C1603" i="1"/>
  <c r="C1602" i="1"/>
  <c r="C1601" i="1"/>
  <c r="C1600" i="1"/>
  <c r="C1599" i="1"/>
  <c r="C1598" i="1"/>
  <c r="C1597" i="1"/>
  <c r="C1596" i="1"/>
  <c r="C1595" i="1"/>
  <c r="C1594" i="1"/>
  <c r="C1593" i="1"/>
  <c r="C1592" i="1"/>
  <c r="C1591" i="1"/>
  <c r="C1463" i="1"/>
  <c r="C1462" i="1"/>
  <c r="C1461" i="1"/>
  <c r="C1460" i="1"/>
  <c r="C1459" i="1"/>
  <c r="C1458" i="1"/>
  <c r="C1457" i="1"/>
  <c r="C1456" i="1"/>
  <c r="C1455" i="1"/>
  <c r="C1454" i="1"/>
  <c r="C1453" i="1"/>
  <c r="C1452" i="1"/>
  <c r="C1302" i="1"/>
  <c r="C1301" i="1"/>
  <c r="C1300" i="1"/>
  <c r="C1283" i="1"/>
  <c r="C1233" i="1"/>
  <c r="C1232" i="1"/>
  <c r="C1231" i="1"/>
  <c r="C1230" i="1"/>
  <c r="C1229" i="1"/>
  <c r="C1228" i="1"/>
  <c r="C1227" i="1"/>
  <c r="C1226" i="1"/>
  <c r="C1225" i="1"/>
  <c r="C1224" i="1"/>
  <c r="C1223" i="1"/>
  <c r="C1222" i="1"/>
  <c r="C1221" i="1"/>
  <c r="C1087" i="1"/>
  <c r="C1086" i="1"/>
  <c r="C1085" i="1"/>
  <c r="C1084" i="1"/>
  <c r="C1083" i="1"/>
  <c r="C931" i="1"/>
  <c r="C930" i="1"/>
  <c r="C929" i="1"/>
  <c r="C880" i="1"/>
  <c r="C784" i="1"/>
  <c r="C783" i="1"/>
  <c r="C782" i="1"/>
  <c r="C781" i="1"/>
  <c r="C778" i="1"/>
  <c r="C776" i="1"/>
  <c r="C769" i="1"/>
  <c r="C554" i="1"/>
  <c r="C553" i="1"/>
  <c r="C533" i="1"/>
  <c r="C514" i="1"/>
  <c r="C513" i="1"/>
  <c r="C512" i="1"/>
  <c r="C467" i="1"/>
  <c r="C466" i="1"/>
  <c r="C465" i="1"/>
  <c r="C464" i="1"/>
  <c r="C400" i="1"/>
  <c r="C387" i="1"/>
  <c r="C373" i="1"/>
  <c r="C372" i="1"/>
  <c r="C371" i="1"/>
  <c r="C348" i="1"/>
  <c r="C306" i="1"/>
  <c r="C305" i="1"/>
  <c r="C304" i="1"/>
  <c r="C303" i="1"/>
  <c r="C273" i="1"/>
  <c r="C231" i="1"/>
  <c r="C230" i="1"/>
  <c r="C212" i="1"/>
  <c r="C203" i="1"/>
  <c r="C202" i="1"/>
  <c r="C181" i="1"/>
  <c r="C180" i="1"/>
  <c r="C27" i="1"/>
  <c r="C5397" i="1"/>
  <c r="C5396" i="1"/>
  <c r="C5395" i="1"/>
  <c r="C5394" i="1"/>
  <c r="C5393" i="1"/>
  <c r="C5392" i="1"/>
  <c r="C5338" i="1"/>
  <c r="C5337" i="1"/>
  <c r="C5176" i="1"/>
  <c r="C5161" i="1"/>
  <c r="C5160" i="1"/>
  <c r="C5159" i="1"/>
  <c r="C5158" i="1"/>
  <c r="C5097" i="1"/>
  <c r="C5096" i="1"/>
  <c r="C5095" i="1"/>
  <c r="C5094" i="1"/>
  <c r="C5093" i="1"/>
  <c r="C5092" i="1"/>
  <c r="C5091" i="1"/>
  <c r="C5036" i="1"/>
  <c r="C4940" i="1"/>
  <c r="C4939" i="1"/>
  <c r="C4872" i="1"/>
  <c r="C4871" i="1"/>
  <c r="C4870" i="1"/>
  <c r="C4812" i="1"/>
  <c r="C4759" i="1"/>
  <c r="C4758" i="1"/>
  <c r="C4757" i="1"/>
  <c r="C4756" i="1"/>
  <c r="C4755" i="1"/>
  <c r="C4754" i="1"/>
  <c r="C4753" i="1"/>
  <c r="C4752" i="1"/>
  <c r="C4751" i="1"/>
  <c r="C4750" i="1"/>
  <c r="C4749" i="1"/>
  <c r="C4632" i="1"/>
  <c r="C4631" i="1"/>
  <c r="C4630" i="1"/>
  <c r="C4629" i="1"/>
  <c r="C4554" i="1"/>
  <c r="C4553" i="1"/>
  <c r="C4552" i="1"/>
  <c r="C4551" i="1"/>
  <c r="C4550" i="1"/>
  <c r="C4549" i="1"/>
  <c r="C4548" i="1"/>
  <c r="C4469" i="1"/>
  <c r="C4448" i="1"/>
  <c r="C4405" i="1"/>
  <c r="C4404" i="1"/>
  <c r="C4403" i="1"/>
  <c r="C4402" i="1"/>
  <c r="C4401" i="1"/>
  <c r="C4400" i="1"/>
  <c r="C4399" i="1"/>
  <c r="C4398" i="1"/>
  <c r="C4397" i="1"/>
  <c r="C4330" i="1"/>
  <c r="C4329" i="1"/>
  <c r="C4328" i="1"/>
  <c r="C4327" i="1"/>
  <c r="C4298" i="1"/>
  <c r="C4297" i="1"/>
  <c r="C4296" i="1"/>
  <c r="C4295" i="1"/>
  <c r="C4294" i="1"/>
  <c r="C4293" i="1"/>
  <c r="C4292" i="1"/>
  <c r="C4291" i="1"/>
  <c r="C4290" i="1"/>
  <c r="C4238" i="1"/>
  <c r="C4237" i="1"/>
  <c r="C4236" i="1"/>
  <c r="C4235" i="1"/>
  <c r="C4161" i="1"/>
  <c r="C4126" i="1"/>
  <c r="C4125" i="1"/>
  <c r="C4124" i="1"/>
  <c r="C4123" i="1"/>
  <c r="C4122" i="1"/>
  <c r="C4121" i="1"/>
  <c r="C4120" i="1"/>
  <c r="C4119" i="1"/>
  <c r="C4118" i="1"/>
  <c r="C4117" i="1"/>
  <c r="C4116" i="1"/>
  <c r="C4115" i="1"/>
  <c r="C4033" i="1"/>
  <c r="C4032" i="1"/>
  <c r="C4031" i="1"/>
  <c r="C4030" i="1"/>
  <c r="C3942" i="1"/>
  <c r="C3941" i="1"/>
  <c r="C3940" i="1"/>
  <c r="C3939" i="1"/>
  <c r="C3885" i="1"/>
  <c r="C3870" i="1"/>
  <c r="C3869" i="1"/>
  <c r="C3822" i="1"/>
  <c r="C3821" i="1"/>
  <c r="C3820" i="1"/>
  <c r="C3819" i="1"/>
  <c r="C3804" i="1"/>
  <c r="C3778" i="1"/>
  <c r="C3777" i="1"/>
  <c r="C3776" i="1"/>
  <c r="C3698" i="1"/>
  <c r="C3697" i="1"/>
  <c r="C3696" i="1"/>
  <c r="C3695" i="1"/>
  <c r="C3689" i="1"/>
  <c r="C3676" i="1"/>
  <c r="C3675" i="1"/>
  <c r="C3674" i="1"/>
  <c r="C3622" i="1"/>
  <c r="C3621" i="1"/>
  <c r="C3620" i="1"/>
  <c r="C3619" i="1"/>
  <c r="C3618" i="1"/>
  <c r="C3617" i="1"/>
  <c r="C3616" i="1"/>
  <c r="C3615" i="1"/>
  <c r="C3614" i="1"/>
  <c r="C3543" i="1"/>
  <c r="C3542" i="1"/>
  <c r="C3541" i="1"/>
  <c r="C3540" i="1"/>
  <c r="C3539" i="1"/>
  <c r="C3538" i="1"/>
  <c r="C3537" i="1"/>
  <c r="C3536" i="1"/>
  <c r="C3535" i="1"/>
  <c r="C3534" i="1"/>
  <c r="C3533" i="1"/>
  <c r="C3532" i="1"/>
  <c r="C3531" i="1"/>
  <c r="C3480" i="1"/>
  <c r="C3451" i="1"/>
  <c r="C3450" i="1"/>
  <c r="C3416" i="1"/>
  <c r="C3377" i="1"/>
  <c r="C3376" i="1"/>
  <c r="C3375" i="1"/>
  <c r="C3374" i="1"/>
  <c r="C3334" i="1"/>
  <c r="C3310" i="1"/>
  <c r="C3216" i="1"/>
  <c r="C3215" i="1"/>
  <c r="C3214" i="1"/>
  <c r="C3213" i="1"/>
  <c r="C3212" i="1"/>
  <c r="C3211" i="1"/>
  <c r="C3210" i="1"/>
  <c r="C3209" i="1"/>
  <c r="C3208" i="1"/>
  <c r="C3207" i="1"/>
  <c r="C3206" i="1"/>
  <c r="C3205" i="1"/>
  <c r="C3204" i="1"/>
  <c r="C3203" i="1"/>
  <c r="C3202" i="1"/>
  <c r="C3201" i="1"/>
  <c r="C3200" i="1"/>
  <c r="C3199" i="1"/>
  <c r="C3198" i="1"/>
  <c r="C3197" i="1"/>
  <c r="C3196" i="1"/>
  <c r="C3195" i="1"/>
  <c r="C3194" i="1"/>
  <c r="C2968" i="1"/>
  <c r="C2967" i="1"/>
  <c r="C2966" i="1"/>
  <c r="C2965" i="1"/>
  <c r="C2964" i="1"/>
  <c r="C2963" i="1"/>
  <c r="C2962" i="1"/>
  <c r="C2961" i="1"/>
  <c r="C2960" i="1"/>
  <c r="C2959" i="1"/>
  <c r="C2958" i="1"/>
  <c r="C2957" i="1"/>
  <c r="C2783" i="1"/>
  <c r="C2782" i="1"/>
  <c r="C2679" i="1"/>
  <c r="C2678" i="1"/>
  <c r="C2677" i="1"/>
  <c r="C2676" i="1"/>
  <c r="C2675" i="1"/>
  <c r="C2674" i="1"/>
  <c r="C2673" i="1"/>
  <c r="C2672" i="1"/>
  <c r="C2671" i="1"/>
  <c r="C2670" i="1"/>
  <c r="C2669" i="1"/>
  <c r="C2668" i="1"/>
  <c r="C2667" i="1"/>
  <c r="C2666" i="1"/>
  <c r="C2665" i="1"/>
  <c r="C2664" i="1"/>
  <c r="C2663" i="1"/>
  <c r="C2662" i="1"/>
  <c r="C2661" i="1"/>
  <c r="C2660" i="1"/>
  <c r="C2659" i="1"/>
  <c r="C2658" i="1"/>
  <c r="C2494" i="1"/>
  <c r="C2460" i="1"/>
  <c r="C2459" i="1"/>
  <c r="C2408" i="1"/>
  <c r="C2407" i="1"/>
  <c r="C2406" i="1"/>
  <c r="C2405" i="1"/>
  <c r="C2404" i="1"/>
  <c r="C2310" i="1"/>
  <c r="C2309" i="1"/>
  <c r="C2308" i="1"/>
  <c r="C2307" i="1"/>
  <c r="C2306" i="1"/>
  <c r="C2221" i="1"/>
  <c r="C2182" i="1"/>
  <c r="C2181" i="1"/>
  <c r="C2180" i="1"/>
  <c r="C2179" i="1"/>
  <c r="C2178" i="1"/>
  <c r="C2177" i="1"/>
  <c r="C2145" i="1"/>
  <c r="C2144" i="1"/>
  <c r="C2111" i="1"/>
  <c r="C2092" i="1"/>
  <c r="C2091" i="1"/>
  <c r="C2090" i="1"/>
  <c r="C2059" i="1"/>
  <c r="C2058" i="1"/>
  <c r="C2057" i="1"/>
  <c r="C2056" i="1"/>
  <c r="C2055" i="1"/>
  <c r="C2054" i="1"/>
  <c r="C2014" i="1"/>
  <c r="C2013" i="1"/>
  <c r="C1991" i="1"/>
  <c r="C1990" i="1"/>
  <c r="C1989" i="1"/>
  <c r="C1988" i="1"/>
  <c r="C1987" i="1"/>
  <c r="C1986" i="1"/>
  <c r="C1955" i="1"/>
  <c r="C1939" i="1"/>
  <c r="C1917" i="1"/>
  <c r="C1916" i="1"/>
  <c r="C1915" i="1"/>
  <c r="C1914" i="1"/>
  <c r="C1913" i="1"/>
  <c r="C1912" i="1"/>
  <c r="C1857" i="1"/>
  <c r="C1785" i="1"/>
  <c r="C1784" i="1"/>
  <c r="C1783" i="1"/>
  <c r="C1782" i="1"/>
  <c r="C1781" i="1"/>
  <c r="C1780" i="1"/>
  <c r="C1779" i="1"/>
  <c r="C1778" i="1"/>
  <c r="C1777" i="1"/>
  <c r="C1776" i="1"/>
  <c r="C1775" i="1"/>
  <c r="C1774" i="1"/>
  <c r="C1652" i="1"/>
  <c r="C1590" i="1"/>
  <c r="C1589" i="1"/>
  <c r="C1588" i="1"/>
  <c r="C1587" i="1"/>
  <c r="C1586" i="1"/>
  <c r="C1585" i="1"/>
  <c r="C1584" i="1"/>
  <c r="C1583" i="1"/>
  <c r="C1582" i="1"/>
  <c r="C1581" i="1"/>
  <c r="C1495" i="1"/>
  <c r="C1451" i="1"/>
  <c r="C1450" i="1"/>
  <c r="C1449" i="1"/>
  <c r="C1448" i="1"/>
  <c r="C1447" i="1"/>
  <c r="C1446" i="1"/>
  <c r="C1445" i="1"/>
  <c r="C1444" i="1"/>
  <c r="C1443" i="1"/>
  <c r="C1442" i="1"/>
  <c r="C1441" i="1"/>
  <c r="C1440" i="1"/>
  <c r="C1439" i="1"/>
  <c r="C1438" i="1"/>
  <c r="C1299" i="1"/>
  <c r="C1298" i="1"/>
  <c r="C1297" i="1"/>
  <c r="C1282" i="1"/>
  <c r="C1281" i="1"/>
  <c r="C1280" i="1"/>
  <c r="C1279" i="1"/>
  <c r="C1265" i="1"/>
  <c r="C1220" i="1"/>
  <c r="C1219" i="1"/>
  <c r="C1218" i="1"/>
  <c r="C1217" i="1"/>
  <c r="C1216" i="1"/>
  <c r="C1215" i="1"/>
  <c r="C1214" i="1"/>
  <c r="C1130" i="1"/>
  <c r="C1082" i="1"/>
  <c r="C1081" i="1"/>
  <c r="C1080" i="1"/>
  <c r="C1079" i="1"/>
  <c r="C1078" i="1"/>
  <c r="C1077" i="1"/>
  <c r="C1076" i="1"/>
  <c r="C1075" i="1"/>
  <c r="C1074" i="1"/>
  <c r="C1073" i="1"/>
  <c r="C1072" i="1"/>
  <c r="C1071" i="1"/>
  <c r="C1070" i="1"/>
  <c r="C1069" i="1"/>
  <c r="C1068" i="1"/>
  <c r="C1067" i="1"/>
  <c r="C1066" i="1"/>
  <c r="C1065" i="1"/>
  <c r="C1064" i="1"/>
  <c r="C1063" i="1"/>
  <c r="C928" i="1"/>
  <c r="C927" i="1"/>
  <c r="C926" i="1"/>
  <c r="C925" i="1"/>
  <c r="C879" i="1"/>
  <c r="C878" i="1"/>
  <c r="C877" i="1"/>
  <c r="C876" i="1"/>
  <c r="C875" i="1"/>
  <c r="C874" i="1"/>
  <c r="C775" i="1"/>
  <c r="C736" i="1"/>
  <c r="C552" i="1"/>
  <c r="C539" i="1"/>
  <c r="C511" i="1"/>
  <c r="C510" i="1"/>
  <c r="C509" i="1"/>
  <c r="C508" i="1"/>
  <c r="C463" i="1"/>
  <c r="C462" i="1"/>
  <c r="C461" i="1"/>
  <c r="C409" i="1"/>
  <c r="C405" i="1"/>
  <c r="C399" i="1"/>
  <c r="C370" i="1"/>
  <c r="C347" i="1"/>
  <c r="C346" i="1"/>
  <c r="C322" i="1"/>
  <c r="C286" i="1"/>
  <c r="C272" i="1"/>
  <c r="C253" i="1"/>
  <c r="C201" i="1"/>
  <c r="C179" i="1"/>
  <c r="C178" i="1"/>
  <c r="C177" i="1"/>
  <c r="C176" i="1"/>
  <c r="C175" i="1"/>
  <c r="C38" i="1"/>
  <c r="C30" i="1"/>
  <c r="C5427" i="1"/>
  <c r="C5426" i="1"/>
  <c r="C5391" i="1"/>
  <c r="C5390" i="1"/>
  <c r="C5389" i="1"/>
  <c r="C5388" i="1"/>
  <c r="C5357" i="1"/>
  <c r="C5356" i="1"/>
  <c r="C5355" i="1"/>
  <c r="C5354" i="1"/>
  <c r="C5353" i="1"/>
  <c r="C5352" i="1"/>
  <c r="C5351" i="1"/>
  <c r="C5350" i="1"/>
  <c r="C5349" i="1"/>
  <c r="C5348" i="1"/>
  <c r="C5347" i="1"/>
  <c r="C5346" i="1"/>
  <c r="C5336" i="1"/>
  <c r="C5335" i="1"/>
  <c r="C5334" i="1"/>
  <c r="C5333" i="1"/>
  <c r="C5332" i="1"/>
  <c r="C5331" i="1"/>
  <c r="C5330" i="1"/>
  <c r="C5329" i="1"/>
  <c r="C5328" i="1"/>
  <c r="C5327" i="1"/>
  <c r="C5326" i="1"/>
  <c r="C5309" i="1"/>
  <c r="C5308" i="1"/>
  <c r="C5307" i="1"/>
  <c r="C5306" i="1"/>
  <c r="C5305" i="1"/>
  <c r="C5304" i="1"/>
  <c r="C5303" i="1"/>
  <c r="C5302" i="1"/>
  <c r="C5301" i="1"/>
  <c r="C5300" i="1"/>
  <c r="C5286" i="1"/>
  <c r="C5280" i="1"/>
  <c r="C5279" i="1"/>
  <c r="C5278" i="1"/>
  <c r="C5277" i="1"/>
  <c r="C5276" i="1"/>
  <c r="C5275" i="1"/>
  <c r="C5274" i="1"/>
  <c r="C5268" i="1"/>
  <c r="C5267" i="1"/>
  <c r="C5266" i="1"/>
  <c r="C5265" i="1"/>
  <c r="C5264" i="1"/>
  <c r="C5263" i="1"/>
  <c r="C5262" i="1"/>
  <c r="C5261" i="1"/>
  <c r="C5260" i="1"/>
  <c r="C5259" i="1"/>
  <c r="C5258" i="1"/>
  <c r="C5257" i="1"/>
  <c r="C5256" i="1"/>
  <c r="C5255" i="1"/>
  <c r="C5254" i="1"/>
  <c r="C5253" i="1"/>
  <c r="C5252" i="1"/>
  <c r="C5251" i="1"/>
  <c r="C5250" i="1"/>
  <c r="C5249" i="1"/>
  <c r="C5248" i="1"/>
  <c r="C5247" i="1"/>
  <c r="C5229" i="1"/>
  <c r="C5228" i="1"/>
  <c r="C5227" i="1"/>
  <c r="C5226" i="1"/>
  <c r="C5225" i="1"/>
  <c r="C5224" i="1"/>
  <c r="C5212" i="1"/>
  <c r="C5211" i="1"/>
  <c r="C5210" i="1"/>
  <c r="C5209" i="1"/>
  <c r="C5208" i="1"/>
  <c r="C5189" i="1"/>
  <c r="C5188" i="1"/>
  <c r="C5187" i="1"/>
  <c r="C5186" i="1"/>
  <c r="C5185" i="1"/>
  <c r="C5175" i="1"/>
  <c r="C5157" i="1"/>
  <c r="C5156" i="1"/>
  <c r="C5155" i="1"/>
  <c r="C5154" i="1"/>
  <c r="C5153" i="1"/>
  <c r="C5090" i="1"/>
  <c r="C5089" i="1"/>
  <c r="C5088" i="1"/>
  <c r="C5087" i="1"/>
  <c r="C5086" i="1"/>
  <c r="C5085" i="1"/>
  <c r="C5084" i="1"/>
  <c r="C5049" i="1"/>
  <c r="C5048" i="1"/>
  <c r="C5047" i="1"/>
  <c r="C5035" i="1"/>
  <c r="C5034" i="1"/>
  <c r="C5033" i="1"/>
  <c r="C5032" i="1"/>
  <c r="C5023" i="1"/>
  <c r="C5022" i="1"/>
  <c r="C5019" i="1"/>
  <c r="C5016" i="1"/>
  <c r="C5015" i="1"/>
  <c r="C4998" i="1"/>
  <c r="C4997" i="1"/>
  <c r="C4979" i="1"/>
  <c r="C4978" i="1"/>
  <c r="C4977" i="1"/>
  <c r="C4938" i="1"/>
  <c r="C4937" i="1"/>
  <c r="C4936" i="1"/>
  <c r="C4935" i="1"/>
  <c r="C4869" i="1"/>
  <c r="C4868" i="1"/>
  <c r="C4867" i="1"/>
  <c r="C4866" i="1"/>
  <c r="C4865" i="1"/>
  <c r="C4864" i="1"/>
  <c r="C4811" i="1"/>
  <c r="C4748" i="1"/>
  <c r="C4747" i="1"/>
  <c r="C4746" i="1"/>
  <c r="C4745" i="1"/>
  <c r="C4744" i="1"/>
  <c r="C4743" i="1"/>
  <c r="C4742" i="1"/>
  <c r="C4741" i="1"/>
  <c r="C4740" i="1"/>
  <c r="C4739" i="1"/>
  <c r="C4738" i="1"/>
  <c r="C4737" i="1"/>
  <c r="C4736" i="1"/>
  <c r="C4628" i="1"/>
  <c r="C4627" i="1"/>
  <c r="C4626" i="1"/>
  <c r="C4625" i="1"/>
  <c r="C4624" i="1"/>
  <c r="C4623" i="1"/>
  <c r="C4622" i="1"/>
  <c r="C4621" i="1"/>
  <c r="C4620" i="1"/>
  <c r="C4619" i="1"/>
  <c r="C4618" i="1"/>
  <c r="C4547" i="1"/>
  <c r="C4546" i="1"/>
  <c r="C4545" i="1"/>
  <c r="C4544" i="1"/>
  <c r="C4543" i="1"/>
  <c r="C4542" i="1"/>
  <c r="C4541" i="1"/>
  <c r="C4540" i="1"/>
  <c r="C4539" i="1"/>
  <c r="C4538" i="1"/>
  <c r="C4537" i="1"/>
  <c r="C4536" i="1"/>
  <c r="C4468" i="1"/>
  <c r="C4467" i="1"/>
  <c r="C4447" i="1"/>
  <c r="C4396" i="1"/>
  <c r="C4395" i="1"/>
  <c r="C4394" i="1"/>
  <c r="C4393" i="1"/>
  <c r="C4326" i="1"/>
  <c r="C4325" i="1"/>
  <c r="C4289" i="1"/>
  <c r="C4288" i="1"/>
  <c r="C4287" i="1"/>
  <c r="C4286" i="1"/>
  <c r="C4285" i="1"/>
  <c r="C4284" i="1"/>
  <c r="C4283" i="1"/>
  <c r="C4234" i="1"/>
  <c r="C4233" i="1"/>
  <c r="C4232" i="1"/>
  <c r="C4231" i="1"/>
  <c r="C4230" i="1"/>
  <c r="C4229" i="1"/>
  <c r="C4228" i="1"/>
  <c r="C4227" i="1"/>
  <c r="C4226" i="1"/>
  <c r="C4114" i="1"/>
  <c r="C4113" i="1"/>
  <c r="C4112" i="1"/>
  <c r="C4111" i="1"/>
  <c r="C4110" i="1"/>
  <c r="C4109" i="1"/>
  <c r="C4108" i="1"/>
  <c r="C4107" i="1"/>
  <c r="C4106" i="1"/>
  <c r="C4105" i="1"/>
  <c r="C4029" i="1"/>
  <c r="C4028" i="1"/>
  <c r="C4027" i="1"/>
  <c r="C4026" i="1"/>
  <c r="C4025" i="1"/>
  <c r="C4024" i="1"/>
  <c r="C4023" i="1"/>
  <c r="C4022" i="1"/>
  <c r="C4021" i="1"/>
  <c r="C4020" i="1"/>
  <c r="C4019" i="1"/>
  <c r="C4018" i="1"/>
  <c r="C4017" i="1"/>
  <c r="C4016" i="1"/>
  <c r="C3938" i="1"/>
  <c r="C3937" i="1"/>
  <c r="C3936" i="1"/>
  <c r="C3935" i="1"/>
  <c r="C3934" i="1"/>
  <c r="C3933" i="1"/>
  <c r="C3932" i="1"/>
  <c r="C3884" i="1"/>
  <c r="C3868" i="1"/>
  <c r="C3867" i="1"/>
  <c r="C3866" i="1"/>
  <c r="C3865" i="1"/>
  <c r="C3864" i="1"/>
  <c r="C3863" i="1"/>
  <c r="C3862" i="1"/>
  <c r="C3861" i="1"/>
  <c r="C3860" i="1"/>
  <c r="C3818" i="1"/>
  <c r="C3817" i="1"/>
  <c r="C3816" i="1"/>
  <c r="C3775" i="1"/>
  <c r="C3774" i="1"/>
  <c r="C3773" i="1"/>
  <c r="C3772" i="1"/>
  <c r="C3771" i="1"/>
  <c r="C3770" i="1"/>
  <c r="C3769" i="1"/>
  <c r="C3768" i="1"/>
  <c r="C3694" i="1"/>
  <c r="C3673" i="1"/>
  <c r="C3613" i="1"/>
  <c r="C3612" i="1"/>
  <c r="C3611" i="1"/>
  <c r="C3610" i="1"/>
  <c r="C3609" i="1"/>
  <c r="C3608" i="1"/>
  <c r="C3530" i="1"/>
  <c r="C3529" i="1"/>
  <c r="C3528" i="1"/>
  <c r="C3527" i="1"/>
  <c r="C3526" i="1"/>
  <c r="C3525" i="1"/>
  <c r="C3524" i="1"/>
  <c r="C3523" i="1"/>
  <c r="C3479" i="1"/>
  <c r="C3478" i="1"/>
  <c r="C3477" i="1"/>
  <c r="C3476" i="1"/>
  <c r="C3475" i="1"/>
  <c r="C3465" i="1"/>
  <c r="C3464" i="1"/>
  <c r="C3449" i="1"/>
  <c r="C3448" i="1"/>
  <c r="C3447" i="1"/>
  <c r="C3446" i="1"/>
  <c r="C3445" i="1"/>
  <c r="C3444" i="1"/>
  <c r="C3415" i="1"/>
  <c r="C3414" i="1"/>
  <c r="C3413" i="1"/>
  <c r="C3412" i="1"/>
  <c r="C3411" i="1"/>
  <c r="C3373" i="1"/>
  <c r="C3372" i="1"/>
  <c r="C3371" i="1"/>
  <c r="C3370" i="1"/>
  <c r="C3369" i="1"/>
  <c r="C3368" i="1"/>
  <c r="C3367" i="1"/>
  <c r="C3366" i="1"/>
  <c r="C3365" i="1"/>
  <c r="C3327" i="1"/>
  <c r="C3309" i="1"/>
  <c r="C3308" i="1"/>
  <c r="C3307" i="1"/>
  <c r="C3306" i="1"/>
  <c r="C3305" i="1"/>
  <c r="C3304" i="1"/>
  <c r="C3193" i="1"/>
  <c r="C3192" i="1"/>
  <c r="C3191" i="1"/>
  <c r="C3190" i="1"/>
  <c r="C3189" i="1"/>
  <c r="C3188" i="1"/>
  <c r="C3187" i="1"/>
  <c r="C3186" i="1"/>
  <c r="C3185" i="1"/>
  <c r="C3184" i="1"/>
  <c r="C3183" i="1"/>
  <c r="C3182" i="1"/>
  <c r="C3181" i="1"/>
  <c r="C3180" i="1"/>
  <c r="C3179" i="1"/>
  <c r="C3178" i="1"/>
  <c r="C3177" i="1"/>
  <c r="C3054" i="1"/>
  <c r="C3053" i="1"/>
  <c r="C3052" i="1"/>
  <c r="C3051" i="1"/>
  <c r="C2956" i="1"/>
  <c r="C2955" i="1"/>
  <c r="C2954" i="1"/>
  <c r="C2953" i="1"/>
  <c r="C2952" i="1"/>
  <c r="C2951" i="1"/>
  <c r="C2950" i="1"/>
  <c r="C2949" i="1"/>
  <c r="C2948" i="1"/>
  <c r="C2947" i="1"/>
  <c r="C2946" i="1"/>
  <c r="C2945" i="1"/>
  <c r="C2944" i="1"/>
  <c r="C2943" i="1"/>
  <c r="C2942" i="1"/>
  <c r="C2941" i="1"/>
  <c r="C2940" i="1"/>
  <c r="C2939" i="1"/>
  <c r="C2781" i="1"/>
  <c r="C2657" i="1"/>
  <c r="C2656" i="1"/>
  <c r="C2655" i="1"/>
  <c r="C2654" i="1"/>
  <c r="C2653" i="1"/>
  <c r="C2652" i="1"/>
  <c r="C2651" i="1"/>
  <c r="C2650" i="1"/>
  <c r="C2649" i="1"/>
  <c r="C2648" i="1"/>
  <c r="C2647" i="1"/>
  <c r="C2646" i="1"/>
  <c r="C2645" i="1"/>
  <c r="C2644" i="1"/>
  <c r="C2643" i="1"/>
  <c r="C2642" i="1"/>
  <c r="C2641" i="1"/>
  <c r="C2640" i="1"/>
  <c r="C2639" i="1"/>
  <c r="C2638" i="1"/>
  <c r="C2637" i="1"/>
  <c r="C2636" i="1"/>
  <c r="C2635" i="1"/>
  <c r="C2634" i="1"/>
  <c r="C2633" i="1"/>
  <c r="C2493" i="1"/>
  <c r="C2485" i="1"/>
  <c r="C2458" i="1"/>
  <c r="C2457" i="1"/>
  <c r="C2456" i="1"/>
  <c r="C2403" i="1"/>
  <c r="C2402" i="1"/>
  <c r="C2401" i="1"/>
  <c r="C2400" i="1"/>
  <c r="C2399" i="1"/>
  <c r="C2398" i="1"/>
  <c r="C2397" i="1"/>
  <c r="C2396" i="1"/>
  <c r="C2343" i="1"/>
  <c r="C2342" i="1"/>
  <c r="C2305" i="1"/>
  <c r="C2304" i="1"/>
  <c r="C2303" i="1"/>
  <c r="C2302" i="1"/>
  <c r="C2301" i="1"/>
  <c r="C2300" i="1"/>
  <c r="C2299" i="1"/>
  <c r="C2298" i="1"/>
  <c r="C2297" i="1"/>
  <c r="C2260" i="1"/>
  <c r="C2259" i="1"/>
  <c r="C2258" i="1"/>
  <c r="C2220" i="1"/>
  <c r="C2219" i="1"/>
  <c r="C2218" i="1"/>
  <c r="C2176" i="1"/>
  <c r="C2175" i="1"/>
  <c r="C2151" i="1"/>
  <c r="C2143" i="1"/>
  <c r="C2142" i="1"/>
  <c r="C2132" i="1"/>
  <c r="C2125" i="1"/>
  <c r="C2124" i="1"/>
  <c r="C2110" i="1"/>
  <c r="C2109" i="1"/>
  <c r="C2089" i="1"/>
  <c r="C2088" i="1"/>
  <c r="C2053" i="1"/>
  <c r="C2052" i="1"/>
  <c r="C2012" i="1"/>
  <c r="C1954" i="1"/>
  <c r="C1953" i="1"/>
  <c r="C1952" i="1"/>
  <c r="C1938" i="1"/>
  <c r="C1937" i="1"/>
  <c r="C1936" i="1"/>
  <c r="C1935" i="1"/>
  <c r="C1911" i="1"/>
  <c r="C1910" i="1"/>
  <c r="C1909" i="1"/>
  <c r="C1908" i="1"/>
  <c r="C1907" i="1"/>
  <c r="C1906" i="1"/>
  <c r="C1905" i="1"/>
  <c r="C1856" i="1"/>
  <c r="C1855" i="1"/>
  <c r="C1854" i="1"/>
  <c r="C1773" i="1"/>
  <c r="C1772" i="1"/>
  <c r="C1771" i="1"/>
  <c r="C1770" i="1"/>
  <c r="C1769" i="1"/>
  <c r="C1768" i="1"/>
  <c r="C1767" i="1"/>
  <c r="C1766" i="1"/>
  <c r="C1765" i="1"/>
  <c r="C1764" i="1"/>
  <c r="C1763" i="1"/>
  <c r="C1762" i="1"/>
  <c r="C1761" i="1"/>
  <c r="C1760" i="1"/>
  <c r="C1759" i="1"/>
  <c r="C1758" i="1"/>
  <c r="C1757" i="1"/>
  <c r="C1756" i="1"/>
  <c r="C1755" i="1"/>
  <c r="C1677" i="1"/>
  <c r="C1676" i="1"/>
  <c r="C1651" i="1"/>
  <c r="C1580" i="1"/>
  <c r="C1579" i="1"/>
  <c r="C1578" i="1"/>
  <c r="C1577" i="1"/>
  <c r="C1576" i="1"/>
  <c r="C1575" i="1"/>
  <c r="C1574" i="1"/>
  <c r="C1573" i="1"/>
  <c r="C1572" i="1"/>
  <c r="C1571" i="1"/>
  <c r="C1570" i="1"/>
  <c r="C1569" i="1"/>
  <c r="C1437" i="1"/>
  <c r="C1436" i="1"/>
  <c r="C1435" i="1"/>
  <c r="C1434" i="1"/>
  <c r="C1433" i="1"/>
  <c r="C1432" i="1"/>
  <c r="C1431" i="1"/>
  <c r="C1430" i="1"/>
  <c r="C1429" i="1"/>
  <c r="C1428" i="1"/>
  <c r="C1427" i="1"/>
  <c r="C1426" i="1"/>
  <c r="C1425" i="1"/>
  <c r="C1424" i="1"/>
  <c r="C1423" i="1"/>
  <c r="C1422" i="1"/>
  <c r="C1296" i="1"/>
  <c r="C1295" i="1"/>
  <c r="C1294" i="1"/>
  <c r="C1278" i="1"/>
  <c r="C1213" i="1"/>
  <c r="C1212" i="1"/>
  <c r="C1211" i="1"/>
  <c r="C1210" i="1"/>
  <c r="C1209" i="1"/>
  <c r="C1208" i="1"/>
  <c r="C1207" i="1"/>
  <c r="C1206" i="1"/>
  <c r="C1205" i="1"/>
  <c r="C1204" i="1"/>
  <c r="C1203" i="1"/>
  <c r="C1202" i="1"/>
  <c r="C1201" i="1"/>
  <c r="C1200" i="1"/>
  <c r="C1199" i="1"/>
  <c r="C1198" i="1"/>
  <c r="C1197" i="1"/>
  <c r="C1196" i="1"/>
  <c r="C1195" i="1"/>
  <c r="C1194" i="1"/>
  <c r="C1193" i="1"/>
  <c r="C1192" i="1"/>
  <c r="C1062" i="1"/>
  <c r="C1061" i="1"/>
  <c r="C1060" i="1"/>
  <c r="C1059" i="1"/>
  <c r="C1058" i="1"/>
  <c r="C1057" i="1"/>
  <c r="C1056" i="1"/>
  <c r="C1055" i="1"/>
  <c r="C1054" i="1"/>
  <c r="C1053" i="1"/>
  <c r="C1052" i="1"/>
  <c r="C1051" i="1"/>
  <c r="C1050" i="1"/>
  <c r="C1049" i="1"/>
  <c r="C1048" i="1"/>
  <c r="C1047" i="1"/>
  <c r="C1046" i="1"/>
  <c r="C1045" i="1"/>
  <c r="C1044" i="1"/>
  <c r="C1043" i="1"/>
  <c r="C1042" i="1"/>
  <c r="C1041" i="1"/>
  <c r="C924" i="1"/>
  <c r="C923" i="1"/>
  <c r="C922" i="1"/>
  <c r="C921" i="1"/>
  <c r="C920" i="1"/>
  <c r="C897" i="1"/>
  <c r="C896" i="1"/>
  <c r="C890" i="1"/>
  <c r="C873" i="1"/>
  <c r="C872" i="1"/>
  <c r="C871" i="1"/>
  <c r="C860" i="1"/>
  <c r="C857" i="1"/>
  <c r="C853" i="1"/>
  <c r="C851" i="1"/>
  <c r="C850" i="1"/>
  <c r="C849" i="1"/>
  <c r="C848" i="1"/>
  <c r="C844" i="1"/>
  <c r="C842" i="1"/>
  <c r="C839" i="1"/>
  <c r="C838" i="1"/>
  <c r="C837" i="1"/>
  <c r="C836" i="1"/>
  <c r="C835" i="1"/>
  <c r="C834" i="1"/>
  <c r="C833" i="1"/>
  <c r="C832" i="1"/>
  <c r="C831" i="1"/>
  <c r="C813" i="1"/>
  <c r="C810" i="1"/>
  <c r="C809" i="1"/>
  <c r="C805" i="1"/>
  <c r="C800" i="1"/>
  <c r="C799" i="1"/>
  <c r="C798" i="1"/>
  <c r="C797" i="1"/>
  <c r="C796" i="1"/>
  <c r="C795" i="1"/>
  <c r="C786" i="1"/>
  <c r="C777" i="1"/>
  <c r="C770" i="1"/>
  <c r="C764" i="1"/>
  <c r="C754" i="1"/>
  <c r="C753" i="1"/>
  <c r="C749" i="1"/>
  <c r="C748" i="1"/>
  <c r="C747" i="1"/>
  <c r="C742" i="1"/>
  <c r="C735" i="1"/>
  <c r="C734" i="1"/>
  <c r="C733" i="1"/>
  <c r="C721" i="1"/>
  <c r="C720" i="1"/>
  <c r="C719" i="1"/>
  <c r="C716" i="1"/>
  <c r="C715" i="1"/>
  <c r="C707" i="1"/>
  <c r="C706" i="1"/>
  <c r="C705" i="1"/>
  <c r="C704" i="1"/>
  <c r="C703" i="1"/>
  <c r="C702" i="1"/>
  <c r="C701" i="1"/>
  <c r="C700" i="1"/>
  <c r="C699" i="1"/>
  <c r="C698" i="1"/>
  <c r="C697" i="1"/>
  <c r="C696" i="1"/>
  <c r="C695" i="1"/>
  <c r="C694" i="1"/>
  <c r="C693" i="1"/>
  <c r="C692" i="1"/>
  <c r="C691" i="1"/>
  <c r="C690" i="1"/>
  <c r="C689" i="1"/>
  <c r="C688" i="1"/>
  <c r="C687" i="1"/>
  <c r="C686" i="1"/>
  <c r="C685" i="1"/>
  <c r="C684" i="1"/>
  <c r="C683" i="1"/>
  <c r="C682" i="1"/>
  <c r="C681" i="1"/>
  <c r="C680" i="1"/>
  <c r="C679" i="1"/>
  <c r="C678" i="1"/>
  <c r="C677" i="1"/>
  <c r="C676" i="1"/>
  <c r="C675" i="1"/>
  <c r="C674" i="1"/>
  <c r="C673" i="1"/>
  <c r="C672" i="1"/>
  <c r="C671" i="1"/>
  <c r="C670" i="1"/>
  <c r="C669" i="1"/>
  <c r="C668" i="1"/>
  <c r="C667" i="1"/>
  <c r="C666" i="1"/>
  <c r="C665" i="1"/>
  <c r="C664" i="1"/>
  <c r="C663" i="1"/>
  <c r="C662" i="1"/>
  <c r="C661" i="1"/>
  <c r="C660" i="1"/>
  <c r="C659" i="1"/>
  <c r="C658" i="1"/>
  <c r="C657" i="1"/>
  <c r="C656" i="1"/>
  <c r="C655" i="1"/>
  <c r="C654" i="1"/>
  <c r="C653" i="1"/>
  <c r="C652" i="1"/>
  <c r="C651" i="1"/>
  <c r="C650" i="1"/>
  <c r="C649" i="1"/>
  <c r="C648" i="1"/>
  <c r="C647" i="1"/>
  <c r="C646" i="1"/>
  <c r="C645" i="1"/>
  <c r="C644" i="1"/>
  <c r="C643" i="1"/>
  <c r="C567" i="1"/>
  <c r="C566" i="1"/>
  <c r="C565" i="1"/>
  <c r="C564" i="1"/>
  <c r="C551" i="1"/>
  <c r="C550" i="1"/>
  <c r="C549" i="1"/>
  <c r="C532" i="1"/>
  <c r="C531" i="1"/>
  <c r="C507" i="1"/>
  <c r="C506" i="1"/>
  <c r="C505" i="1"/>
  <c r="C460" i="1"/>
  <c r="C459" i="1"/>
  <c r="C458" i="1"/>
  <c r="C457" i="1"/>
  <c r="C456" i="1"/>
  <c r="C398" i="1"/>
  <c r="C397" i="1"/>
  <c r="C369" i="1"/>
  <c r="C368" i="1"/>
  <c r="C345" i="1"/>
  <c r="C344" i="1"/>
  <c r="C343" i="1"/>
  <c r="C342" i="1"/>
  <c r="C341" i="1"/>
  <c r="C340" i="1"/>
  <c r="C321" i="1"/>
  <c r="C314" i="1"/>
  <c r="C302" i="1"/>
  <c r="C301" i="1"/>
  <c r="C300" i="1"/>
  <c r="C299" i="1"/>
  <c r="C271" i="1"/>
  <c r="C270" i="1"/>
  <c r="C269" i="1"/>
  <c r="C268" i="1"/>
  <c r="C259" i="1"/>
  <c r="C252" i="1"/>
  <c r="C251" i="1"/>
  <c r="C246" i="1"/>
  <c r="C245" i="1"/>
  <c r="C244" i="1"/>
  <c r="C243" i="1"/>
  <c r="C216" i="1"/>
  <c r="C200" i="1"/>
  <c r="C199" i="1"/>
  <c r="C154" i="1"/>
  <c r="C138" i="1"/>
  <c r="C137" i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15" i="1"/>
  <c r="C106" i="1"/>
  <c r="C98" i="1"/>
  <c r="C97" i="1"/>
  <c r="C96" i="1"/>
  <c r="C90" i="1"/>
  <c r="C88" i="1"/>
  <c r="C87" i="1"/>
  <c r="C85" i="1"/>
  <c r="C84" i="1"/>
  <c r="C83" i="1"/>
  <c r="C82" i="1"/>
  <c r="C81" i="1"/>
  <c r="C52" i="1"/>
  <c r="C51" i="1"/>
  <c r="C26" i="1"/>
  <c r="C25" i="1"/>
  <c r="C12" i="1"/>
  <c r="C9" i="1"/>
  <c r="C6" i="1"/>
  <c r="C5" i="1"/>
  <c r="C3" i="1"/>
  <c r="C2" i="1"/>
  <c r="C5387" i="1"/>
  <c r="C5386" i="1"/>
  <c r="C5385" i="1"/>
  <c r="C5384" i="1"/>
  <c r="C5383" i="1"/>
  <c r="C5382" i="1"/>
  <c r="C5174" i="1"/>
  <c r="C5173" i="1"/>
  <c r="C5152" i="1"/>
  <c r="C5151" i="1"/>
  <c r="C5150" i="1"/>
  <c r="C5149" i="1"/>
  <c r="C5148" i="1"/>
  <c r="C5083" i="1"/>
  <c r="C5082" i="1"/>
  <c r="C5081" i="1"/>
  <c r="C5080" i="1"/>
  <c r="C5079" i="1"/>
  <c r="C5078" i="1"/>
  <c r="C5077" i="1"/>
  <c r="C5076" i="1"/>
  <c r="C5075" i="1"/>
  <c r="C5074" i="1"/>
  <c r="C5031" i="1"/>
  <c r="C4996" i="1"/>
  <c r="C4995" i="1"/>
  <c r="C4994" i="1"/>
  <c r="C4976" i="1"/>
  <c r="C4975" i="1"/>
  <c r="C4934" i="1"/>
  <c r="C4933" i="1"/>
  <c r="C4932" i="1"/>
  <c r="C4931" i="1"/>
  <c r="C4930" i="1"/>
  <c r="C4863" i="1"/>
  <c r="C4862" i="1"/>
  <c r="C4861" i="1"/>
  <c r="C4860" i="1"/>
  <c r="C4859" i="1"/>
  <c r="C4810" i="1"/>
  <c r="C4735" i="1"/>
  <c r="C4734" i="1"/>
  <c r="C4733" i="1"/>
  <c r="C4732" i="1"/>
  <c r="C4731" i="1"/>
  <c r="C4730" i="1"/>
  <c r="C4729" i="1"/>
  <c r="C4728" i="1"/>
  <c r="C4727" i="1"/>
  <c r="C4726" i="1"/>
  <c r="C4725" i="1"/>
  <c r="C4724" i="1"/>
  <c r="C4723" i="1"/>
  <c r="C4722" i="1"/>
  <c r="C4721" i="1"/>
  <c r="C4720" i="1"/>
  <c r="C4719" i="1"/>
  <c r="C4718" i="1"/>
  <c r="C4717" i="1"/>
  <c r="C4716" i="1"/>
  <c r="C4617" i="1"/>
  <c r="C4616" i="1"/>
  <c r="C4615" i="1"/>
  <c r="C4614" i="1"/>
  <c r="C4613" i="1"/>
  <c r="C4612" i="1"/>
  <c r="C4611" i="1"/>
  <c r="C4610" i="1"/>
  <c r="C4609" i="1"/>
  <c r="C4608" i="1"/>
  <c r="C4607" i="1"/>
  <c r="C4606" i="1"/>
  <c r="C4535" i="1"/>
  <c r="C4534" i="1"/>
  <c r="C4533" i="1"/>
  <c r="C4532" i="1"/>
  <c r="C4531" i="1"/>
  <c r="C4530" i="1"/>
  <c r="C4529" i="1"/>
  <c r="C4528" i="1"/>
  <c r="C4466" i="1"/>
  <c r="C4465" i="1"/>
  <c r="C4464" i="1"/>
  <c r="C4446" i="1"/>
  <c r="C4445" i="1"/>
  <c r="C4444" i="1"/>
  <c r="C4443" i="1"/>
  <c r="C4442" i="1"/>
  <c r="C4441" i="1"/>
  <c r="C4392" i="1"/>
  <c r="C4391" i="1"/>
  <c r="C4390" i="1"/>
  <c r="C4389" i="1"/>
  <c r="C4388" i="1"/>
  <c r="C4387" i="1"/>
  <c r="C4386" i="1"/>
  <c r="C4385" i="1"/>
  <c r="C4384" i="1"/>
  <c r="C4383" i="1"/>
  <c r="C4382" i="1"/>
  <c r="C4381" i="1"/>
  <c r="C4380" i="1"/>
  <c r="C4282" i="1"/>
  <c r="C4281" i="1"/>
  <c r="C4225" i="1"/>
  <c r="C4224" i="1"/>
  <c r="C4223" i="1"/>
  <c r="C4222" i="1"/>
  <c r="C4221" i="1"/>
  <c r="C4220" i="1"/>
  <c r="C4219" i="1"/>
  <c r="C4218" i="1"/>
  <c r="C4217" i="1"/>
  <c r="C4216" i="1"/>
  <c r="C4215" i="1"/>
  <c r="C4214" i="1"/>
  <c r="C4104" i="1"/>
  <c r="C4103" i="1"/>
  <c r="C4102" i="1"/>
  <c r="C4101" i="1"/>
  <c r="C4100" i="1"/>
  <c r="C4099" i="1"/>
  <c r="C4098" i="1"/>
  <c r="C4097" i="1"/>
  <c r="C4096" i="1"/>
  <c r="C4095" i="1"/>
  <c r="C4094" i="1"/>
  <c r="C4093" i="1"/>
  <c r="C4015" i="1"/>
  <c r="C4014" i="1"/>
  <c r="C4013" i="1"/>
  <c r="C4012" i="1"/>
  <c r="C4011" i="1"/>
  <c r="C4010" i="1"/>
  <c r="C4009" i="1"/>
  <c r="C4008" i="1"/>
  <c r="C3931" i="1"/>
  <c r="C3930" i="1"/>
  <c r="C3929" i="1"/>
  <c r="C3928" i="1"/>
  <c r="C3927" i="1"/>
  <c r="C3926" i="1"/>
  <c r="C3925" i="1"/>
  <c r="C3924" i="1"/>
  <c r="C3923" i="1"/>
  <c r="C3859" i="1"/>
  <c r="C3858" i="1"/>
  <c r="C3857" i="1"/>
  <c r="C3856" i="1"/>
  <c r="C3855" i="1"/>
  <c r="C3854" i="1"/>
  <c r="C3815" i="1"/>
  <c r="C3814" i="1"/>
  <c r="C3803" i="1"/>
  <c r="C3767" i="1"/>
  <c r="C3766" i="1"/>
  <c r="C3765" i="1"/>
  <c r="C3764" i="1"/>
  <c r="C3763" i="1"/>
  <c r="C3762" i="1"/>
  <c r="C3761" i="1"/>
  <c r="C3760" i="1"/>
  <c r="C3759" i="1"/>
  <c r="C3758" i="1"/>
  <c r="C3757" i="1"/>
  <c r="C3756" i="1"/>
  <c r="C3712" i="1"/>
  <c r="C3708" i="1"/>
  <c r="C3693" i="1"/>
  <c r="C3672" i="1"/>
  <c r="C3671" i="1"/>
  <c r="C3670" i="1"/>
  <c r="C3607" i="1"/>
  <c r="C3606" i="1"/>
  <c r="C3605" i="1"/>
  <c r="C3604" i="1"/>
  <c r="C3603" i="1"/>
  <c r="C3602" i="1"/>
  <c r="C3601" i="1"/>
  <c r="C3600" i="1"/>
  <c r="C3599" i="1"/>
  <c r="C3598" i="1"/>
  <c r="C3597" i="1"/>
  <c r="C3596" i="1"/>
  <c r="C3595" i="1"/>
  <c r="C3594" i="1"/>
  <c r="C3593" i="1"/>
  <c r="C3522" i="1"/>
  <c r="C3521" i="1"/>
  <c r="C3520" i="1"/>
  <c r="C3519" i="1"/>
  <c r="C3518" i="1"/>
  <c r="C3474" i="1"/>
  <c r="C3473" i="1"/>
  <c r="C3463" i="1"/>
  <c r="C3443" i="1"/>
  <c r="C3442" i="1"/>
  <c r="C3410" i="1"/>
  <c r="C3409" i="1"/>
  <c r="C3408" i="1"/>
  <c r="C3364" i="1"/>
  <c r="C3363" i="1"/>
  <c r="C3362" i="1"/>
  <c r="C3361" i="1"/>
  <c r="C3360" i="1"/>
  <c r="C3359" i="1"/>
  <c r="C3358" i="1"/>
  <c r="C3303" i="1"/>
  <c r="C3302" i="1"/>
  <c r="C3301" i="1"/>
  <c r="C3300" i="1"/>
  <c r="C3299" i="1"/>
  <c r="C3176" i="1"/>
  <c r="C3175" i="1"/>
  <c r="C3174" i="1"/>
  <c r="C3173" i="1"/>
  <c r="C3172" i="1"/>
  <c r="C3171" i="1"/>
  <c r="C3170" i="1"/>
  <c r="C3169" i="1"/>
  <c r="C3168" i="1"/>
  <c r="C3167" i="1"/>
  <c r="C3166" i="1"/>
  <c r="C3165" i="1"/>
  <c r="C3164" i="1"/>
  <c r="C3163" i="1"/>
  <c r="C3162" i="1"/>
  <c r="C3161" i="1"/>
  <c r="C3050" i="1"/>
  <c r="C2938" i="1"/>
  <c r="C2937" i="1"/>
  <c r="C2936" i="1"/>
  <c r="C2935" i="1"/>
  <c r="C2934" i="1"/>
  <c r="C2933" i="1"/>
  <c r="C2932" i="1"/>
  <c r="C2931" i="1"/>
  <c r="C2930" i="1"/>
  <c r="C2929" i="1"/>
  <c r="C2928" i="1"/>
  <c r="C2927" i="1"/>
  <c r="C2926" i="1"/>
  <c r="C2925" i="1"/>
  <c r="C2924" i="1"/>
  <c r="C2923" i="1"/>
  <c r="C2922" i="1"/>
  <c r="C2921" i="1"/>
  <c r="C2920" i="1"/>
  <c r="C2919" i="1"/>
  <c r="C2918" i="1"/>
  <c r="C2917" i="1"/>
  <c r="C2916" i="1"/>
  <c r="C2915" i="1"/>
  <c r="C2914" i="1"/>
  <c r="C2913" i="1"/>
  <c r="C2912" i="1"/>
  <c r="C2911" i="1"/>
  <c r="C2910" i="1"/>
  <c r="C2909" i="1"/>
  <c r="C2908" i="1"/>
  <c r="C2780" i="1"/>
  <c r="C2779" i="1"/>
  <c r="C2778" i="1"/>
  <c r="C2632" i="1"/>
  <c r="C2631" i="1"/>
  <c r="C2630" i="1"/>
  <c r="C2629" i="1"/>
  <c r="C2628" i="1"/>
  <c r="C2627" i="1"/>
  <c r="C2626" i="1"/>
  <c r="C2625" i="1"/>
  <c r="C2624" i="1"/>
  <c r="C2623" i="1"/>
  <c r="C2622" i="1"/>
  <c r="C2621" i="1"/>
  <c r="C2620" i="1"/>
  <c r="C2619" i="1"/>
  <c r="C2618" i="1"/>
  <c r="C2617" i="1"/>
  <c r="C2616" i="1"/>
  <c r="C2615" i="1"/>
  <c r="C2614" i="1"/>
  <c r="C2613" i="1"/>
  <c r="C2612" i="1"/>
  <c r="C2611" i="1"/>
  <c r="C2610" i="1"/>
  <c r="C2609" i="1"/>
  <c r="C2608" i="1"/>
  <c r="C2492" i="1"/>
  <c r="C2484" i="1"/>
  <c r="C2483" i="1"/>
  <c r="C2455" i="1"/>
  <c r="C2454" i="1"/>
  <c r="C2453" i="1"/>
  <c r="C2452" i="1"/>
  <c r="C2451" i="1"/>
  <c r="C2395" i="1"/>
  <c r="C2394" i="1"/>
  <c r="C2393" i="1"/>
  <c r="C2392" i="1"/>
  <c r="C2391" i="1"/>
  <c r="C2390" i="1"/>
  <c r="C2389" i="1"/>
  <c r="C2341" i="1"/>
  <c r="C2296" i="1"/>
  <c r="C2295" i="1"/>
  <c r="C2294" i="1"/>
  <c r="C2293" i="1"/>
  <c r="C2257" i="1"/>
  <c r="C2217" i="1"/>
  <c r="C2216" i="1"/>
  <c r="C2215" i="1"/>
  <c r="C2214" i="1"/>
  <c r="C2174" i="1"/>
  <c r="C2173" i="1"/>
  <c r="C2172" i="1"/>
  <c r="C2141" i="1"/>
  <c r="C2140" i="1"/>
  <c r="C2087" i="1"/>
  <c r="C2086" i="1"/>
  <c r="C2085" i="1"/>
  <c r="C2084" i="1"/>
  <c r="C2051" i="1"/>
  <c r="C2050" i="1"/>
  <c r="C2049" i="1"/>
  <c r="C2048" i="1"/>
  <c r="C2047" i="1"/>
  <c r="C2011" i="1"/>
  <c r="C2010" i="1"/>
  <c r="C2009" i="1"/>
  <c r="C2008" i="1"/>
  <c r="C1985" i="1"/>
  <c r="C1984" i="1"/>
  <c r="C1983" i="1"/>
  <c r="C1982" i="1"/>
  <c r="C1981" i="1"/>
  <c r="C1951" i="1"/>
  <c r="C1934" i="1"/>
  <c r="C1933" i="1"/>
  <c r="C1904" i="1"/>
  <c r="C1903" i="1"/>
  <c r="C1902" i="1"/>
  <c r="C1901" i="1"/>
  <c r="C1900" i="1"/>
  <c r="C1899" i="1"/>
  <c r="C1853" i="1"/>
  <c r="C1852" i="1"/>
  <c r="C1851" i="1"/>
  <c r="C1850" i="1"/>
  <c r="C1849" i="1"/>
  <c r="C1848" i="1"/>
  <c r="C1847" i="1"/>
  <c r="C1846" i="1"/>
  <c r="C1845" i="1"/>
  <c r="C1844" i="1"/>
  <c r="C1754" i="1"/>
  <c r="C1753" i="1"/>
  <c r="C1752" i="1"/>
  <c r="C1751" i="1"/>
  <c r="C1750" i="1"/>
  <c r="C1749" i="1"/>
  <c r="C1748" i="1"/>
  <c r="C1747" i="1"/>
  <c r="C1746" i="1"/>
  <c r="C1745" i="1"/>
  <c r="C1689" i="1"/>
  <c r="C1675" i="1"/>
  <c r="C1650" i="1"/>
  <c r="C1649" i="1"/>
  <c r="C1648" i="1"/>
  <c r="C1568" i="1"/>
  <c r="C1567" i="1"/>
  <c r="C1566" i="1"/>
  <c r="C1565" i="1"/>
  <c r="C1564" i="1"/>
  <c r="C1563" i="1"/>
  <c r="C1562" i="1"/>
  <c r="C1561" i="1"/>
  <c r="C1560" i="1"/>
  <c r="C1559" i="1"/>
  <c r="C1558" i="1"/>
  <c r="C1557" i="1"/>
  <c r="C1556" i="1"/>
  <c r="C1555" i="1"/>
  <c r="C1554" i="1"/>
  <c r="C1421" i="1"/>
  <c r="C1420" i="1"/>
  <c r="C1419" i="1"/>
  <c r="C1418" i="1"/>
  <c r="C1417" i="1"/>
  <c r="C1416" i="1"/>
  <c r="C1415" i="1"/>
  <c r="C1414" i="1"/>
  <c r="C1413" i="1"/>
  <c r="C1412" i="1"/>
  <c r="C1411" i="1"/>
  <c r="C1410" i="1"/>
  <c r="C1409" i="1"/>
  <c r="C1408" i="1"/>
  <c r="C1407" i="1"/>
  <c r="C1406" i="1"/>
  <c r="C1405" i="1"/>
  <c r="C1404" i="1"/>
  <c r="C1403" i="1"/>
  <c r="C1293" i="1"/>
  <c r="C1277" i="1"/>
  <c r="C1276" i="1"/>
  <c r="C1275" i="1"/>
  <c r="C1264" i="1"/>
  <c r="C1191" i="1"/>
  <c r="C1190" i="1"/>
  <c r="C1189" i="1"/>
  <c r="C1188" i="1"/>
  <c r="C1187" i="1"/>
  <c r="C1186" i="1"/>
  <c r="C1185" i="1"/>
  <c r="C1184" i="1"/>
  <c r="C1183" i="1"/>
  <c r="C1182" i="1"/>
  <c r="C1181" i="1"/>
  <c r="C1180" i="1"/>
  <c r="C1179" i="1"/>
  <c r="C1178" i="1"/>
  <c r="C1177" i="1"/>
  <c r="C1176" i="1"/>
  <c r="C1175" i="1"/>
  <c r="C1040" i="1"/>
  <c r="C1039" i="1"/>
  <c r="C1038" i="1"/>
  <c r="C1037" i="1"/>
  <c r="C1036" i="1"/>
  <c r="C1035" i="1"/>
  <c r="C1034" i="1"/>
  <c r="C1033" i="1"/>
  <c r="C1032" i="1"/>
  <c r="C1031" i="1"/>
  <c r="C1030" i="1"/>
  <c r="C1029" i="1"/>
  <c r="C1028" i="1"/>
  <c r="C1027" i="1"/>
  <c r="C1026" i="1"/>
  <c r="C1025" i="1"/>
  <c r="C1024" i="1"/>
  <c r="C1023" i="1"/>
  <c r="C1022" i="1"/>
  <c r="C1021" i="1"/>
  <c r="C919" i="1"/>
  <c r="C918" i="1"/>
  <c r="C917" i="1"/>
  <c r="C780" i="1"/>
  <c r="C763" i="1"/>
  <c r="C732" i="1"/>
  <c r="C731" i="1"/>
  <c r="C730" i="1"/>
  <c r="C563" i="1"/>
  <c r="C548" i="1"/>
  <c r="C538" i="1"/>
  <c r="C530" i="1"/>
  <c r="C529" i="1"/>
  <c r="C504" i="1"/>
  <c r="C503" i="1"/>
  <c r="C502" i="1"/>
  <c r="C501" i="1"/>
  <c r="C500" i="1"/>
  <c r="C499" i="1"/>
  <c r="C455" i="1"/>
  <c r="C454" i="1"/>
  <c r="C453" i="1"/>
  <c r="C452" i="1"/>
  <c r="C451" i="1"/>
  <c r="C450" i="1"/>
  <c r="C413" i="1"/>
  <c r="C412" i="1"/>
  <c r="C380" i="1"/>
  <c r="C367" i="1"/>
  <c r="C366" i="1"/>
  <c r="C339" i="1"/>
  <c r="C320" i="1"/>
  <c r="C319" i="1"/>
  <c r="C298" i="1"/>
  <c r="C297" i="1"/>
  <c r="C285" i="1"/>
  <c r="C284" i="1"/>
  <c r="C283" i="1"/>
  <c r="C267" i="1"/>
  <c r="C229" i="1"/>
  <c r="C228" i="1"/>
  <c r="C227" i="1"/>
  <c r="C226" i="1"/>
  <c r="C215" i="1"/>
  <c r="C211" i="1"/>
  <c r="C174" i="1"/>
  <c r="C173" i="1"/>
  <c r="C172" i="1"/>
  <c r="C171" i="1"/>
  <c r="C170" i="1"/>
  <c r="C169" i="1"/>
  <c r="C168" i="1"/>
  <c r="C37" i="1"/>
  <c r="C24" i="1"/>
  <c r="C13" i="1"/>
  <c r="C8" i="1"/>
  <c r="C5424" i="1"/>
  <c r="C5381" i="1"/>
  <c r="C5380" i="1"/>
  <c r="C5379" i="1"/>
  <c r="C5378" i="1"/>
  <c r="C5377" i="1"/>
  <c r="C5376" i="1"/>
  <c r="C5311" i="1"/>
  <c r="C5147" i="1"/>
  <c r="C5146" i="1"/>
  <c r="C5145" i="1"/>
  <c r="C5144" i="1"/>
  <c r="C5143" i="1"/>
  <c r="C5073" i="1"/>
  <c r="C5072" i="1"/>
  <c r="C5071" i="1"/>
  <c r="C5070" i="1"/>
  <c r="C5069" i="1"/>
  <c r="C5027" i="1"/>
  <c r="C5025" i="1"/>
  <c r="C5007" i="1"/>
  <c r="C4993" i="1"/>
  <c r="C4974" i="1"/>
  <c r="C4973" i="1"/>
  <c r="C4972" i="1"/>
  <c r="C4971" i="1"/>
  <c r="C4929" i="1"/>
  <c r="C4928" i="1"/>
  <c r="C4858" i="1"/>
  <c r="C4857" i="1"/>
  <c r="C4856" i="1"/>
  <c r="C4855" i="1"/>
  <c r="C4854" i="1"/>
  <c r="C4853" i="1"/>
  <c r="C4852" i="1"/>
  <c r="C4715" i="1"/>
  <c r="C4714" i="1"/>
  <c r="C4713" i="1"/>
  <c r="C4712" i="1"/>
  <c r="C4711" i="1"/>
  <c r="C4710" i="1"/>
  <c r="C4709" i="1"/>
  <c r="C4708" i="1"/>
  <c r="C4707" i="1"/>
  <c r="C4706" i="1"/>
  <c r="C4705" i="1"/>
  <c r="C4704" i="1"/>
  <c r="C4703" i="1"/>
  <c r="C4702" i="1"/>
  <c r="C4701" i="1"/>
  <c r="C4700" i="1"/>
  <c r="C4699" i="1"/>
  <c r="C4605" i="1"/>
  <c r="C4604" i="1"/>
  <c r="C4603" i="1"/>
  <c r="C4602" i="1"/>
  <c r="C4601" i="1"/>
  <c r="C4527" i="1"/>
  <c r="C4526" i="1"/>
  <c r="C4525" i="1"/>
  <c r="C4524" i="1"/>
  <c r="C4523" i="1"/>
  <c r="C4522" i="1"/>
  <c r="C4521" i="1"/>
  <c r="C4520" i="1"/>
  <c r="C4440" i="1"/>
  <c r="C4439" i="1"/>
  <c r="C4379" i="1"/>
  <c r="C4378" i="1"/>
  <c r="C4377" i="1"/>
  <c r="C4376" i="1"/>
  <c r="C4375" i="1"/>
  <c r="C4374" i="1"/>
  <c r="C4373" i="1"/>
  <c r="C4372" i="1"/>
  <c r="C4371" i="1"/>
  <c r="C4370" i="1"/>
  <c r="C4369" i="1"/>
  <c r="C4368" i="1"/>
  <c r="C4324" i="1"/>
  <c r="C4280" i="1"/>
  <c r="C4279" i="1"/>
  <c r="C4278" i="1"/>
  <c r="C4277" i="1"/>
  <c r="C4276" i="1"/>
  <c r="C4275" i="1"/>
  <c r="C4213" i="1"/>
  <c r="C4212" i="1"/>
  <c r="C4211" i="1"/>
  <c r="C4210" i="1"/>
  <c r="C4209" i="1"/>
  <c r="C4092" i="1"/>
  <c r="C4091" i="1"/>
  <c r="C4090" i="1"/>
  <c r="C4089" i="1"/>
  <c r="C4088" i="1"/>
  <c r="C4087" i="1"/>
  <c r="C4086" i="1"/>
  <c r="C4085" i="1"/>
  <c r="C4084" i="1"/>
  <c r="C4083" i="1"/>
  <c r="C4082" i="1"/>
  <c r="C4081" i="1"/>
  <c r="C4080" i="1"/>
  <c r="C4079" i="1"/>
  <c r="C4078" i="1"/>
  <c r="C4007" i="1"/>
  <c r="C4006" i="1"/>
  <c r="C4005" i="1"/>
  <c r="C4004" i="1"/>
  <c r="C4003" i="1"/>
  <c r="C4002" i="1"/>
  <c r="C4001" i="1"/>
  <c r="C4000" i="1"/>
  <c r="C3999" i="1"/>
  <c r="C3998" i="1"/>
  <c r="C3922" i="1"/>
  <c r="C3921" i="1"/>
  <c r="C3920" i="1"/>
  <c r="C3919" i="1"/>
  <c r="C3918" i="1"/>
  <c r="C3917" i="1"/>
  <c r="C3916" i="1"/>
  <c r="C3853" i="1"/>
  <c r="C3813" i="1"/>
  <c r="C3812" i="1"/>
  <c r="C3802" i="1"/>
  <c r="C3801" i="1"/>
  <c r="C3755" i="1"/>
  <c r="C3754" i="1"/>
  <c r="C3753" i="1"/>
  <c r="C3752" i="1"/>
  <c r="C3751" i="1"/>
  <c r="C3750" i="1"/>
  <c r="C3749" i="1"/>
  <c r="C3748" i="1"/>
  <c r="C3688" i="1"/>
  <c r="C3592" i="1"/>
  <c r="C3591" i="1"/>
  <c r="C3590" i="1"/>
  <c r="C3589" i="1"/>
  <c r="C3588" i="1"/>
  <c r="C3587" i="1"/>
  <c r="C3517" i="1"/>
  <c r="C3516" i="1"/>
  <c r="C3515" i="1"/>
  <c r="C3514" i="1"/>
  <c r="C3513" i="1"/>
  <c r="C3512" i="1"/>
  <c r="C3511" i="1"/>
  <c r="C3510" i="1"/>
  <c r="C3472" i="1"/>
  <c r="C3441" i="1"/>
  <c r="C3440" i="1"/>
  <c r="C3439" i="1"/>
  <c r="C3438" i="1"/>
  <c r="C3437" i="1"/>
  <c r="C3436" i="1"/>
  <c r="C3435" i="1"/>
  <c r="C3407" i="1"/>
  <c r="C3406" i="1"/>
  <c r="C3405" i="1"/>
  <c r="C3404" i="1"/>
  <c r="C3357" i="1"/>
  <c r="C3356" i="1"/>
  <c r="C3355" i="1"/>
  <c r="C3354" i="1"/>
  <c r="C3353" i="1"/>
  <c r="C3333" i="1"/>
  <c r="C3298" i="1"/>
  <c r="C3297" i="1"/>
  <c r="C3296" i="1"/>
  <c r="C3295" i="1"/>
  <c r="C3294" i="1"/>
  <c r="C3293" i="1"/>
  <c r="C3160" i="1"/>
  <c r="C3159" i="1"/>
  <c r="C3158" i="1"/>
  <c r="C3157" i="1"/>
  <c r="C3156" i="1"/>
  <c r="C3155" i="1"/>
  <c r="C3154" i="1"/>
  <c r="C3153" i="1"/>
  <c r="C3152" i="1"/>
  <c r="C3151" i="1"/>
  <c r="C3150" i="1"/>
  <c r="C3149" i="1"/>
  <c r="C3148" i="1"/>
  <c r="C3147" i="1"/>
  <c r="C3146" i="1"/>
  <c r="C3145" i="1"/>
  <c r="C3144" i="1"/>
  <c r="C3143" i="1"/>
  <c r="C3049" i="1"/>
  <c r="C3048" i="1"/>
  <c r="C2907" i="1"/>
  <c r="C2906" i="1"/>
  <c r="C2905" i="1"/>
  <c r="C2904" i="1"/>
  <c r="C2903" i="1"/>
  <c r="C2902" i="1"/>
  <c r="C2901" i="1"/>
  <c r="C2900" i="1"/>
  <c r="C2899" i="1"/>
  <c r="C2898" i="1"/>
  <c r="C2897" i="1"/>
  <c r="C2896" i="1"/>
  <c r="C2895" i="1"/>
  <c r="C2894" i="1"/>
  <c r="C2893" i="1"/>
  <c r="C2892" i="1"/>
  <c r="C2891" i="1"/>
  <c r="C2890" i="1"/>
  <c r="C2889" i="1"/>
  <c r="C2888" i="1"/>
  <c r="C2887" i="1"/>
  <c r="C2886" i="1"/>
  <c r="C2885" i="1"/>
  <c r="C2884" i="1"/>
  <c r="C2777" i="1"/>
  <c r="C2776" i="1"/>
  <c r="C2775" i="1"/>
  <c r="C2774" i="1"/>
  <c r="C2773" i="1"/>
  <c r="C2772" i="1"/>
  <c r="C2771" i="1"/>
  <c r="C2607" i="1"/>
  <c r="C2606" i="1"/>
  <c r="C2605" i="1"/>
  <c r="C2604" i="1"/>
  <c r="C2603" i="1"/>
  <c r="C2602" i="1"/>
  <c r="C2601" i="1"/>
  <c r="C2600" i="1"/>
  <c r="C2482" i="1"/>
  <c r="C2481" i="1"/>
  <c r="C2450" i="1"/>
  <c r="C2388" i="1"/>
  <c r="C2387" i="1"/>
  <c r="C2386" i="1"/>
  <c r="C2385" i="1"/>
  <c r="C2384" i="1"/>
  <c r="C2383" i="1"/>
  <c r="C2382" i="1"/>
  <c r="C2381" i="1"/>
  <c r="C2380" i="1"/>
  <c r="C2379" i="1"/>
  <c r="C2378" i="1"/>
  <c r="C2292" i="1"/>
  <c r="C2291" i="1"/>
  <c r="C2290" i="1"/>
  <c r="C2256" i="1"/>
  <c r="C2255" i="1"/>
  <c r="C2254" i="1"/>
  <c r="C2239" i="1"/>
  <c r="C2213" i="1"/>
  <c r="C2212" i="1"/>
  <c r="C2211" i="1"/>
  <c r="C2171" i="1"/>
  <c r="C2170" i="1"/>
  <c r="C2169" i="1"/>
  <c r="C2168" i="1"/>
  <c r="C2139" i="1"/>
  <c r="C2123" i="1"/>
  <c r="C2108" i="1"/>
  <c r="C2083" i="1"/>
  <c r="C2082" i="1"/>
  <c r="C2081" i="1"/>
  <c r="C2080" i="1"/>
  <c r="C2046" i="1"/>
  <c r="C2045" i="1"/>
  <c r="C2044" i="1"/>
  <c r="C2043" i="1"/>
  <c r="C2007" i="1"/>
  <c r="C1980" i="1"/>
  <c r="C1979" i="1"/>
  <c r="C1978" i="1"/>
  <c r="C1977" i="1"/>
  <c r="C1950" i="1"/>
  <c r="C1932" i="1"/>
  <c r="C1931" i="1"/>
  <c r="C1930" i="1"/>
  <c r="C1898" i="1"/>
  <c r="C1897" i="1"/>
  <c r="C1896" i="1"/>
  <c r="C1895" i="1"/>
  <c r="C1894" i="1"/>
  <c r="C1893" i="1"/>
  <c r="C1892" i="1"/>
  <c r="C1891" i="1"/>
  <c r="C1843" i="1"/>
  <c r="C1842" i="1"/>
  <c r="C1841" i="1"/>
  <c r="C1840" i="1"/>
  <c r="C1744" i="1"/>
  <c r="C1743" i="1"/>
  <c r="C1742" i="1"/>
  <c r="C1741" i="1"/>
  <c r="C1740" i="1"/>
  <c r="C1739" i="1"/>
  <c r="C1738" i="1"/>
  <c r="C1737" i="1"/>
  <c r="C1736" i="1"/>
  <c r="C1674" i="1"/>
  <c r="C1673" i="1"/>
  <c r="C1672" i="1"/>
  <c r="C1671" i="1"/>
  <c r="C1670" i="1"/>
  <c r="C1669" i="1"/>
  <c r="C1662" i="1"/>
  <c r="C1647" i="1"/>
  <c r="C1646" i="1"/>
  <c r="C1645" i="1"/>
  <c r="C1553" i="1"/>
  <c r="C1552" i="1"/>
  <c r="C1551" i="1"/>
  <c r="C1550" i="1"/>
  <c r="C1549" i="1"/>
  <c r="C1548" i="1"/>
  <c r="C1547" i="1"/>
  <c r="C1546" i="1"/>
  <c r="C1545" i="1"/>
  <c r="C1544" i="1"/>
  <c r="C1543" i="1"/>
  <c r="C1402" i="1"/>
  <c r="C1401" i="1"/>
  <c r="C1400" i="1"/>
  <c r="C1399" i="1"/>
  <c r="C1398" i="1"/>
  <c r="C1397" i="1"/>
  <c r="C1396" i="1"/>
  <c r="C1395" i="1"/>
  <c r="C1394" i="1"/>
  <c r="C1393" i="1"/>
  <c r="C1392" i="1"/>
  <c r="C1391" i="1"/>
  <c r="C1390" i="1"/>
  <c r="C1389" i="1"/>
  <c r="C1388" i="1"/>
  <c r="C1387" i="1"/>
  <c r="C1386" i="1"/>
  <c r="C1385" i="1"/>
  <c r="C1384" i="1"/>
  <c r="C1383" i="1"/>
  <c r="C1263" i="1"/>
  <c r="C1174" i="1"/>
  <c r="C1173" i="1"/>
  <c r="C1172" i="1"/>
  <c r="C1129" i="1"/>
  <c r="C1020" i="1"/>
  <c r="C1019" i="1"/>
  <c r="C1018" i="1"/>
  <c r="C1017" i="1"/>
  <c r="C1016" i="1"/>
  <c r="C1015" i="1"/>
  <c r="C1014" i="1"/>
  <c r="C1013" i="1"/>
  <c r="C1012" i="1"/>
  <c r="C1011" i="1"/>
  <c r="C1010" i="1"/>
  <c r="C1009" i="1"/>
  <c r="C916" i="1"/>
  <c r="C915" i="1"/>
  <c r="C914" i="1"/>
  <c r="C913" i="1"/>
  <c r="C912" i="1"/>
  <c r="C845" i="1"/>
  <c r="C779" i="1"/>
  <c r="C774" i="1"/>
  <c r="C724" i="1"/>
  <c r="C547" i="1"/>
  <c r="C498" i="1"/>
  <c r="C497" i="1"/>
  <c r="C496" i="1"/>
  <c r="C495" i="1"/>
  <c r="C494" i="1"/>
  <c r="C449" i="1"/>
  <c r="C448" i="1"/>
  <c r="C447" i="1"/>
  <c r="C446" i="1"/>
  <c r="C445" i="1"/>
  <c r="C444" i="1"/>
  <c r="C443" i="1"/>
  <c r="C408" i="1"/>
  <c r="C396" i="1"/>
  <c r="C365" i="1"/>
  <c r="C338" i="1"/>
  <c r="C296" i="1"/>
  <c r="C295" i="1"/>
  <c r="C282" i="1"/>
  <c r="C258" i="1"/>
  <c r="C257" i="1"/>
  <c r="C242" i="1"/>
  <c r="C225" i="1"/>
  <c r="C224" i="1"/>
  <c r="C210" i="1"/>
  <c r="C198" i="1"/>
  <c r="C197" i="1"/>
  <c r="C167" i="1"/>
  <c r="C166" i="1"/>
  <c r="C165" i="1"/>
  <c r="C164" i="1"/>
  <c r="C36" i="1"/>
  <c r="C35" i="1"/>
  <c r="C15" i="1"/>
  <c r="C5423" i="1"/>
  <c r="C5375" i="1"/>
  <c r="C5374" i="1"/>
  <c r="C5373" i="1"/>
  <c r="C5372" i="1"/>
  <c r="C5325" i="1"/>
  <c r="C5184" i="1"/>
  <c r="C5142" i="1"/>
  <c r="C5141" i="1"/>
  <c r="C5140" i="1"/>
  <c r="C5139" i="1"/>
  <c r="C5138" i="1"/>
  <c r="C5137" i="1"/>
  <c r="C5068" i="1"/>
  <c r="C5067" i="1"/>
  <c r="C5066" i="1"/>
  <c r="C5021" i="1"/>
  <c r="C5020" i="1"/>
  <c r="C5014" i="1"/>
  <c r="C5013" i="1"/>
  <c r="C4992" i="1"/>
  <c r="C4970" i="1"/>
  <c r="C4927" i="1"/>
  <c r="C4926" i="1"/>
  <c r="C4925" i="1"/>
  <c r="C4924" i="1"/>
  <c r="C4923" i="1"/>
  <c r="C4922" i="1"/>
  <c r="C4921" i="1"/>
  <c r="C4920" i="1"/>
  <c r="C4851" i="1"/>
  <c r="C4850" i="1"/>
  <c r="C4849" i="1"/>
  <c r="C4848" i="1"/>
  <c r="C4847" i="1"/>
  <c r="C4809" i="1"/>
  <c r="C4698" i="1"/>
  <c r="C4697" i="1"/>
  <c r="C4696" i="1"/>
  <c r="C4695" i="1"/>
  <c r="C4694" i="1"/>
  <c r="C4693" i="1"/>
  <c r="C4692" i="1"/>
  <c r="C4691" i="1"/>
  <c r="C4600" i="1"/>
  <c r="C4599" i="1"/>
  <c r="C4598" i="1"/>
  <c r="C4519" i="1"/>
  <c r="C4518" i="1"/>
  <c r="C4517" i="1"/>
  <c r="C4516" i="1"/>
  <c r="C4515" i="1"/>
  <c r="C4514" i="1"/>
  <c r="C4513" i="1"/>
  <c r="C4512" i="1"/>
  <c r="C4511" i="1"/>
  <c r="C4510" i="1"/>
  <c r="C4509" i="1"/>
  <c r="C4508" i="1"/>
  <c r="C4507" i="1"/>
  <c r="C4438" i="1"/>
  <c r="C4437" i="1"/>
  <c r="C4436" i="1"/>
  <c r="C4367" i="1"/>
  <c r="C4366" i="1"/>
  <c r="C4365" i="1"/>
  <c r="C4364" i="1"/>
  <c r="C4363" i="1"/>
  <c r="C4362" i="1"/>
  <c r="C4361" i="1"/>
  <c r="C4360" i="1"/>
  <c r="C4359" i="1"/>
  <c r="C4323" i="1"/>
  <c r="C4322" i="1"/>
  <c r="C4321" i="1"/>
  <c r="C4274" i="1"/>
  <c r="C4273" i="1"/>
  <c r="C4272" i="1"/>
  <c r="C4271" i="1"/>
  <c r="C4270" i="1"/>
  <c r="C4269" i="1"/>
  <c r="C4268" i="1"/>
  <c r="C4208" i="1"/>
  <c r="C4207" i="1"/>
  <c r="C4206" i="1"/>
  <c r="C4205" i="1"/>
  <c r="C4204" i="1"/>
  <c r="C4203" i="1"/>
  <c r="C4202" i="1"/>
  <c r="C4201" i="1"/>
  <c r="C4200" i="1"/>
  <c r="C4077" i="1"/>
  <c r="C4076" i="1"/>
  <c r="C4075" i="1"/>
  <c r="C4074" i="1"/>
  <c r="C4073" i="1"/>
  <c r="C4072" i="1"/>
  <c r="C3997" i="1"/>
  <c r="C3996" i="1"/>
  <c r="C3995" i="1"/>
  <c r="C3994" i="1"/>
  <c r="C3915" i="1"/>
  <c r="C3914" i="1"/>
  <c r="C3913" i="1"/>
  <c r="C3852" i="1"/>
  <c r="C3851" i="1"/>
  <c r="C3850" i="1"/>
  <c r="C3849" i="1"/>
  <c r="C3848" i="1"/>
  <c r="C3847" i="1"/>
  <c r="C3747" i="1"/>
  <c r="C3746" i="1"/>
  <c r="C3745" i="1"/>
  <c r="C3744" i="1"/>
  <c r="C3743" i="1"/>
  <c r="C3742" i="1"/>
  <c r="C3741" i="1"/>
  <c r="C3740" i="1"/>
  <c r="C3739" i="1"/>
  <c r="C3711" i="1"/>
  <c r="C3586" i="1"/>
  <c r="C3585" i="1"/>
  <c r="C3509" i="1"/>
  <c r="C3508" i="1"/>
  <c r="C3507" i="1"/>
  <c r="C3471" i="1"/>
  <c r="C3470" i="1"/>
  <c r="C3469" i="1"/>
  <c r="C3434" i="1"/>
  <c r="C3433" i="1"/>
  <c r="C3403" i="1"/>
  <c r="C3402" i="1"/>
  <c r="C3401" i="1"/>
  <c r="C3352" i="1"/>
  <c r="C3332" i="1"/>
  <c r="C3292" i="1"/>
  <c r="C3142" i="1"/>
  <c r="C3141" i="1"/>
  <c r="C3140" i="1"/>
  <c r="C3139" i="1"/>
  <c r="C3138" i="1"/>
  <c r="C3137" i="1"/>
  <c r="C3136" i="1"/>
  <c r="C3135" i="1"/>
  <c r="C3134" i="1"/>
  <c r="C3133" i="1"/>
  <c r="C3132" i="1"/>
  <c r="C3131" i="1"/>
  <c r="C3130" i="1"/>
  <c r="C3129" i="1"/>
  <c r="C3128" i="1"/>
  <c r="C3127" i="1"/>
  <c r="C3126" i="1"/>
  <c r="C3125" i="1"/>
  <c r="C3124" i="1"/>
  <c r="C3047" i="1"/>
  <c r="C3046" i="1"/>
  <c r="C2883" i="1"/>
  <c r="C2882" i="1"/>
  <c r="C2881" i="1"/>
  <c r="C2880" i="1"/>
  <c r="C2879" i="1"/>
  <c r="C2878" i="1"/>
  <c r="C2877" i="1"/>
  <c r="C2876" i="1"/>
  <c r="C2875" i="1"/>
  <c r="C2874" i="1"/>
  <c r="C2873" i="1"/>
  <c r="C2872" i="1"/>
  <c r="C2871" i="1"/>
  <c r="C2770" i="1"/>
  <c r="C2769" i="1"/>
  <c r="C2599" i="1"/>
  <c r="C2598" i="1"/>
  <c r="C2597" i="1"/>
  <c r="C2596" i="1"/>
  <c r="C2595" i="1"/>
  <c r="C2594" i="1"/>
  <c r="C2593" i="1"/>
  <c r="C2592" i="1"/>
  <c r="C2591" i="1"/>
  <c r="C2590" i="1"/>
  <c r="C2589" i="1"/>
  <c r="C2588" i="1"/>
  <c r="C2587" i="1"/>
  <c r="C2586" i="1"/>
  <c r="C2585" i="1"/>
  <c r="C2584" i="1"/>
  <c r="C2583" i="1"/>
  <c r="C2582" i="1"/>
  <c r="C2581" i="1"/>
  <c r="C2580" i="1"/>
  <c r="C2491" i="1"/>
  <c r="C2490" i="1"/>
  <c r="C2480" i="1"/>
  <c r="C2479" i="1"/>
  <c r="C2478" i="1"/>
  <c r="C2449" i="1"/>
  <c r="C2448" i="1"/>
  <c r="C2377" i="1"/>
  <c r="C2376" i="1"/>
  <c r="C2375" i="1"/>
  <c r="C2374" i="1"/>
  <c r="C2373" i="1"/>
  <c r="C2372" i="1"/>
  <c r="C2371" i="1"/>
  <c r="C2370" i="1"/>
  <c r="C2369" i="1"/>
  <c r="C2289" i="1"/>
  <c r="C2288" i="1"/>
  <c r="C2253" i="1"/>
  <c r="C2252" i="1"/>
  <c r="C2251" i="1"/>
  <c r="C2250" i="1"/>
  <c r="C2210" i="1"/>
  <c r="C2209" i="1"/>
  <c r="C2208" i="1"/>
  <c r="C2207" i="1"/>
  <c r="C2206" i="1"/>
  <c r="C2167" i="1"/>
  <c r="C2122" i="1"/>
  <c r="C2079" i="1"/>
  <c r="C2042" i="1"/>
  <c r="C2041" i="1"/>
  <c r="C2040" i="1"/>
  <c r="C2039" i="1"/>
  <c r="C2006" i="1"/>
  <c r="C2005" i="1"/>
  <c r="C2004" i="1"/>
  <c r="C1976" i="1"/>
  <c r="C1975" i="1"/>
  <c r="C1974" i="1"/>
  <c r="C1973" i="1"/>
  <c r="C1949" i="1"/>
  <c r="C1948" i="1"/>
  <c r="C1890" i="1"/>
  <c r="C1889" i="1"/>
  <c r="C1888" i="1"/>
  <c r="C1887" i="1"/>
  <c r="C1886" i="1"/>
  <c r="C1839" i="1"/>
  <c r="C1735" i="1"/>
  <c r="C1734" i="1"/>
  <c r="C1733" i="1"/>
  <c r="C1732" i="1"/>
  <c r="C1731" i="1"/>
  <c r="C1668" i="1"/>
  <c r="C1644" i="1"/>
  <c r="C1542" i="1"/>
  <c r="C1541" i="1"/>
  <c r="C1540" i="1"/>
  <c r="C1539" i="1"/>
  <c r="C1538" i="1"/>
  <c r="C1537" i="1"/>
  <c r="C1536" i="1"/>
  <c r="C1535" i="1"/>
  <c r="C1382" i="1"/>
  <c r="C1381" i="1"/>
  <c r="C1380" i="1"/>
  <c r="C1379" i="1"/>
  <c r="C1378" i="1"/>
  <c r="C1377" i="1"/>
  <c r="C1376" i="1"/>
  <c r="C1375" i="1"/>
  <c r="C1374" i="1"/>
  <c r="C1373" i="1"/>
  <c r="C1372" i="1"/>
  <c r="C1371" i="1"/>
  <c r="C1370" i="1"/>
  <c r="C1369" i="1"/>
  <c r="C1368" i="1"/>
  <c r="C1367" i="1"/>
  <c r="C1366" i="1"/>
  <c r="C1365" i="1"/>
  <c r="C1364" i="1"/>
  <c r="C1292" i="1"/>
  <c r="C1291" i="1"/>
  <c r="C1274" i="1"/>
  <c r="C1171" i="1"/>
  <c r="C1170" i="1"/>
  <c r="C1169" i="1"/>
  <c r="C1168" i="1"/>
  <c r="C1167" i="1"/>
  <c r="C1166" i="1"/>
  <c r="C1165" i="1"/>
  <c r="C1164" i="1"/>
  <c r="C1008" i="1"/>
  <c r="C1007" i="1"/>
  <c r="C1006" i="1"/>
  <c r="C1005" i="1"/>
  <c r="C1004" i="1"/>
  <c r="C1003" i="1"/>
  <c r="C1002" i="1"/>
  <c r="C1001" i="1"/>
  <c r="C1000" i="1"/>
  <c r="C999" i="1"/>
  <c r="C911" i="1"/>
  <c r="C717" i="1"/>
  <c r="C642" i="1"/>
  <c r="C641" i="1"/>
  <c r="C562" i="1"/>
  <c r="C546" i="1"/>
  <c r="C493" i="1"/>
  <c r="C442" i="1"/>
  <c r="C441" i="1"/>
  <c r="C440" i="1"/>
  <c r="C395" i="1"/>
  <c r="C364" i="1"/>
  <c r="C363" i="1"/>
  <c r="C316" i="1"/>
  <c r="C294" i="1"/>
  <c r="C281" i="1"/>
  <c r="C280" i="1"/>
  <c r="C266" i="1"/>
  <c r="C241" i="1"/>
  <c r="C223" i="1"/>
  <c r="C209" i="1"/>
  <c r="C196" i="1"/>
  <c r="C195" i="1"/>
  <c r="C194" i="1"/>
  <c r="C163" i="1"/>
  <c r="C34" i="1"/>
  <c r="C33" i="1"/>
  <c r="C10" i="1"/>
  <c r="C5420" i="1"/>
  <c r="C5371" i="1"/>
  <c r="C5370" i="1"/>
  <c r="C5369" i="1"/>
  <c r="C5368" i="1"/>
  <c r="C5367" i="1"/>
  <c r="C5366" i="1"/>
  <c r="C5365" i="1"/>
  <c r="C5364" i="1"/>
  <c r="C5223" i="1"/>
  <c r="C5207" i="1"/>
  <c r="C5206" i="1"/>
  <c r="C5172" i="1"/>
  <c r="C5171" i="1"/>
  <c r="C5170" i="1"/>
  <c r="C5136" i="1"/>
  <c r="C5135" i="1"/>
  <c r="C5134" i="1"/>
  <c r="C5065" i="1"/>
  <c r="C5064" i="1"/>
  <c r="C5063" i="1"/>
  <c r="C5062" i="1"/>
  <c r="C5061" i="1"/>
  <c r="C5060" i="1"/>
  <c r="C5059" i="1"/>
  <c r="C5058" i="1"/>
  <c r="C5057" i="1"/>
  <c r="C5046" i="1"/>
  <c r="C5030" i="1"/>
  <c r="C5012" i="1"/>
  <c r="C5011" i="1"/>
  <c r="C5010" i="1"/>
  <c r="C4991" i="1"/>
  <c r="C4969" i="1"/>
  <c r="C4919" i="1"/>
  <c r="C4918" i="1"/>
  <c r="C4917" i="1"/>
  <c r="C4916" i="1"/>
  <c r="C4915" i="1"/>
  <c r="C4914" i="1"/>
  <c r="C4913" i="1"/>
  <c r="C4912" i="1"/>
  <c r="C4911" i="1"/>
  <c r="C4910" i="1"/>
  <c r="C4909" i="1"/>
  <c r="C4846" i="1"/>
  <c r="C4845" i="1"/>
  <c r="C4844" i="1"/>
  <c r="C4843" i="1"/>
  <c r="C4842" i="1"/>
  <c r="C4841" i="1"/>
  <c r="C4840" i="1"/>
  <c r="C4839" i="1"/>
  <c r="C4838" i="1"/>
  <c r="C4837" i="1"/>
  <c r="C4836" i="1"/>
  <c r="C4835" i="1"/>
  <c r="C4834" i="1"/>
  <c r="C4808" i="1"/>
  <c r="C4690" i="1"/>
  <c r="C4689" i="1"/>
  <c r="C4688" i="1"/>
  <c r="C4687" i="1"/>
  <c r="C4686" i="1"/>
  <c r="C4685" i="1"/>
  <c r="C4684" i="1"/>
  <c r="C4683" i="1"/>
  <c r="C4682" i="1"/>
  <c r="C4681" i="1"/>
  <c r="C4680" i="1"/>
  <c r="C4679" i="1"/>
  <c r="C4678" i="1"/>
  <c r="C4677" i="1"/>
  <c r="C4676" i="1"/>
  <c r="C4675" i="1"/>
  <c r="C4674" i="1"/>
  <c r="C4673" i="1"/>
  <c r="C4597" i="1"/>
  <c r="C4596" i="1"/>
  <c r="C4595" i="1"/>
  <c r="C4594" i="1"/>
  <c r="C4506" i="1"/>
  <c r="C4505" i="1"/>
  <c r="C4504" i="1"/>
  <c r="C4503" i="1"/>
  <c r="C4502" i="1"/>
  <c r="C4501" i="1"/>
  <c r="C4500" i="1"/>
  <c r="C4499" i="1"/>
  <c r="C4498" i="1"/>
  <c r="C4497" i="1"/>
  <c r="C4496" i="1"/>
  <c r="C4495" i="1"/>
  <c r="C4494" i="1"/>
  <c r="C4493" i="1"/>
  <c r="C4492" i="1"/>
  <c r="C4491" i="1"/>
  <c r="C4490" i="1"/>
  <c r="C4489" i="1"/>
  <c r="C4463" i="1"/>
  <c r="C4462" i="1"/>
  <c r="C4435" i="1"/>
  <c r="C4358" i="1"/>
  <c r="C4357" i="1"/>
  <c r="C4356" i="1"/>
  <c r="C4355" i="1"/>
  <c r="C4354" i="1"/>
  <c r="C4353" i="1"/>
  <c r="C4352" i="1"/>
  <c r="C4351" i="1"/>
  <c r="C4350" i="1"/>
  <c r="C4320" i="1"/>
  <c r="C4267" i="1"/>
  <c r="C4266" i="1"/>
  <c r="C4265" i="1"/>
  <c r="C4264" i="1"/>
  <c r="C4263" i="1"/>
  <c r="C4262" i="1"/>
  <c r="C4261" i="1"/>
  <c r="C4199" i="1"/>
  <c r="C4198" i="1"/>
  <c r="C4197" i="1"/>
  <c r="C4196" i="1"/>
  <c r="C4195" i="1"/>
  <c r="C4194" i="1"/>
  <c r="C4193" i="1"/>
  <c r="C4192" i="1"/>
  <c r="C4191" i="1"/>
  <c r="C4190" i="1"/>
  <c r="C4189" i="1"/>
  <c r="C4188" i="1"/>
  <c r="C4187" i="1"/>
  <c r="C4186" i="1"/>
  <c r="C4185" i="1"/>
  <c r="C4184" i="1"/>
  <c r="C4183" i="1"/>
  <c r="C4182" i="1"/>
  <c r="C4181" i="1"/>
  <c r="C4180" i="1"/>
  <c r="C4179" i="1"/>
  <c r="C4071" i="1"/>
  <c r="C4070" i="1"/>
  <c r="C4069" i="1"/>
  <c r="C4068" i="1"/>
  <c r="C4067" i="1"/>
  <c r="C4066" i="1"/>
  <c r="C4065" i="1"/>
  <c r="C4064" i="1"/>
  <c r="C4063" i="1"/>
  <c r="C4062" i="1"/>
  <c r="C4061" i="1"/>
  <c r="C4060" i="1"/>
  <c r="C4059" i="1"/>
  <c r="C3993" i="1"/>
  <c r="C3992" i="1"/>
  <c r="C3991" i="1"/>
  <c r="C3990" i="1"/>
  <c r="C3989" i="1"/>
  <c r="C3988" i="1"/>
  <c r="C3987" i="1"/>
  <c r="C3986" i="1"/>
  <c r="C3985" i="1"/>
  <c r="C3984" i="1"/>
  <c r="C3912" i="1"/>
  <c r="C3911" i="1"/>
  <c r="C3910" i="1"/>
  <c r="C3909" i="1"/>
  <c r="C3908" i="1"/>
  <c r="C3907" i="1"/>
  <c r="C3906" i="1"/>
  <c r="C3905" i="1"/>
  <c r="C3904" i="1"/>
  <c r="C3903" i="1"/>
  <c r="C3883" i="1"/>
  <c r="C3846" i="1"/>
  <c r="C3845" i="1"/>
  <c r="C3844" i="1"/>
  <c r="C3843" i="1"/>
  <c r="C3842" i="1"/>
  <c r="C3841" i="1"/>
  <c r="C3840" i="1"/>
  <c r="C3839" i="1"/>
  <c r="C3838" i="1"/>
  <c r="C3837" i="1"/>
  <c r="C3836" i="1"/>
  <c r="C3835" i="1"/>
  <c r="C3811" i="1"/>
  <c r="C3810" i="1"/>
  <c r="C3800" i="1"/>
  <c r="C3738" i="1"/>
  <c r="C3737" i="1"/>
  <c r="C3736" i="1"/>
  <c r="C3735" i="1"/>
  <c r="C3734" i="1"/>
  <c r="C3692" i="1"/>
  <c r="C3685" i="1"/>
  <c r="C3684" i="1"/>
  <c r="C3669" i="1"/>
  <c r="C3668" i="1"/>
  <c r="C3667" i="1"/>
  <c r="C3666" i="1"/>
  <c r="C3584" i="1"/>
  <c r="C3583" i="1"/>
  <c r="C3582" i="1"/>
  <c r="C3581" i="1"/>
  <c r="C3580" i="1"/>
  <c r="C3506" i="1"/>
  <c r="C3505" i="1"/>
  <c r="C3504" i="1"/>
  <c r="C3503" i="1"/>
  <c r="C3502" i="1"/>
  <c r="C3501" i="1"/>
  <c r="C3500" i="1"/>
  <c r="C3499" i="1"/>
  <c r="C3498" i="1"/>
  <c r="C3497" i="1"/>
  <c r="C3496" i="1"/>
  <c r="C3432" i="1"/>
  <c r="C3431" i="1"/>
  <c r="C3430" i="1"/>
  <c r="C3429" i="1"/>
  <c r="C3428" i="1"/>
  <c r="C3427" i="1"/>
  <c r="C3426" i="1"/>
  <c r="C3425" i="1"/>
  <c r="C3400" i="1"/>
  <c r="C3399" i="1"/>
  <c r="C3398" i="1"/>
  <c r="C3397" i="1"/>
  <c r="C3351" i="1"/>
  <c r="C3350" i="1"/>
  <c r="C3349" i="1"/>
  <c r="C3348" i="1"/>
  <c r="C3347" i="1"/>
  <c r="C3346" i="1"/>
  <c r="C3291" i="1"/>
  <c r="C3290" i="1"/>
  <c r="C3289" i="1"/>
  <c r="C3123" i="1"/>
  <c r="C3122" i="1"/>
  <c r="C3121" i="1"/>
  <c r="C3120" i="1"/>
  <c r="C3119" i="1"/>
  <c r="C3118" i="1"/>
  <c r="C3117" i="1"/>
  <c r="C3116" i="1"/>
  <c r="C3115" i="1"/>
  <c r="C3114" i="1"/>
  <c r="C3113" i="1"/>
  <c r="C3112" i="1"/>
  <c r="C3111" i="1"/>
  <c r="C3110" i="1"/>
  <c r="C3109" i="1"/>
  <c r="C3108" i="1"/>
  <c r="C3107" i="1"/>
  <c r="C3106" i="1"/>
  <c r="C3105" i="1"/>
  <c r="C3104" i="1"/>
  <c r="C3103" i="1"/>
  <c r="C3102" i="1"/>
  <c r="C3101" i="1"/>
  <c r="C3100" i="1"/>
  <c r="C3099" i="1"/>
  <c r="C3098" i="1"/>
  <c r="C3097" i="1"/>
  <c r="C3096" i="1"/>
  <c r="C3045" i="1"/>
  <c r="C2870" i="1"/>
  <c r="C2869" i="1"/>
  <c r="C2868" i="1"/>
  <c r="C2867" i="1"/>
  <c r="C2866" i="1"/>
  <c r="C2865" i="1"/>
  <c r="C2864" i="1"/>
  <c r="C2863" i="1"/>
  <c r="C2862" i="1"/>
  <c r="C2861" i="1"/>
  <c r="C2860" i="1"/>
  <c r="C2859" i="1"/>
  <c r="C2858" i="1"/>
  <c r="C2857" i="1"/>
  <c r="C2856" i="1"/>
  <c r="C2855" i="1"/>
  <c r="C2854" i="1"/>
  <c r="C2853" i="1"/>
  <c r="C2852" i="1"/>
  <c r="C2851" i="1"/>
  <c r="C2850" i="1"/>
  <c r="C2849" i="1"/>
  <c r="C2848" i="1"/>
  <c r="C2847" i="1"/>
  <c r="C2846" i="1"/>
  <c r="C2845" i="1"/>
  <c r="C2844" i="1"/>
  <c r="C2843" i="1"/>
  <c r="C2842" i="1"/>
  <c r="C2841" i="1"/>
  <c r="C2840" i="1"/>
  <c r="C2839" i="1"/>
  <c r="C2838" i="1"/>
  <c r="C2837" i="1"/>
  <c r="C2836" i="1"/>
  <c r="C2768" i="1"/>
  <c r="C2767" i="1"/>
  <c r="C2766" i="1"/>
  <c r="C2765" i="1"/>
  <c r="C2764" i="1"/>
  <c r="C2579" i="1"/>
  <c r="C2578" i="1"/>
  <c r="C2577" i="1"/>
  <c r="C2576" i="1"/>
  <c r="C2575" i="1"/>
  <c r="C2574" i="1"/>
  <c r="C2573" i="1"/>
  <c r="C2572" i="1"/>
  <c r="C2571" i="1"/>
  <c r="C2570" i="1"/>
  <c r="C2569" i="1"/>
  <c r="C2568" i="1"/>
  <c r="C2567" i="1"/>
  <c r="C2566" i="1"/>
  <c r="C2565" i="1"/>
  <c r="C2564" i="1"/>
  <c r="C2563" i="1"/>
  <c r="C2562" i="1"/>
  <c r="C2561" i="1"/>
  <c r="C2560" i="1"/>
  <c r="C2559" i="1"/>
  <c r="C2558" i="1"/>
  <c r="C2557" i="1"/>
  <c r="C2556" i="1"/>
  <c r="C2555" i="1"/>
  <c r="C2554" i="1"/>
  <c r="C2553" i="1"/>
  <c r="C2552" i="1"/>
  <c r="C2551" i="1"/>
  <c r="C2550" i="1"/>
  <c r="C2549" i="1"/>
  <c r="C2548" i="1"/>
  <c r="C2547" i="1"/>
  <c r="C2546" i="1"/>
  <c r="C2545" i="1"/>
  <c r="C2544" i="1"/>
  <c r="C2543" i="1"/>
  <c r="C2477" i="1"/>
  <c r="C2476" i="1"/>
  <c r="C2475" i="1"/>
  <c r="C2447" i="1"/>
  <c r="C2446" i="1"/>
  <c r="C2445" i="1"/>
  <c r="C2368" i="1"/>
  <c r="C2367" i="1"/>
  <c r="C2366" i="1"/>
  <c r="C2365" i="1"/>
  <c r="C2364" i="1"/>
  <c r="C2363" i="1"/>
  <c r="C2362" i="1"/>
  <c r="C2361" i="1"/>
  <c r="C2360" i="1"/>
  <c r="C2359" i="1"/>
  <c r="C2358" i="1"/>
  <c r="C2287" i="1"/>
  <c r="C2286" i="1"/>
  <c r="C2285" i="1"/>
  <c r="C2284" i="1"/>
  <c r="C2283" i="1"/>
  <c r="C2282" i="1"/>
  <c r="C2281" i="1"/>
  <c r="C2249" i="1"/>
  <c r="C2248" i="1"/>
  <c r="C2247" i="1"/>
  <c r="C2246" i="1"/>
  <c r="C2205" i="1"/>
  <c r="C2166" i="1"/>
  <c r="C2165" i="1"/>
  <c r="C2164" i="1"/>
  <c r="C2163" i="1"/>
  <c r="C2162" i="1"/>
  <c r="C2138" i="1"/>
  <c r="C2137" i="1"/>
  <c r="C2121" i="1"/>
  <c r="C2120" i="1"/>
  <c r="C2107" i="1"/>
  <c r="C2038" i="1"/>
  <c r="C2037" i="1"/>
  <c r="C2036" i="1"/>
  <c r="C2035" i="1"/>
  <c r="C2034" i="1"/>
  <c r="C2033" i="1"/>
  <c r="C1972" i="1"/>
  <c r="C1971" i="1"/>
  <c r="C1970" i="1"/>
  <c r="C1947" i="1"/>
  <c r="C1946" i="1"/>
  <c r="C1945" i="1"/>
  <c r="C1885" i="1"/>
  <c r="C1884" i="1"/>
  <c r="C1883" i="1"/>
  <c r="C1882" i="1"/>
  <c r="C1881" i="1"/>
  <c r="C1880" i="1"/>
  <c r="C1879" i="1"/>
  <c r="C1878" i="1"/>
  <c r="C1838" i="1"/>
  <c r="C1837" i="1"/>
  <c r="C1836" i="1"/>
  <c r="C1835" i="1"/>
  <c r="C1834" i="1"/>
  <c r="C1833" i="1"/>
  <c r="C1832" i="1"/>
  <c r="C1831" i="1"/>
  <c r="C1730" i="1"/>
  <c r="C1729" i="1"/>
  <c r="C1728" i="1"/>
  <c r="C1727" i="1"/>
  <c r="C1726" i="1"/>
  <c r="C1725" i="1"/>
  <c r="C1724" i="1"/>
  <c r="C1723" i="1"/>
  <c r="C1722" i="1"/>
  <c r="C1721" i="1"/>
  <c r="C1720" i="1"/>
  <c r="C1719" i="1"/>
  <c r="C1718" i="1"/>
  <c r="C1717" i="1"/>
  <c r="C1716" i="1"/>
  <c r="C1715" i="1"/>
  <c r="C1714" i="1"/>
  <c r="C1713" i="1"/>
  <c r="C1688" i="1"/>
  <c r="C1667" i="1"/>
  <c r="C1666" i="1"/>
  <c r="C1643" i="1"/>
  <c r="C1642" i="1"/>
  <c r="C1534" i="1"/>
  <c r="C1533" i="1"/>
  <c r="C1532" i="1"/>
  <c r="C1531" i="1"/>
  <c r="C1530" i="1"/>
  <c r="C1529" i="1"/>
  <c r="C1528" i="1"/>
  <c r="C1527" i="1"/>
  <c r="C1526" i="1"/>
  <c r="C1525" i="1"/>
  <c r="C1524" i="1"/>
  <c r="C1494" i="1"/>
  <c r="C1363" i="1"/>
  <c r="C1362" i="1"/>
  <c r="C1361" i="1"/>
  <c r="C1360" i="1"/>
  <c r="C1359" i="1"/>
  <c r="C1358" i="1"/>
  <c r="C1357" i="1"/>
  <c r="C1356" i="1"/>
  <c r="C1355" i="1"/>
  <c r="C1354" i="1"/>
  <c r="C1353" i="1"/>
  <c r="C1352" i="1"/>
  <c r="C1351" i="1"/>
  <c r="C1350" i="1"/>
  <c r="C1349" i="1"/>
  <c r="C1348" i="1"/>
  <c r="C1347" i="1"/>
  <c r="C1346" i="1"/>
  <c r="C1345" i="1"/>
  <c r="C1344" i="1"/>
  <c r="C1343" i="1"/>
  <c r="C1342" i="1"/>
  <c r="C1341" i="1"/>
  <c r="C1290" i="1"/>
  <c r="C1289" i="1"/>
  <c r="C1273" i="1"/>
  <c r="C1272" i="1"/>
  <c r="C1271" i="1"/>
  <c r="C1163" i="1"/>
  <c r="C1162" i="1"/>
  <c r="C1161" i="1"/>
  <c r="C1160" i="1"/>
  <c r="C1159" i="1"/>
  <c r="C1158" i="1"/>
  <c r="C1157" i="1"/>
  <c r="C1156" i="1"/>
  <c r="C1155" i="1"/>
  <c r="C1154" i="1"/>
  <c r="C1153" i="1"/>
  <c r="C1152" i="1"/>
  <c r="C1151" i="1"/>
  <c r="C1150" i="1"/>
  <c r="C1149" i="1"/>
  <c r="C1148" i="1"/>
  <c r="C1147" i="1"/>
  <c r="C1128" i="1"/>
  <c r="C1127" i="1"/>
  <c r="C1126" i="1"/>
  <c r="C998" i="1"/>
  <c r="C997" i="1"/>
  <c r="C996" i="1"/>
  <c r="C995" i="1"/>
  <c r="C994" i="1"/>
  <c r="C993" i="1"/>
  <c r="C992" i="1"/>
  <c r="C991" i="1"/>
  <c r="C990" i="1"/>
  <c r="C989" i="1"/>
  <c r="C988" i="1"/>
  <c r="C987" i="1"/>
  <c r="C986" i="1"/>
  <c r="C985" i="1"/>
  <c r="C984" i="1"/>
  <c r="C983" i="1"/>
  <c r="C982" i="1"/>
  <c r="C981" i="1"/>
  <c r="C980" i="1"/>
  <c r="C979" i="1"/>
  <c r="C978" i="1"/>
  <c r="C977" i="1"/>
  <c r="C976" i="1"/>
  <c r="C975" i="1"/>
  <c r="C974" i="1"/>
  <c r="C973" i="1"/>
  <c r="C972" i="1"/>
  <c r="C971" i="1"/>
  <c r="C910" i="1"/>
  <c r="C909" i="1"/>
  <c r="C908" i="1"/>
  <c r="C907" i="1"/>
  <c r="C906" i="1"/>
  <c r="C905" i="1"/>
  <c r="C904" i="1"/>
  <c r="C903" i="1"/>
  <c r="C902" i="1"/>
  <c r="C889" i="1"/>
  <c r="C870" i="1"/>
  <c r="C869" i="1"/>
  <c r="C868" i="1"/>
  <c r="C867" i="1"/>
  <c r="C866" i="1"/>
  <c r="C773" i="1"/>
  <c r="C762" i="1"/>
  <c r="C759" i="1"/>
  <c r="C758" i="1"/>
  <c r="C723" i="1"/>
  <c r="C640" i="1"/>
  <c r="C561" i="1"/>
  <c r="C528" i="1"/>
  <c r="C492" i="1"/>
  <c r="C491" i="1"/>
  <c r="C439" i="1"/>
  <c r="C438" i="1"/>
  <c r="C437" i="1"/>
  <c r="C436" i="1"/>
  <c r="C435" i="1"/>
  <c r="C434" i="1"/>
  <c r="C418" i="1"/>
  <c r="C417" i="1"/>
  <c r="C416" i="1"/>
  <c r="C394" i="1"/>
  <c r="C393" i="1"/>
  <c r="C383" i="1"/>
  <c r="C362" i="1"/>
  <c r="C361" i="1"/>
  <c r="C360" i="1"/>
  <c r="C337" i="1"/>
  <c r="C336" i="1"/>
  <c r="C335" i="1"/>
  <c r="C334" i="1"/>
  <c r="C333" i="1"/>
  <c r="C318" i="1"/>
  <c r="C293" i="1"/>
  <c r="C292" i="1"/>
  <c r="C291" i="1"/>
  <c r="C279" i="1"/>
  <c r="C265" i="1"/>
  <c r="C264" i="1"/>
  <c r="C256" i="1"/>
  <c r="C240" i="1"/>
  <c r="C239" i="1"/>
  <c r="C222" i="1"/>
  <c r="C221" i="1"/>
  <c r="C220" i="1"/>
  <c r="C208" i="1"/>
  <c r="C207" i="1"/>
  <c r="C193" i="1"/>
  <c r="C192" i="1"/>
  <c r="C191" i="1"/>
  <c r="C162" i="1"/>
  <c r="C161" i="1"/>
  <c r="C160" i="1"/>
  <c r="C159" i="1"/>
  <c r="C156" i="1"/>
  <c r="C80" i="1"/>
  <c r="C41" i="1"/>
  <c r="C40" i="1"/>
  <c r="C32" i="1"/>
  <c r="C31" i="1"/>
  <c r="C5133" i="1"/>
  <c r="C5132" i="1"/>
  <c r="C5056" i="1"/>
  <c r="C4672" i="1"/>
  <c r="C4671" i="1"/>
  <c r="C4670" i="1"/>
  <c r="C4669" i="1"/>
  <c r="C4668" i="1"/>
  <c r="C4593" i="1"/>
  <c r="C4349" i="1"/>
  <c r="C4319" i="1"/>
  <c r="C4318" i="1"/>
  <c r="C4317" i="1"/>
  <c r="C4316" i="1"/>
  <c r="C3983" i="1"/>
  <c r="C3982" i="1"/>
  <c r="C3981" i="1"/>
  <c r="C3980" i="1"/>
  <c r="C3979" i="1"/>
  <c r="C3978" i="1"/>
  <c r="C3977" i="1"/>
  <c r="C3976" i="1"/>
  <c r="C3975" i="1"/>
  <c r="C3733" i="1"/>
  <c r="C3732" i="1"/>
  <c r="C3731" i="1"/>
  <c r="C3730" i="1"/>
  <c r="C3729" i="1"/>
  <c r="C3728" i="1"/>
  <c r="C3727" i="1"/>
  <c r="C3726" i="1"/>
  <c r="C3468" i="1"/>
  <c r="C3095" i="1"/>
  <c r="C2474" i="1"/>
  <c r="C2444" i="1"/>
  <c r="C2245" i="1"/>
  <c r="C2161" i="1"/>
  <c r="C2119" i="1"/>
  <c r="C2118" i="1"/>
  <c r="C2032" i="1"/>
  <c r="C2031" i="1"/>
  <c r="C1944" i="1"/>
  <c r="C1929" i="1"/>
  <c r="C1687" i="1"/>
  <c r="C1686" i="1"/>
  <c r="C1523" i="1"/>
  <c r="C1522" i="1"/>
  <c r="C1521" i="1"/>
  <c r="C1520" i="1"/>
  <c r="C560" i="1"/>
  <c r="C392" i="1"/>
  <c r="C359" i="1"/>
  <c r="C206" i="1"/>
  <c r="C5363" i="1"/>
  <c r="C5362" i="1"/>
  <c r="C5361" i="1"/>
  <c r="C5169" i="1"/>
  <c r="C5131" i="1"/>
  <c r="C5130" i="1"/>
  <c r="C5055" i="1"/>
  <c r="C5054" i="1"/>
  <c r="C5053" i="1"/>
  <c r="C5029" i="1"/>
  <c r="C5009" i="1"/>
  <c r="C5006" i="1"/>
  <c r="C4990" i="1"/>
  <c r="C4989" i="1"/>
  <c r="C4968" i="1"/>
  <c r="C4967" i="1"/>
  <c r="C4908" i="1"/>
  <c r="C4907" i="1"/>
  <c r="C4906" i="1"/>
  <c r="C4833" i="1"/>
  <c r="C4832" i="1"/>
  <c r="C4831" i="1"/>
  <c r="C4830" i="1"/>
  <c r="C4807" i="1"/>
  <c r="C4667" i="1"/>
  <c r="C4666" i="1"/>
  <c r="C4665" i="1"/>
  <c r="C4664" i="1"/>
  <c r="C4663" i="1"/>
  <c r="C4662" i="1"/>
  <c r="C4661" i="1"/>
  <c r="C4660" i="1"/>
  <c r="C4659" i="1"/>
  <c r="C4658" i="1"/>
  <c r="C4657" i="1"/>
  <c r="C4592" i="1"/>
  <c r="C4591" i="1"/>
  <c r="C4488" i="1"/>
  <c r="C4487" i="1"/>
  <c r="C4486" i="1"/>
  <c r="C4485" i="1"/>
  <c r="C4434" i="1"/>
  <c r="C4433" i="1"/>
  <c r="C4432" i="1"/>
  <c r="C4348" i="1"/>
  <c r="C4347" i="1"/>
  <c r="C4315" i="1"/>
  <c r="C4314" i="1"/>
  <c r="C4260" i="1"/>
  <c r="C4259" i="1"/>
  <c r="C4178" i="1"/>
  <c r="C4177" i="1"/>
  <c r="C4176" i="1"/>
  <c r="C4175" i="1"/>
  <c r="C4174" i="1"/>
  <c r="C4173" i="1"/>
  <c r="C4172" i="1"/>
  <c r="C4058" i="1"/>
  <c r="C4057" i="1"/>
  <c r="C4056" i="1"/>
  <c r="C3974" i="1"/>
  <c r="C3973" i="1"/>
  <c r="C3972" i="1"/>
  <c r="C3971" i="1"/>
  <c r="C3970" i="1"/>
  <c r="C3902" i="1"/>
  <c r="C3901" i="1"/>
  <c r="C3900" i="1"/>
  <c r="C3882" i="1"/>
  <c r="C3834" i="1"/>
  <c r="C3833" i="1"/>
  <c r="C3809" i="1"/>
  <c r="C3808" i="1"/>
  <c r="C3807" i="1"/>
  <c r="C3725" i="1"/>
  <c r="C3724" i="1"/>
  <c r="C3723" i="1"/>
  <c r="C3722" i="1"/>
  <c r="C3721" i="1"/>
  <c r="C3665" i="1"/>
  <c r="C3664" i="1"/>
  <c r="C3579" i="1"/>
  <c r="C3578" i="1"/>
  <c r="C3577" i="1"/>
  <c r="C3576" i="1"/>
  <c r="C3575" i="1"/>
  <c r="C3574" i="1"/>
  <c r="C3495" i="1"/>
  <c r="C3494" i="1"/>
  <c r="C3467" i="1"/>
  <c r="C3466" i="1"/>
  <c r="C3424" i="1"/>
  <c r="C3423" i="1"/>
  <c r="C3422" i="1"/>
  <c r="C3421" i="1"/>
  <c r="C3288" i="1"/>
  <c r="C3094" i="1"/>
  <c r="C3093" i="1"/>
  <c r="C3092" i="1"/>
  <c r="C3091" i="1"/>
  <c r="C3090" i="1"/>
  <c r="C3089" i="1"/>
  <c r="C3088" i="1"/>
  <c r="C3087" i="1"/>
  <c r="C3086" i="1"/>
  <c r="C2835" i="1"/>
  <c r="C2834" i="1"/>
  <c r="C2833" i="1"/>
  <c r="C2832" i="1"/>
  <c r="C2831" i="1"/>
  <c r="C2763" i="1"/>
  <c r="C2762" i="1"/>
  <c r="C2761" i="1"/>
  <c r="C2542" i="1"/>
  <c r="C2541" i="1"/>
  <c r="C2540" i="1"/>
  <c r="C2539" i="1"/>
  <c r="C2538" i="1"/>
  <c r="C2537" i="1"/>
  <c r="C2536" i="1"/>
  <c r="C2535" i="1"/>
  <c r="C2534" i="1"/>
  <c r="C2533" i="1"/>
  <c r="C2532" i="1"/>
  <c r="C2531" i="1"/>
  <c r="C2530" i="1"/>
  <c r="C2529" i="1"/>
  <c r="C2528" i="1"/>
  <c r="C2527" i="1"/>
  <c r="C2489" i="1"/>
  <c r="C2473" i="1"/>
  <c r="C2472" i="1"/>
  <c r="C2471" i="1"/>
  <c r="C2443" i="1"/>
  <c r="C2442" i="1"/>
  <c r="C2441" i="1"/>
  <c r="C2440" i="1"/>
  <c r="C2439" i="1"/>
  <c r="C2438" i="1"/>
  <c r="C2437" i="1"/>
  <c r="C2357" i="1"/>
  <c r="C2356" i="1"/>
  <c r="C2355" i="1"/>
  <c r="C2354" i="1"/>
  <c r="C2280" i="1"/>
  <c r="C2279" i="1"/>
  <c r="C2278" i="1"/>
  <c r="C2277" i="1"/>
  <c r="C2244" i="1"/>
  <c r="C2243" i="1"/>
  <c r="C2242" i="1"/>
  <c r="C2241" i="1"/>
  <c r="C2204" i="1"/>
  <c r="C2160" i="1"/>
  <c r="C2159" i="1"/>
  <c r="C2117" i="1"/>
  <c r="C2106" i="1"/>
  <c r="C2105" i="1"/>
  <c r="C2104" i="1"/>
  <c r="C2078" i="1"/>
  <c r="C2077" i="1"/>
  <c r="C2076" i="1"/>
  <c r="C2030" i="1"/>
  <c r="C2029" i="1"/>
  <c r="C2028" i="1"/>
  <c r="C2003" i="1"/>
  <c r="C2002" i="1"/>
  <c r="C2001" i="1"/>
  <c r="C2000" i="1"/>
  <c r="C1969" i="1"/>
  <c r="C1968" i="1"/>
  <c r="C1943" i="1"/>
  <c r="C1942" i="1"/>
  <c r="C1941" i="1"/>
  <c r="C1877" i="1"/>
  <c r="C1876" i="1"/>
  <c r="C1830" i="1"/>
  <c r="C1829" i="1"/>
  <c r="C1828" i="1"/>
  <c r="C1827" i="1"/>
  <c r="C1712" i="1"/>
  <c r="C1711" i="1"/>
  <c r="C1710" i="1"/>
  <c r="C1709" i="1"/>
  <c r="C1708" i="1"/>
  <c r="C1707" i="1"/>
  <c r="C1706" i="1"/>
  <c r="C1705" i="1"/>
  <c r="C1704" i="1"/>
  <c r="C1703" i="1"/>
  <c r="C1665" i="1"/>
  <c r="C1519" i="1"/>
  <c r="C1518" i="1"/>
  <c r="C1517" i="1"/>
  <c r="C1516" i="1"/>
  <c r="C1340" i="1"/>
  <c r="C1339" i="1"/>
  <c r="C1338" i="1"/>
  <c r="C1337" i="1"/>
  <c r="C1336" i="1"/>
  <c r="C1335" i="1"/>
  <c r="C1334" i="1"/>
  <c r="C1333" i="1"/>
  <c r="C1332" i="1"/>
  <c r="C1331" i="1"/>
  <c r="C1146" i="1"/>
  <c r="C1145" i="1"/>
  <c r="C1144" i="1"/>
  <c r="C1143" i="1"/>
  <c r="C970" i="1"/>
  <c r="C969" i="1"/>
  <c r="C968" i="1"/>
  <c r="C967" i="1"/>
  <c r="C966" i="1"/>
  <c r="C965" i="1"/>
  <c r="C964" i="1"/>
  <c r="C963" i="1"/>
  <c r="C962" i="1"/>
  <c r="C961" i="1"/>
  <c r="C960" i="1"/>
  <c r="C959" i="1"/>
  <c r="C958" i="1"/>
  <c r="C957" i="1"/>
  <c r="C956" i="1"/>
  <c r="C955" i="1"/>
  <c r="C901" i="1"/>
  <c r="C865" i="1"/>
  <c r="C864" i="1"/>
  <c r="C863" i="1"/>
  <c r="C756" i="1"/>
  <c r="C729" i="1"/>
  <c r="C728" i="1"/>
  <c r="C727" i="1"/>
  <c r="C726" i="1"/>
  <c r="C639" i="1"/>
  <c r="C545" i="1"/>
  <c r="C527" i="1"/>
  <c r="C490" i="1"/>
  <c r="C433" i="1"/>
  <c r="C432" i="1"/>
  <c r="C431" i="1"/>
  <c r="C430" i="1"/>
  <c r="C391" i="1"/>
  <c r="C386" i="1"/>
  <c r="C385" i="1"/>
  <c r="C332" i="1"/>
  <c r="C290" i="1"/>
  <c r="C238" i="1"/>
  <c r="C158" i="1"/>
  <c r="C79" i="1"/>
  <c r="C78" i="1"/>
  <c r="C43" i="1"/>
  <c r="C7" i="1"/>
  <c r="C11" i="1"/>
  <c r="C14" i="1"/>
  <c r="C16" i="1"/>
  <c r="C17" i="1"/>
  <c r="C18" i="1"/>
  <c r="C19" i="1"/>
  <c r="C21" i="1"/>
  <c r="C22" i="1"/>
  <c r="C23" i="1"/>
  <c r="C44" i="1"/>
  <c r="C45" i="1"/>
  <c r="C46" i="1"/>
  <c r="C47" i="1"/>
  <c r="C48" i="1"/>
  <c r="C49" i="1"/>
  <c r="C50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86" i="1"/>
  <c r="C89" i="1"/>
  <c r="C91" i="1"/>
  <c r="C92" i="1"/>
  <c r="C93" i="1"/>
  <c r="C94" i="1"/>
  <c r="C95" i="1"/>
  <c r="C99" i="1"/>
  <c r="C100" i="1"/>
  <c r="C101" i="1"/>
  <c r="C102" i="1"/>
  <c r="C103" i="1"/>
  <c r="C104" i="1"/>
  <c r="C105" i="1"/>
  <c r="C107" i="1"/>
  <c r="C108" i="1"/>
  <c r="C109" i="1"/>
  <c r="C110" i="1"/>
  <c r="C111" i="1"/>
  <c r="C112" i="1"/>
  <c r="C113" i="1"/>
  <c r="C114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5" i="1"/>
  <c r="C157" i="1"/>
  <c r="C187" i="1"/>
  <c r="C188" i="1"/>
  <c r="C189" i="1"/>
  <c r="C190" i="1"/>
  <c r="C218" i="1"/>
  <c r="C219" i="1"/>
  <c r="C234" i="1"/>
  <c r="C235" i="1"/>
  <c r="C236" i="1"/>
  <c r="C237" i="1"/>
  <c r="C248" i="1"/>
  <c r="C249" i="1"/>
  <c r="C250" i="1"/>
  <c r="C255" i="1"/>
  <c r="C261" i="1"/>
  <c r="C262" i="1"/>
  <c r="C263" i="1"/>
  <c r="C274" i="1"/>
  <c r="C275" i="1"/>
  <c r="C276" i="1"/>
  <c r="C277" i="1"/>
  <c r="C278" i="1"/>
  <c r="C289" i="1"/>
  <c r="C317" i="1"/>
  <c r="C326" i="1"/>
  <c r="C327" i="1"/>
  <c r="C328" i="1"/>
  <c r="C329" i="1"/>
  <c r="C330" i="1"/>
  <c r="C331" i="1"/>
  <c r="C357" i="1"/>
  <c r="C358" i="1"/>
  <c r="C378" i="1"/>
  <c r="C382" i="1"/>
  <c r="C388" i="1"/>
  <c r="C389" i="1"/>
  <c r="C390" i="1"/>
  <c r="C414" i="1"/>
  <c r="C415" i="1"/>
  <c r="C419" i="1"/>
  <c r="C420" i="1"/>
  <c r="C421" i="1"/>
  <c r="C422" i="1"/>
  <c r="C423" i="1"/>
  <c r="C424" i="1"/>
  <c r="C425" i="1"/>
  <c r="C426" i="1"/>
  <c r="C427" i="1"/>
  <c r="C428" i="1"/>
  <c r="C429" i="1"/>
  <c r="C488" i="1"/>
  <c r="C489" i="1"/>
  <c r="C535" i="1"/>
  <c r="C536" i="1"/>
  <c r="C537" i="1"/>
  <c r="C540" i="1"/>
  <c r="C541" i="1"/>
  <c r="C542" i="1"/>
  <c r="C543" i="1"/>
  <c r="C544" i="1"/>
  <c r="C558" i="1"/>
  <c r="C559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710" i="1"/>
  <c r="C711" i="1"/>
  <c r="C712" i="1"/>
  <c r="C713" i="1"/>
  <c r="C714" i="1"/>
  <c r="C718" i="1"/>
  <c r="C722" i="1"/>
  <c r="C725" i="1"/>
  <c r="C743" i="1"/>
  <c r="C744" i="1"/>
  <c r="C745" i="1"/>
  <c r="C746" i="1"/>
  <c r="C750" i="1"/>
  <c r="C751" i="1"/>
  <c r="C752" i="1"/>
  <c r="C755" i="1"/>
  <c r="C757" i="1"/>
  <c r="C761" i="1"/>
  <c r="C765" i="1"/>
  <c r="C772" i="1"/>
  <c r="C785" i="1"/>
  <c r="C787" i="1"/>
  <c r="C788" i="1"/>
  <c r="C789" i="1"/>
  <c r="C790" i="1"/>
  <c r="C791" i="1"/>
  <c r="C792" i="1"/>
  <c r="C793" i="1"/>
  <c r="C794" i="1"/>
  <c r="C801" i="1"/>
  <c r="C802" i="1"/>
  <c r="C803" i="1"/>
  <c r="C804" i="1"/>
  <c r="C806" i="1"/>
  <c r="C807" i="1"/>
  <c r="C808" i="1"/>
  <c r="C811" i="1"/>
  <c r="C812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41" i="1"/>
  <c r="C843" i="1"/>
  <c r="C846" i="1"/>
  <c r="C847" i="1"/>
  <c r="C852" i="1"/>
  <c r="C854" i="1"/>
  <c r="C855" i="1"/>
  <c r="C856" i="1"/>
  <c r="C858" i="1"/>
  <c r="C859" i="1"/>
  <c r="C861" i="1"/>
  <c r="C862" i="1"/>
  <c r="C891" i="1"/>
  <c r="C892" i="1"/>
  <c r="C893" i="1"/>
  <c r="C894" i="1"/>
  <c r="C895" i="1"/>
  <c r="C898" i="1"/>
  <c r="C899" i="1"/>
  <c r="C900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1132" i="1"/>
  <c r="C1133" i="1"/>
  <c r="C1134" i="1"/>
  <c r="C1135" i="1"/>
  <c r="C1136" i="1"/>
  <c r="C1137" i="1"/>
  <c r="C1138" i="1"/>
  <c r="C1139" i="1"/>
  <c r="C1140" i="1"/>
  <c r="C1141" i="1"/>
  <c r="C1142" i="1"/>
  <c r="C1261" i="1"/>
  <c r="C1262" i="1"/>
  <c r="C1267" i="1"/>
  <c r="C1268" i="1"/>
  <c r="C1269" i="1"/>
  <c r="C1270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493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641" i="1"/>
  <c r="C1664" i="1"/>
  <c r="C1685" i="1"/>
  <c r="C1692" i="1"/>
  <c r="C1693" i="1"/>
  <c r="C1694" i="1"/>
  <c r="C1695" i="1"/>
  <c r="C1696" i="1"/>
  <c r="C1697" i="1"/>
  <c r="C1698" i="1"/>
  <c r="C1699" i="1"/>
  <c r="C1700" i="1"/>
  <c r="C1701" i="1"/>
  <c r="C1702" i="1"/>
  <c r="C1824" i="1"/>
  <c r="C1825" i="1"/>
  <c r="C1826" i="1"/>
  <c r="C1870" i="1"/>
  <c r="C1871" i="1"/>
  <c r="C1872" i="1"/>
  <c r="C1873" i="1"/>
  <c r="C1874" i="1"/>
  <c r="C1875" i="1"/>
  <c r="C1928" i="1"/>
  <c r="C1940" i="1"/>
  <c r="C1963" i="1"/>
  <c r="C1964" i="1"/>
  <c r="C1965" i="1"/>
  <c r="C1966" i="1"/>
  <c r="C1967" i="1"/>
  <c r="C1998" i="1"/>
  <c r="C1999" i="1"/>
  <c r="C2022" i="1"/>
  <c r="C2023" i="1"/>
  <c r="C2024" i="1"/>
  <c r="C2025" i="1"/>
  <c r="C2026" i="1"/>
  <c r="C2027" i="1"/>
  <c r="C2072" i="1"/>
  <c r="C2073" i="1"/>
  <c r="C2074" i="1"/>
  <c r="C2075" i="1"/>
  <c r="C2115" i="1"/>
  <c r="C2116" i="1"/>
  <c r="C2133" i="1"/>
  <c r="C2134" i="1"/>
  <c r="C2135" i="1"/>
  <c r="C2136" i="1"/>
  <c r="C2153" i="1"/>
  <c r="C2154" i="1"/>
  <c r="C2155" i="1"/>
  <c r="C2156" i="1"/>
  <c r="C2157" i="1"/>
  <c r="C2158" i="1"/>
  <c r="C2196" i="1"/>
  <c r="C2197" i="1"/>
  <c r="C2198" i="1"/>
  <c r="C2199" i="1"/>
  <c r="C2200" i="1"/>
  <c r="C2201" i="1"/>
  <c r="C2202" i="1"/>
  <c r="C2203" i="1"/>
  <c r="C2240" i="1"/>
  <c r="C2272" i="1"/>
  <c r="C2273" i="1"/>
  <c r="C2274" i="1"/>
  <c r="C2275" i="1"/>
  <c r="C2276" i="1"/>
  <c r="C2344" i="1"/>
  <c r="C2345" i="1"/>
  <c r="C2346" i="1"/>
  <c r="C2347" i="1"/>
  <c r="C2348" i="1"/>
  <c r="C2349" i="1"/>
  <c r="C2350" i="1"/>
  <c r="C2351" i="1"/>
  <c r="C2352" i="1"/>
  <c r="C2353" i="1"/>
  <c r="C2470" i="1"/>
  <c r="C2497" i="1"/>
  <c r="C2498" i="1"/>
  <c r="C2499" i="1"/>
  <c r="C2500" i="1"/>
  <c r="C2501" i="1"/>
  <c r="C2502" i="1"/>
  <c r="C2503" i="1"/>
  <c r="C2504" i="1"/>
  <c r="C2505" i="1"/>
  <c r="C2506" i="1"/>
  <c r="C2507" i="1"/>
  <c r="C2508" i="1"/>
  <c r="C2509" i="1"/>
  <c r="C2510" i="1"/>
  <c r="C2511" i="1"/>
  <c r="C2512" i="1"/>
  <c r="C2513" i="1"/>
  <c r="C2514" i="1"/>
  <c r="C2515" i="1"/>
  <c r="C2516" i="1"/>
  <c r="C2517" i="1"/>
  <c r="C2518" i="1"/>
  <c r="C2519" i="1"/>
  <c r="C2520" i="1"/>
  <c r="C2521" i="1"/>
  <c r="C2522" i="1"/>
  <c r="C2523" i="1"/>
  <c r="C2524" i="1"/>
  <c r="C2525" i="1"/>
  <c r="C2526" i="1"/>
  <c r="C2756" i="1"/>
  <c r="C2757" i="1"/>
  <c r="C2758" i="1"/>
  <c r="C2759" i="1"/>
  <c r="C2760" i="1"/>
  <c r="C2799" i="1"/>
  <c r="C2800" i="1"/>
  <c r="C2801" i="1"/>
  <c r="C2802" i="1"/>
  <c r="C2803" i="1"/>
  <c r="C2804" i="1"/>
  <c r="C2805" i="1"/>
  <c r="C2806" i="1"/>
  <c r="C2807" i="1"/>
  <c r="C2808" i="1"/>
  <c r="C2809" i="1"/>
  <c r="C2810" i="1"/>
  <c r="C2811" i="1"/>
  <c r="C2812" i="1"/>
  <c r="C2813" i="1"/>
  <c r="C2814" i="1"/>
  <c r="C2815" i="1"/>
  <c r="C2816" i="1"/>
  <c r="C2817" i="1"/>
  <c r="C2818" i="1"/>
  <c r="C2819" i="1"/>
  <c r="C2820" i="1"/>
  <c r="C2821" i="1"/>
  <c r="C2822" i="1"/>
  <c r="C2823" i="1"/>
  <c r="C2824" i="1"/>
  <c r="C2825" i="1"/>
  <c r="C2826" i="1"/>
  <c r="C2827" i="1"/>
  <c r="C2828" i="1"/>
  <c r="C2829" i="1"/>
  <c r="C2830" i="1"/>
  <c r="C3044" i="1"/>
  <c r="C3057" i="1"/>
  <c r="C3058" i="1"/>
  <c r="C3059" i="1"/>
  <c r="C3060" i="1"/>
  <c r="C3061" i="1"/>
  <c r="C3062" i="1"/>
  <c r="C3063" i="1"/>
  <c r="C3064" i="1"/>
  <c r="C3065" i="1"/>
  <c r="C3066" i="1"/>
  <c r="C3067" i="1"/>
  <c r="C3068" i="1"/>
  <c r="C3069" i="1"/>
  <c r="C3070" i="1"/>
  <c r="C3071" i="1"/>
  <c r="C3072" i="1"/>
  <c r="C3073" i="1"/>
  <c r="C3074" i="1"/>
  <c r="C3075" i="1"/>
  <c r="C3076" i="1"/>
  <c r="C3077" i="1"/>
  <c r="C3078" i="1"/>
  <c r="C3079" i="1"/>
  <c r="C3080" i="1"/>
  <c r="C3081" i="1"/>
  <c r="C3082" i="1"/>
  <c r="C3083" i="1"/>
  <c r="C3084" i="1"/>
  <c r="C3085" i="1"/>
  <c r="C3279" i="1"/>
  <c r="C3280" i="1"/>
  <c r="C3281" i="1"/>
  <c r="C3282" i="1"/>
  <c r="C3283" i="1"/>
  <c r="C3284" i="1"/>
  <c r="C3285" i="1"/>
  <c r="C3286" i="1"/>
  <c r="C3287" i="1"/>
  <c r="C3328" i="1"/>
  <c r="C3329" i="1"/>
  <c r="C3330" i="1"/>
  <c r="C3331" i="1"/>
  <c r="C3337" i="1"/>
  <c r="C3338" i="1"/>
  <c r="C3339" i="1"/>
  <c r="C3340" i="1"/>
  <c r="C3341" i="1"/>
  <c r="C3342" i="1"/>
  <c r="C3343" i="1"/>
  <c r="C3344" i="1"/>
  <c r="C3345" i="1"/>
  <c r="C3394" i="1"/>
  <c r="C3395" i="1"/>
  <c r="C3396" i="1"/>
  <c r="C3418" i="1"/>
  <c r="C3419" i="1"/>
  <c r="C3420" i="1"/>
  <c r="C3485" i="1"/>
  <c r="C3486" i="1"/>
  <c r="C3487" i="1"/>
  <c r="C3488" i="1"/>
  <c r="C3489" i="1"/>
  <c r="C3490" i="1"/>
  <c r="C3491" i="1"/>
  <c r="C3492" i="1"/>
  <c r="C3493" i="1"/>
  <c r="C3567" i="1"/>
  <c r="C3568" i="1"/>
  <c r="C3569" i="1"/>
  <c r="C3570" i="1"/>
  <c r="C3571" i="1"/>
  <c r="C3572" i="1"/>
  <c r="C3573" i="1"/>
  <c r="C3657" i="1"/>
  <c r="C3658" i="1"/>
  <c r="C3659" i="1"/>
  <c r="C3660" i="1"/>
  <c r="C3661" i="1"/>
  <c r="C3662" i="1"/>
  <c r="C3663" i="1"/>
  <c r="C3691" i="1"/>
  <c r="C3713" i="1"/>
  <c r="C3714" i="1"/>
  <c r="C3715" i="1"/>
  <c r="C3716" i="1"/>
  <c r="C3717" i="1"/>
  <c r="C3718" i="1"/>
  <c r="C3719" i="1"/>
  <c r="C3720" i="1"/>
  <c r="C3805" i="1"/>
  <c r="C3806" i="1"/>
  <c r="C3881" i="1"/>
  <c r="C3888" i="1"/>
  <c r="C3889" i="1"/>
  <c r="C3890" i="1"/>
  <c r="C3891" i="1"/>
  <c r="C3892" i="1"/>
  <c r="C3893" i="1"/>
  <c r="C3894" i="1"/>
  <c r="C3895" i="1"/>
  <c r="C3896" i="1"/>
  <c r="C3897" i="1"/>
  <c r="C3898" i="1"/>
  <c r="C3899" i="1"/>
  <c r="C3962" i="1"/>
  <c r="C3963" i="1"/>
  <c r="C3964" i="1"/>
  <c r="C3965" i="1"/>
  <c r="C3966" i="1"/>
  <c r="C3967" i="1"/>
  <c r="C3968" i="1"/>
  <c r="C3969" i="1"/>
  <c r="C4051" i="1"/>
  <c r="C4052" i="1"/>
  <c r="C4053" i="1"/>
  <c r="C4054" i="1"/>
  <c r="C4055" i="1"/>
  <c r="C4160" i="1"/>
  <c r="C4166" i="1"/>
  <c r="C4167" i="1"/>
  <c r="C4168" i="1"/>
  <c r="C4169" i="1"/>
  <c r="C4170" i="1"/>
  <c r="C4171" i="1"/>
  <c r="C4254" i="1"/>
  <c r="C4255" i="1"/>
  <c r="C4256" i="1"/>
  <c r="C4257" i="1"/>
  <c r="C4258" i="1"/>
  <c r="C4308" i="1"/>
  <c r="C4309" i="1"/>
  <c r="C4310" i="1"/>
  <c r="C4311" i="1"/>
  <c r="C4312" i="1"/>
  <c r="C4313" i="1"/>
  <c r="C4340" i="1"/>
  <c r="C4341" i="1"/>
  <c r="C4342" i="1"/>
  <c r="C4343" i="1"/>
  <c r="C4344" i="1"/>
  <c r="C4345" i="1"/>
  <c r="C4346" i="1"/>
  <c r="C4426" i="1"/>
  <c r="C4427" i="1"/>
  <c r="C4428" i="1"/>
  <c r="C4429" i="1"/>
  <c r="C4430" i="1"/>
  <c r="C4431" i="1"/>
  <c r="C4460" i="1"/>
  <c r="C4461" i="1"/>
  <c r="C4475" i="1"/>
  <c r="C4476" i="1"/>
  <c r="C4477" i="1"/>
  <c r="C4478" i="1"/>
  <c r="C4479" i="1"/>
  <c r="C4480" i="1"/>
  <c r="C4481" i="1"/>
  <c r="C4482" i="1"/>
  <c r="C4483" i="1"/>
  <c r="C4484" i="1"/>
  <c r="C4586" i="1"/>
  <c r="C4587" i="1"/>
  <c r="C4588" i="1"/>
  <c r="C4589" i="1"/>
  <c r="C4590" i="1"/>
  <c r="C4644" i="1"/>
  <c r="C4645" i="1"/>
  <c r="C4646" i="1"/>
  <c r="C4647" i="1"/>
  <c r="C4648" i="1"/>
  <c r="C4649" i="1"/>
  <c r="C4650" i="1"/>
  <c r="C4651" i="1"/>
  <c r="C4652" i="1"/>
  <c r="C4653" i="1"/>
  <c r="C4654" i="1"/>
  <c r="C4655" i="1"/>
  <c r="C4656" i="1"/>
  <c r="C4806" i="1"/>
  <c r="C4825" i="1"/>
  <c r="C4826" i="1"/>
  <c r="C4827" i="1"/>
  <c r="C4828" i="1"/>
  <c r="C4829" i="1"/>
  <c r="C4901" i="1"/>
  <c r="C4902" i="1"/>
  <c r="C4903" i="1"/>
  <c r="C4904" i="1"/>
  <c r="C4905" i="1"/>
  <c r="C4949" i="1"/>
  <c r="C4950" i="1"/>
  <c r="C4951" i="1"/>
  <c r="C4952" i="1"/>
  <c r="C4953" i="1"/>
  <c r="C4954" i="1"/>
  <c r="C4955" i="1"/>
  <c r="C4956" i="1"/>
  <c r="C4957" i="1"/>
  <c r="C4958" i="1"/>
  <c r="C4959" i="1"/>
  <c r="C4960" i="1"/>
  <c r="C4961" i="1"/>
  <c r="C4962" i="1"/>
  <c r="C4963" i="1"/>
  <c r="C4964" i="1"/>
  <c r="C4965" i="1"/>
  <c r="C4966" i="1"/>
  <c r="C4988" i="1"/>
  <c r="C5008" i="1"/>
  <c r="C5018" i="1"/>
  <c r="C5028" i="1"/>
  <c r="C5040" i="1"/>
  <c r="C5041" i="1"/>
  <c r="C5042" i="1"/>
  <c r="C5043" i="1"/>
  <c r="C5044" i="1"/>
  <c r="C5045" i="1"/>
  <c r="C5050" i="1"/>
  <c r="C5051" i="1"/>
  <c r="C5052" i="1"/>
  <c r="C5123" i="1"/>
  <c r="C5124" i="1"/>
  <c r="C5125" i="1"/>
  <c r="C5126" i="1"/>
  <c r="C5127" i="1"/>
  <c r="C5128" i="1"/>
  <c r="C5129" i="1"/>
  <c r="C5177" i="1"/>
  <c r="C5178" i="1"/>
  <c r="C5179" i="1"/>
  <c r="C5180" i="1"/>
  <c r="C5181" i="1"/>
  <c r="C5182" i="1"/>
  <c r="C5183" i="1"/>
  <c r="C5190" i="1"/>
  <c r="C5191" i="1"/>
  <c r="C5192" i="1"/>
  <c r="C5193" i="1"/>
  <c r="C5194" i="1"/>
  <c r="C5195" i="1"/>
  <c r="C5196" i="1"/>
  <c r="C5197" i="1"/>
  <c r="C5198" i="1"/>
  <c r="C5199" i="1"/>
  <c r="C5200" i="1"/>
  <c r="C5201" i="1"/>
  <c r="C5202" i="1"/>
  <c r="C5203" i="1"/>
  <c r="C5204" i="1"/>
  <c r="C5205" i="1"/>
  <c r="C5213" i="1"/>
  <c r="C5214" i="1"/>
  <c r="C5215" i="1"/>
  <c r="C5216" i="1"/>
  <c r="C5217" i="1"/>
  <c r="C5218" i="1"/>
  <c r="C5219" i="1"/>
  <c r="C5220" i="1"/>
  <c r="C5221" i="1"/>
  <c r="C5222" i="1"/>
  <c r="C5230" i="1"/>
  <c r="C5231" i="1"/>
  <c r="C5232" i="1"/>
  <c r="C5233" i="1"/>
  <c r="C5234" i="1"/>
  <c r="C5235" i="1"/>
  <c r="C5236" i="1"/>
  <c r="C5237" i="1"/>
  <c r="C5238" i="1"/>
  <c r="C5239" i="1"/>
  <c r="C5240" i="1"/>
  <c r="C5241" i="1"/>
  <c r="C5242" i="1"/>
  <c r="C5243" i="1"/>
  <c r="C5244" i="1"/>
  <c r="C5245" i="1"/>
  <c r="C5246" i="1"/>
  <c r="C5269" i="1"/>
  <c r="C5270" i="1"/>
  <c r="C5271" i="1"/>
  <c r="C5272" i="1"/>
  <c r="C5273" i="1"/>
  <c r="C5281" i="1"/>
  <c r="C5282" i="1"/>
  <c r="C5283" i="1"/>
  <c r="C5284" i="1"/>
  <c r="C5285" i="1"/>
  <c r="C5287" i="1"/>
  <c r="C5288" i="1"/>
  <c r="C5289" i="1"/>
  <c r="C5290" i="1"/>
  <c r="C5291" i="1"/>
  <c r="C5292" i="1"/>
  <c r="C5293" i="1"/>
  <c r="C5294" i="1"/>
  <c r="C5295" i="1"/>
  <c r="C5296" i="1"/>
  <c r="C5297" i="1"/>
  <c r="C5298" i="1"/>
  <c r="C5299" i="1"/>
  <c r="C5310" i="1"/>
  <c r="C5312" i="1"/>
  <c r="C5313" i="1"/>
  <c r="C5314" i="1"/>
  <c r="C5315" i="1"/>
  <c r="C5316" i="1"/>
  <c r="C5317" i="1"/>
  <c r="C5318" i="1"/>
  <c r="C5319" i="1"/>
  <c r="C5320" i="1"/>
  <c r="C5321" i="1"/>
  <c r="C5322" i="1"/>
  <c r="C5323" i="1"/>
  <c r="C5324" i="1"/>
  <c r="C5340" i="1"/>
  <c r="C5341" i="1"/>
  <c r="C5342" i="1"/>
  <c r="C5343" i="1"/>
  <c r="C5344" i="1"/>
  <c r="C5345" i="1"/>
  <c r="C5358" i="1"/>
  <c r="C5359" i="1"/>
  <c r="C5360" i="1"/>
  <c r="C5422" i="1"/>
  <c r="C5428" i="1"/>
</calcChain>
</file>

<file path=xl/sharedStrings.xml><?xml version="1.0" encoding="utf-8"?>
<sst xmlns="http://schemas.openxmlformats.org/spreadsheetml/2006/main" count="21714" uniqueCount="5714">
  <si>
    <t xml:space="preserve">Component                                                                                           </t>
  </si>
  <si>
    <t xml:space="preserve">Component name                                                                                      </t>
  </si>
  <si>
    <t xml:space="preserve">Note number                                                                                         </t>
  </si>
  <si>
    <t xml:space="preserve">Note version                                                                                        </t>
  </si>
  <si>
    <t xml:space="preserve">Note description                                                                                    </t>
  </si>
  <si>
    <t xml:space="preserve">Note priority                                                                                       </t>
  </si>
  <si>
    <t>BW-BCT-PA</t>
  </si>
  <si>
    <t>Personnel Management</t>
  </si>
  <si>
    <t>0EMPLOYEE_ATTR_CE: performance improvement</t>
  </si>
  <si>
    <t>Correction with medium priority</t>
  </si>
  <si>
    <t>BW-BCT-PT</t>
  </si>
  <si>
    <t>Pers.Time Management</t>
  </si>
  <si>
    <t>Increased runtime for extractor 0HR_PT_1, 0HR_PT_2, 0HR_PT_3</t>
  </si>
  <si>
    <t>CA-ESS-ITS</t>
  </si>
  <si>
    <t>ESS ITS</t>
  </si>
  <si>
    <t>Transaction HRUSER not showing all user details</t>
  </si>
  <si>
    <t>Correction with low priority</t>
  </si>
  <si>
    <t>CA-TS</t>
  </si>
  <si>
    <t>Time Sheet</t>
  </si>
  <si>
    <t>CA-TS: IDOC struck in status 30</t>
  </si>
  <si>
    <t>Report RCATSTAL is not integrated with closing cockpit</t>
  </si>
  <si>
    <t>CATS: wage type deletion with amount or number</t>
  </si>
  <si>
    <t>EHS-HEA</t>
  </si>
  <si>
    <t>Occupational Health</t>
  </si>
  <si>
    <t>Error handling for TRANSLATE command in the package CBHR</t>
  </si>
  <si>
    <t>EP-PCT-MGR-HR</t>
  </si>
  <si>
    <t>BP for MSS HR</t>
  </si>
  <si>
    <t>Qualifications IView performance Issue in MSS</t>
  </si>
  <si>
    <t>Correction with high priority</t>
  </si>
  <si>
    <t>Fixing check man error</t>
  </si>
  <si>
    <t>Checkman- Security category</t>
  </si>
  <si>
    <t>PA-BC</t>
  </si>
  <si>
    <t>Basis</t>
  </si>
  <si>
    <t>Checkman correction</t>
  </si>
  <si>
    <t>Interface note: Unoccupied position percentage</t>
  </si>
  <si>
    <t>Recommendations / Additional Info</t>
  </si>
  <si>
    <t>Unoccupied Percentage of Position</t>
  </si>
  <si>
    <t>CL_HRPAD00AUTH_CHECK_STD: CHECK_OM_MAX_LEVEL_AUTH_OPT</t>
  </si>
  <si>
    <t>HRPADAUTH_AC_UNIT: Enhancement for the sample implementation</t>
  </si>
  <si>
    <t>RHBAUS04: Check Manager messages</t>
  </si>
  <si>
    <t>HR authorizations: Access to non-integrated person</t>
  </si>
  <si>
    <t>PA-BC-IN</t>
  </si>
  <si>
    <t>Basis - Integration</t>
  </si>
  <si>
    <t>Integration: Runtime error GETWA_NOT_ASSIGNED_RANGE</t>
  </si>
  <si>
    <t>IT0001: Database inconsistency due to multiple staffing assi</t>
  </si>
  <si>
    <t>PA-BN</t>
  </si>
  <si>
    <t>Benefits</t>
  </si>
  <si>
    <t>HRBEN0004 does not copy all of the dependents</t>
  </si>
  <si>
    <t>IT0219: Issue with Object ID generation.</t>
  </si>
  <si>
    <t>conf form prints beneficiary name twice in SAP script form</t>
  </si>
  <si>
    <t>When EOI proven, beneficiary percentage is getting dropped</t>
  </si>
  <si>
    <t>RPUBEN62 doesn't work if 'Exclude already enrolled' not set</t>
  </si>
  <si>
    <t>EOI Rules not considering EE existing coverage</t>
  </si>
  <si>
    <t>Ineligible dependents appear during enrollment.</t>
  </si>
  <si>
    <t>Eligibility proven check is not getting carried over.</t>
  </si>
  <si>
    <t>HRBEN0046 - Output does not return all the entries.</t>
  </si>
  <si>
    <t>IT0168 has different coverage amount than HRBEN0006</t>
  </si>
  <si>
    <t>BEN: Error on FSA Claim due to currency conversion</t>
  </si>
  <si>
    <t>Fields TELNR,FAXNR and region text are empty in Infotype0219</t>
  </si>
  <si>
    <t>Benefit Form Text Alignment is not proper.</t>
  </si>
  <si>
    <t>Currency error on overview screen for FSA.</t>
  </si>
  <si>
    <t>EOI Transaction deleting pending record when approving.</t>
  </si>
  <si>
    <t>HRBEN0001: Error message HRBEN00TREEREPORTS023</t>
  </si>
  <si>
    <t>Error messages not completely translated</t>
  </si>
  <si>
    <t>Currency not correct on Limits defined in Contribution rules</t>
  </si>
  <si>
    <t>Note to determine whether or not to display Ineligible depen</t>
  </si>
  <si>
    <t>Flexible Spending Account Change is not working</t>
  </si>
  <si>
    <t>Future dated Employees are not picked up by Transaction HRBE</t>
  </si>
  <si>
    <t>BEN: Error message when changing HDHP plan is unclear.</t>
  </si>
  <si>
    <t>ER contribution for Stock Purchase Plan in Arrears.</t>
  </si>
  <si>
    <t>PA-BN-AD-PY</t>
  </si>
  <si>
    <t>Payroll Interface</t>
  </si>
  <si>
    <t>Plans have rounding off error with USDN currency in Payroll</t>
  </si>
  <si>
    <t>PA-BN-CL</t>
  </si>
  <si>
    <t>Claims Proc. (Asia)</t>
  </si>
  <si>
    <t>Med.Entitlement not Prorated accurately in program HRCLM0002</t>
  </si>
  <si>
    <t>PA-BN-CO</t>
  </si>
  <si>
    <t>COBRA</t>
  </si>
  <si>
    <t>Transaction HRBENUSCOB07 sets status to coverage unavailable</t>
  </si>
  <si>
    <t>RPUCOB02: Error while printing letter for second event</t>
  </si>
  <si>
    <t>Cobra Letter when removing a DP by using legal separation.</t>
  </si>
  <si>
    <t>BEN: COBRA Notice updated for Affordable Care Act</t>
  </si>
  <si>
    <t>BEN: 2013 COBRA letter in SAPScript format.</t>
  </si>
  <si>
    <t>PA-CM</t>
  </si>
  <si>
    <t>Compensation Manag.</t>
  </si>
  <si>
    <t>Integration of IT1005 as standard tab into PPOME</t>
  </si>
  <si>
    <t>RPIPSR00: processing does not finish</t>
  </si>
  <si>
    <t>PA-CM-CP</t>
  </si>
  <si>
    <t>Personnel Cost Plan.</t>
  </si>
  <si>
    <t>OM change documents: Infotype 1015 - Personnel Cost Planning</t>
  </si>
  <si>
    <t>PA-IS</t>
  </si>
  <si>
    <t>Informations Systems</t>
  </si>
  <si>
    <t>Runtime Errors SAPSQL_WHERE_QUOTES when reading texts</t>
  </si>
  <si>
    <t>Interface Note: Position Vacancy Percentage BI Extraction</t>
  </si>
  <si>
    <t>Printing issues HR_DISPLAY_ERROR_LIST</t>
  </si>
  <si>
    <t>Ad Hoc Query: Object selection with subtypes</t>
  </si>
  <si>
    <t>PA-MA</t>
  </si>
  <si>
    <t>HR Manager's Desktop</t>
  </si>
  <si>
    <t>BAPI_ORGUNITEXT_DATA_GET: the field DEPTH is not populated</t>
  </si>
  <si>
    <t>PA-OS</t>
  </si>
  <si>
    <t>Organizational Plan</t>
  </si>
  <si>
    <t>PD-&amp;gt;PA integration in new infotype framework</t>
  </si>
  <si>
    <t>PP01: Infotype 1613 deleted when infotype 1000 is copied</t>
  </si>
  <si>
    <t>Runtime error in RHT750XADJUSTMENT</t>
  </si>
  <si>
    <t>PP01: Infotype 1610 deleted when infotype 1000 is copied</t>
  </si>
  <si>
    <t>HRCA_FM_FUND_BPD_ASSIGNMT_LIST issues error HR_FM_BUDGET_PD</t>
  </si>
  <si>
    <t>HCM-CC "PA-OM-TIME": Maintenance TA SACC2</t>
  </si>
  <si>
    <t>Report RHXTASKS generates dump</t>
  </si>
  <si>
    <t>PA-OS-BS</t>
  </si>
  <si>
    <t>Bases</t>
  </si>
  <si>
    <t>PPOME: Short dump DATA_OFFSET_NEGATIVE during quota planning</t>
  </si>
  <si>
    <t>PPOME, PPOSE (IT1018): Selecting a line changes data</t>
  </si>
  <si>
    <t>PPOME, PPOSE (IT1018): Selected, blank data record inconsist</t>
  </si>
  <si>
    <t>Accessibility RH_DELETE_SPECIAL_CHARACTERS</t>
  </si>
  <si>
    <t>Transaction PPOSE: Data is changed despite PPOSE</t>
  </si>
  <si>
    <t>PA-OS-ST</t>
  </si>
  <si>
    <t>Staffing</t>
  </si>
  <si>
    <t>Interface Note: Default Compensation Type for PPOME</t>
  </si>
  <si>
    <t>RHVAKRI0: Cleanup of report</t>
  </si>
  <si>
    <t>PPOME account assignments: Unnecessary split in IT1001</t>
  </si>
  <si>
    <t>Cost distribution: Update termination because of rounding er</t>
  </si>
  <si>
    <t>Performance improvement for the report RHSBES00</t>
  </si>
  <si>
    <t>Check Manager errors in RHT750Xadjustment</t>
  </si>
  <si>
    <t>Infotype 1010 ("Authorities/Resources"): Fields on screen 30</t>
  </si>
  <si>
    <t>PPOME: Incorrect inheritance of working time</t>
  </si>
  <si>
    <t>Organizational reassignment: Misleading error message about</t>
  </si>
  <si>
    <t>PPOME: Input help for PERSK in infotype 1013 without country</t>
  </si>
  <si>
    <t>PA-PA-AR</t>
  </si>
  <si>
    <t>Argentina</t>
  </si>
  <si>
    <t>[AR] Decoupling classes maintenance</t>
  </si>
  <si>
    <t>PA-PA-AT</t>
  </si>
  <si>
    <t>Austria</t>
  </si>
  <si>
    <t>Educational part-time as of July 1, 2013</t>
  </si>
  <si>
    <t>PA-PA-BE</t>
  </si>
  <si>
    <t>Belgium</t>
  </si>
  <si>
    <t>Infotype 2001 - Field ZKMKT inserted via TMW</t>
  </si>
  <si>
    <t>Disabled Children: Enabling 3 pillar system</t>
  </si>
  <si>
    <t>Infotype 0865 - Missing foreign key definition field MOBM2</t>
  </si>
  <si>
    <t>Personal Profile - Infotype 0865 - Field DISTN not updated</t>
  </si>
  <si>
    <t>PA-PA-CN</t>
  </si>
  <si>
    <t>China</t>
  </si>
  <si>
    <t>Dummy Note for EHI BF Package/ checkman error</t>
  </si>
  <si>
    <t>Contract Elements: Value of Customerized Field in Include Sc</t>
  </si>
  <si>
    <t>PA-PA-DE</t>
  </si>
  <si>
    <t>Germany</t>
  </si>
  <si>
    <t>SEPA debit memos in Payroll</t>
  </si>
  <si>
    <t>SEPA debit memo: Preparation for advance implementation of S</t>
  </si>
  <si>
    <t>Utility program for changing the payment method in German in</t>
  </si>
  <si>
    <t>Data destruction of garnishment infotypes</t>
  </si>
  <si>
    <t>PA-PA-DK</t>
  </si>
  <si>
    <t>Denmark</t>
  </si>
  <si>
    <t>HRDK: IT0006 - Problems with Region-code in Foreign address</t>
  </si>
  <si>
    <t>HRDK:SAPMP5X0_CE fast-entry hire and check of CPR-/SE-No.</t>
  </si>
  <si>
    <t>PA-PA-ES</t>
  </si>
  <si>
    <t>Spain</t>
  </si>
  <si>
    <t>Code injection vulnerability in PA-PA-ES</t>
  </si>
  <si>
    <t>PA-PA-FI</t>
  </si>
  <si>
    <t>Finland</t>
  </si>
  <si>
    <t>HRFI: SQL-Select Statement and Explicit Sort</t>
  </si>
  <si>
    <t>PA-PA-FR</t>
  </si>
  <si>
    <t>France</t>
  </si>
  <si>
    <t>Modifications to improve quality of ABAP Code</t>
  </si>
  <si>
    <t>EC11- Created a personnel subarea by copying</t>
  </si>
  <si>
    <t>Screen control in T588M does not work for field P0218-PCPOP</t>
  </si>
  <si>
    <t>PA-PA-FR-TNM</t>
  </si>
  <si>
    <t>Training Need Mgmt.</t>
  </si>
  <si>
    <t>TNM, org. key/bus. area not retrieved in forecast</t>
  </si>
  <si>
    <t>TNM: fix for a BCD_ZERODIVIDE runtime errror</t>
  </si>
  <si>
    <t>IMG Training Needs Management: Feature FTNMS (Doc)</t>
  </si>
  <si>
    <t>TNM: RPCTNM9S_ASSIGN report, fix for WBT (LSO integration)</t>
  </si>
  <si>
    <t>TNM: fix for incorrect compensation valuation</t>
  </si>
  <si>
    <t>PA-PA-GB</t>
  </si>
  <si>
    <t>Great Britain</t>
  </si>
  <si>
    <t>PA-PA-GB: Other Age Proof for employee in IT0069</t>
  </si>
  <si>
    <t>PA-PA-IT</t>
  </si>
  <si>
    <t>Italy</t>
  </si>
  <si>
    <t>Checkman corrections (IT)</t>
  </si>
  <si>
    <t>PA-PA-JP</t>
  </si>
  <si>
    <t>Japan</t>
  </si>
  <si>
    <t>Revision of ESS YEA Enhancement</t>
  </si>
  <si>
    <t>HJPUBP_PNTASN: Point Display incorrect when Multiple EE outp</t>
  </si>
  <si>
    <t>IT3203/3204: Enhancement for Scrolling of Table Controls</t>
  </si>
  <si>
    <t>Incorrect NAMEOFCHILDTYPE in BAPI_FAMILYJP_GETDETAILEDLIST</t>
  </si>
  <si>
    <t>RPLRLSJ0: HR_DISPLAY_BASIC_LIST is obsolete</t>
  </si>
  <si>
    <t>IT0889: Incorrect screen control for fields</t>
  </si>
  <si>
    <t>PA-PA-KR</t>
  </si>
  <si>
    <t>South Korea</t>
  </si>
  <si>
    <t>Handicapped Code is Added in IT0021 and IT0541</t>
  </si>
  <si>
    <t>2013: Deposit Date Field for RP with Tax Defer. on IT0538</t>
  </si>
  <si>
    <t>PA-PA-KW</t>
  </si>
  <si>
    <t>Kuwait Pers. Admin.</t>
  </si>
  <si>
    <t>Enhancement in RPUPAV00 for Kuwait</t>
  </si>
  <si>
    <t>PA-PA-MX</t>
  </si>
  <si>
    <t>Mexico</t>
  </si>
  <si>
    <t>[MX] Missing customizing entry for field Q0006MX-DISTRICT</t>
  </si>
  <si>
    <t>PA-PA-NL</t>
  </si>
  <si>
    <t>Netherlands</t>
  </si>
  <si>
    <t>Change of infotype 0059 can issue the error message HRPANL_E</t>
  </si>
  <si>
    <t>Overview screen from IT0854 and IBAN display</t>
  </si>
  <si>
    <t>Update IBAN in Country Specific Infotypes</t>
  </si>
  <si>
    <t>PA-PA-QA</t>
  </si>
  <si>
    <t>State of Qatar</t>
  </si>
  <si>
    <t>Qatar Petty Cash Additional Enhancement</t>
  </si>
  <si>
    <t>Enhancement in RPUPAV00 for IT3337 - Qatar</t>
  </si>
  <si>
    <t>PA-PA-RU</t>
  </si>
  <si>
    <t>HR master data: Russ</t>
  </si>
  <si>
    <t>CHECKMAN errors correction in 470x/ECC500/ECC60x</t>
  </si>
  <si>
    <t>HRULPAY2: Lack of data on the periods of absence</t>
  </si>
  <si>
    <t>HCM Renewal: RU Localization</t>
  </si>
  <si>
    <t>HR-RU: correction of input values proccessing in off-cycle</t>
  </si>
  <si>
    <t>Infotype 0296, several accounts for one vendor</t>
  </si>
  <si>
    <t>Missing place of birth in Form T-2</t>
  </si>
  <si>
    <t>HR-RU: Wrong WPBP Assignment in RURAB for Future Vacations</t>
  </si>
  <si>
    <t>HR-RU: Correction of checkman errors</t>
  </si>
  <si>
    <t>HR-RU: dump at the start of 4N form (CE version)</t>
  </si>
  <si>
    <t>HR RU: 'Issued_by' in RF passport is increased to 150 symbol</t>
  </si>
  <si>
    <t>HCM-RU: Correction of checkman errors</t>
  </si>
  <si>
    <t>PA-PA-SG</t>
  </si>
  <si>
    <t>Singapore</t>
  </si>
  <si>
    <t>Search Help on IT0183(Award) AWWTP (Wage type)</t>
  </si>
  <si>
    <t>The 'Detail of Debt' in IT0755 cannot be saved successfully</t>
  </si>
  <si>
    <t>PA-PA-TW</t>
  </si>
  <si>
    <t>Taiwan</t>
  </si>
  <si>
    <t>Text Correction for Infotype 0818(New Pension TW)</t>
  </si>
  <si>
    <t>Automatic Update of PA0353-TAXID When IT0185 Changes</t>
  </si>
  <si>
    <t>0354 Field Display Control Issue Due to Incorrect Setting of</t>
  </si>
  <si>
    <t>PA-PA-US</t>
  </si>
  <si>
    <t>USA</t>
  </si>
  <si>
    <t>IT0014:Indicator for indirect valuation(INDBW) without label</t>
  </si>
  <si>
    <t>IT0077: Race texts are converted to upper case after warning</t>
  </si>
  <si>
    <t>Invalid entries in table T582ITVCHCK</t>
  </si>
  <si>
    <t>HR Renewal:Business logic for fields in IT0207 and IT0208</t>
  </si>
  <si>
    <t>IT2001: Short dump for subtype 'Short term disability'</t>
  </si>
  <si>
    <t>PA-PA-US-BN</t>
  </si>
  <si>
    <t>Benefits USA</t>
  </si>
  <si>
    <t>BEN: Payroll error "Dereferencing processing Saving Plans"</t>
  </si>
  <si>
    <t>FSA Claims - Incorrect year used for reimbursement</t>
  </si>
  <si>
    <t>PA-PA-XX</t>
  </si>
  <si>
    <t>General Parts</t>
  </si>
  <si>
    <t>Sammelhinweis für neue Komponenten im HCM</t>
  </si>
  <si>
    <t>PU22 Enhancement: After ILM enablement</t>
  </si>
  <si>
    <t>Infotype 3213 decoupling</t>
  </si>
  <si>
    <t>Error:'Maintain Employee Gender' while creating IT0002</t>
  </si>
  <si>
    <t>Error message PG 207 issued incorrectly</t>
  </si>
  <si>
    <t>HR_ENTRY_DATE: Incorrect entry date from infotype 0041 (2)</t>
  </si>
  <si>
    <t>Infotype text is lost during payroll run</t>
  </si>
  <si>
    <t>IT 0019 processed in background: warning message displayed</t>
  </si>
  <si>
    <t>Incorrect validity dates for the infotype 0001</t>
  </si>
  <si>
    <t>Entry Help for Subtypes: Country grouping not modifiable</t>
  </si>
  <si>
    <t>Field MASSN is not filled in the feature RETRO</t>
  </si>
  <si>
    <t>Result set of SQL SELECT statement not sorted</t>
  </si>
  <si>
    <t>IT0001: Evaluation of feature PINCH using incorrect data</t>
  </si>
  <si>
    <t>Suspicious Access to Unsorted DB Content</t>
  </si>
  <si>
    <t>IT0011/IT0014/IT0051:Too many units visible in F4 input help</t>
  </si>
  <si>
    <t>IT0001: Exception CX_HRPA_VIOLATED_POSTCONDITION</t>
  </si>
  <si>
    <t>RPU_FILL_IBAN: Infotype 0272 is not updated</t>
  </si>
  <si>
    <t>Archiving Object HRPA_ADRS: not all records are deleted</t>
  </si>
  <si>
    <t>IT 0105 processed in background: warning message displayed</t>
  </si>
  <si>
    <t>IT0001: Error message "S 00000000 does not exist"</t>
  </si>
  <si>
    <t>PU03: Correction run cannot be changed</t>
  </si>
  <si>
    <t>PA70/Create with Proposal: Not all lines are filled</t>
  </si>
  <si>
    <t>PBA7: Only one subtype transferred for applicant data [2]</t>
  </si>
  <si>
    <t>BAdI HRPAD00INFTYDB called for first saving only</t>
  </si>
  <si>
    <t>IT0030 and IT0035: Text lines for dynamic actions</t>
  </si>
  <si>
    <t>IBAN/SEPA: Error "Enter the bank key" during entry</t>
  </si>
  <si>
    <t>Cost assignment detail: exception CX_HRPA_INVALID_PARAMETER</t>
  </si>
  <si>
    <t>Archiving object HRPA_REMUN: Exception CX_LRM_RULE_EXEC</t>
  </si>
  <si>
    <t>Infotype records are not delimited or updated</t>
  </si>
  <si>
    <t>T588M/SAPMP5X0_CE: feature for variable key cannot be used</t>
  </si>
  <si>
    <t>IT0009: Bank data not updated from IBAN in ESS</t>
  </si>
  <si>
    <t>Several issues with HRMD_A08 and HRMD_A09</t>
  </si>
  <si>
    <t>IT0001: Old A/B008 relationships are extended</t>
  </si>
  <si>
    <t>Interface Note (Basic): Validity Period of HR Objects</t>
  </si>
  <si>
    <t>Feature PFREQ is incorrectly read during batch input</t>
  </si>
  <si>
    <t>Interface Note (SAP_HR): Validity Period of HR Objects</t>
  </si>
  <si>
    <t>Validity period of HR objects</t>
  </si>
  <si>
    <t>LGMST: Decision field ANSVH filled with incorrect data</t>
  </si>
  <si>
    <t>HRPAD00INFTY-&amp;gt;IN_UPDATE: Parameter OLD_IMAGE is filled incor</t>
  </si>
  <si>
    <t>Indirect valuation depends on wage type order</t>
  </si>
  <si>
    <t>Exception Handling in RP_GET_PERNR_FROM_USERID</t>
  </si>
  <si>
    <t>HCMDP: Retention Period not taken into account</t>
  </si>
  <si>
    <t>RHPLTEL ("Telephone Directory") ignores standard period</t>
  </si>
  <si>
    <t>Infotype 0011: message RP835 is not raised</t>
  </si>
  <si>
    <t>ZDM enablement of HCM reports</t>
  </si>
  <si>
    <t>HCMDP: Dump OBJECTS_OBJREF_NOT_ASSIGNED in the delete progra</t>
  </si>
  <si>
    <t>PA41: Infotype records that have not been selected are moved</t>
  </si>
  <si>
    <t>Entry not exist in T526 can be saved via PA40 and PA30</t>
  </si>
  <si>
    <t>Utility program for payment method change in infotypes</t>
  </si>
  <si>
    <t>PA40: No proposal for IT0022 and IT0023 when reassigning cou</t>
  </si>
  <si>
    <t>IT0001: Resulting set in F4 input help for organizational un</t>
  </si>
  <si>
    <t>Report RPU_FILL_IBAN does not update all records</t>
  </si>
  <si>
    <t>Feature ACTCE: Personnel area not taken into account</t>
  </si>
  <si>
    <t>Error message PG207 is erroneously triggered</t>
  </si>
  <si>
    <t>IT0000: Message PG 095 appears without relevant action text</t>
  </si>
  <si>
    <t>PA30: Warning message PG 209 despite time constraint 3</t>
  </si>
  <si>
    <t>IT0000: Change of event reason cannot be saved</t>
  </si>
  <si>
    <t>Infotype container not updated (Data Sharing)</t>
  </si>
  <si>
    <t>HCMDP: Runtime error GETWA_NOT_ASSIGNED in the delete progra</t>
  </si>
  <si>
    <t>HR: IBAN without BIC/Bank Key</t>
  </si>
  <si>
    <t>IT0001: Runtime error UNCAUGHT_EXCEPTION with exception CX_H</t>
  </si>
  <si>
    <t>Missing SORT before indexed access to internal tables</t>
  </si>
  <si>
    <t>PA41: Moving the leaving date deletes position assignment of</t>
  </si>
  <si>
    <t>User Parameter MASSG in SU3 overrides Reason for Action in P</t>
  </si>
  <si>
    <t>HR_CONTROL_INFTY_OPERATION: Parameter RETURN is filled with</t>
  </si>
  <si>
    <t>Technical change in program FP50MF10</t>
  </si>
  <si>
    <t>View V_T521B: field IBAN is not ready for input</t>
  </si>
  <si>
    <t>PA-PA-XX-BS</t>
  </si>
  <si>
    <t>RHINTE30: Message "No update of infotype 1 necessary!" is di</t>
  </si>
  <si>
    <t>PA-PA-XX-BS-PY</t>
  </si>
  <si>
    <t>Basis f.Payroll Data</t>
  </si>
  <si>
    <t>IT0008: Record without wage types cannot be created via BAPI</t>
  </si>
  <si>
    <t>Indirect valuation: Reduction using incorrect IT0230 data</t>
  </si>
  <si>
    <t>PA-PA-XX-LAS</t>
  </si>
  <si>
    <t>HR Lic. Aud Service</t>
  </si>
  <si>
    <t>HR_AUDIT: Payroll records are counted even though you do not</t>
  </si>
  <si>
    <t>Tools</t>
  </si>
  <si>
    <t>PA-PA-XX-TL-SEN</t>
  </si>
  <si>
    <t>Calc. of empl.period</t>
  </si>
  <si>
    <t>Infotype 0552: field P0552-CVRENWL cannot be hidden</t>
  </si>
  <si>
    <t>PA-PD-DP</t>
  </si>
  <si>
    <t>Development Plans</t>
  </si>
  <si>
    <t>Mandatory Training and Individual Development Plan</t>
  </si>
  <si>
    <t>PA-PF-CH</t>
  </si>
  <si>
    <t>Pension Fund CH</t>
  </si>
  <si>
    <t>Sample implementation for BAdI HRPFD02EMZQST</t>
  </si>
  <si>
    <t>PA-PF-DE</t>
  </si>
  <si>
    <t>Company Pension DE</t>
  </si>
  <si>
    <t>Pension receipt notification: Supplement CSV notifications 3</t>
  </si>
  <si>
    <t>PA-PM-BM</t>
  </si>
  <si>
    <t>Pers. Budget Plan Mg</t>
  </si>
  <si>
    <t>Funktionsbausteine zum Lesen von Finanzierungsverknüpfungen</t>
  </si>
  <si>
    <t>Rundungsfehler bei Berechnung des Finanzierungsbedarfs II</t>
  </si>
  <si>
    <t>HRPBCM: Missing input help for the field P1506-TRFKZ</t>
  </si>
  <si>
    <t>Job index: Error message H1314 when maintaining the job inde</t>
  </si>
  <si>
    <t>PA-RC</t>
  </si>
  <si>
    <t>Recruitment</t>
  </si>
  <si>
    <t>Transfer applicant data does not default infotype 0139</t>
  </si>
  <si>
    <t>PBA7 facing issues with permanent and emergency addr</t>
  </si>
  <si>
    <t>Runtime error when changing the end date for infotype 0001</t>
  </si>
  <si>
    <t>PA-RC-AA</t>
  </si>
  <si>
    <t>Applicant Admin.</t>
  </si>
  <si>
    <t>RPAPL012 :  Dates are not displayed correctly</t>
  </si>
  <si>
    <t>Training and Event Management</t>
  </si>
  <si>
    <t>PE-DA</t>
  </si>
  <si>
    <t>Day-to-Day Activity</t>
  </si>
  <si>
    <t>PE: Wrong Popup-box text for Attendance Booking approval</t>
  </si>
  <si>
    <t>PE-DA-CP</t>
  </si>
  <si>
    <t>Correspondence</t>
  </si>
  <si>
    <t>PE: Activity DCHW not getting triggered</t>
  </si>
  <si>
    <t>PE-LSO-LPO</t>
  </si>
  <si>
    <t>Learning Portal</t>
  </si>
  <si>
    <t>Performance issues with learning portal</t>
  </si>
  <si>
    <t>PE-PR</t>
  </si>
  <si>
    <t>Training/Event Prep.</t>
  </si>
  <si>
    <t>Able to change data while displaying demand</t>
  </si>
  <si>
    <t>PT-CE</t>
  </si>
  <si>
    <t>Conc.Empl.-Pers.Tim.</t>
  </si>
  <si>
    <t>PT50 (CE): Displayed quota data "disappears"</t>
  </si>
  <si>
    <t>PT-EV</t>
  </si>
  <si>
    <t>Time Evaluation</t>
  </si>
  <si>
    <t>Missing Update of infotype 0439 within RPTIME00</t>
  </si>
  <si>
    <t>DPTOL: Use with V3S and absence quotas</t>
  </si>
  <si>
    <t>PT60: Using function HRS in case of Re-Hiring process</t>
  </si>
  <si>
    <t>V3S: Verwendung der Operation INSLR in der Zeitauswertung</t>
  </si>
  <si>
    <t>V3S: Verwendung der Funktion DYNWS in der Zeitauswertung</t>
  </si>
  <si>
    <t>V3S: Fehlende Zeitkennung bei einer Nachtschicht (TIMTP)</t>
  </si>
  <si>
    <t>RPTIME00: New BAdI methods for country developments</t>
  </si>
  <si>
    <t>IMG Hinweis für das Customizing der Tabelle T555R</t>
  </si>
  <si>
    <t>PT-EV-FO</t>
  </si>
  <si>
    <t>Time Statement Form</t>
  </si>
  <si>
    <t>RPTEDT00: Incorrect 'Day' in 'Time Wage Types' section</t>
  </si>
  <si>
    <t>RPTEDT00-The conversion NZ/N0 doesn't respond to user defaul</t>
  </si>
  <si>
    <t>RPTEDT00 - F4 enabled for 'Form' even if it is protected</t>
  </si>
  <si>
    <t>Zeitnachweis: Zeitangaben, die exakt 24 Stunden umfassen, we</t>
  </si>
  <si>
    <t>PT-EV-QT</t>
  </si>
  <si>
    <t>Quota Accrual</t>
  </si>
  <si>
    <t>Interface Note: RPTQTA10 Transfer Pool Data and Accruals</t>
  </si>
  <si>
    <t>RPTQTA10 Absence Quota and Transfer Pool Data</t>
  </si>
  <si>
    <t>HR_GET_QUOTA_DATA in CE scenario provides cumulated quota</t>
  </si>
  <si>
    <t>PT-IS</t>
  </si>
  <si>
    <t>Information System</t>
  </si>
  <si>
    <t>RPTABS50: Short Dump TABLE_INVALID_INDEX</t>
  </si>
  <si>
    <t>PT66: Long runtimes when displaying single values</t>
  </si>
  <si>
    <t>PT-RC</t>
  </si>
  <si>
    <t>Time Data Recording</t>
  </si>
  <si>
    <t>V3S: Keine Infotyppflege in der Transaktion PA61 möglich</t>
  </si>
  <si>
    <t>PA61: T554T for sending mail incorrect with collision</t>
  </si>
  <si>
    <t>PA61: Error during display of texts in list entry</t>
  </si>
  <si>
    <t>HRTIM_ABS: Short dump SYSTEM_NO_ROLL in report RPT_ABS_PRE</t>
  </si>
  <si>
    <t>HR_PERSONAL_TIME_LIST: Incorrect availability status (AVAIL)</t>
  </si>
  <si>
    <t>RPTERR01: Telephone integration incorrectly activated</t>
  </si>
  <si>
    <t>PT40: List processing of incorrect employees</t>
  </si>
  <si>
    <t>IT 0080: Deletion of a record from the overview screen.</t>
  </si>
  <si>
    <t>Infotype 3355 Absence Quota Groups: T77TIM_AQGRP key fields</t>
  </si>
  <si>
    <t>HRTIM_ABS: Selection of infotype records in the preprocessin</t>
  </si>
  <si>
    <t>PA61 Listerfassung: Gesperrte Datensätze "verschwinden"</t>
  </si>
  <si>
    <t>Infotype 3355 "Absence Quota Groups": Business Logic Check</t>
  </si>
  <si>
    <t>V_T588M: Not possible to hide field P2002-ABRST</t>
  </si>
  <si>
    <t>HRTIM_ABS: Error msg "Insufficient quota for compensation.."</t>
  </si>
  <si>
    <t>Usability Issue Listerfassung Infotyp 2002</t>
  </si>
  <si>
    <t>PT40: Administrator's name not displayed when calling transa</t>
  </si>
  <si>
    <t>PT40: Changing time administrator via direct entry does not</t>
  </si>
  <si>
    <t>PT-RC-AA</t>
  </si>
  <si>
    <t>Attendances/Absences</t>
  </si>
  <si>
    <t>Time constrait classes 10,11</t>
  </si>
  <si>
    <t>PT-RC-EX</t>
  </si>
  <si>
    <t>HR-PDC</t>
  </si>
  <si>
    <t>RPTEXTPT: Missing initialization in "Direct" mode</t>
  </si>
  <si>
    <t>PT-RC-QT</t>
  </si>
  <si>
    <t>Quotas</t>
  </si>
  <si>
    <t>PA61: Validity interval for quota generation</t>
  </si>
  <si>
    <t>RPTQTA00: Different validity period for quotas in the test r</t>
  </si>
  <si>
    <t>PT-RC-TE</t>
  </si>
  <si>
    <t>Personnel Time Event</t>
  </si>
  <si>
    <t>PA61 list entry: When copying a time event, the origin indic</t>
  </si>
  <si>
    <t>PT-RC-UI-TMW</t>
  </si>
  <si>
    <t>Time Man. Workplace</t>
  </si>
  <si>
    <t>V3S: "Record cannot be assigned to following day."</t>
  </si>
  <si>
    <t>HRTIM_ABS: Kurzdump "MESSAGE_TYPE_X"</t>
  </si>
  <si>
    <t>PTMW: Fehlermeldung RP 425 wird nicht ausgegeben</t>
  </si>
  <si>
    <t>PT-RC-UI-XS</t>
  </si>
  <si>
    <t>Self Services Web Dy</t>
  </si>
  <si>
    <t>ESS Leave Request: error message HRTIM00REC 006</t>
  </si>
  <si>
    <t>ESS: Inconsistent Entries in View V_T554S_ESSEX when Delimit</t>
  </si>
  <si>
    <t>PT-SP</t>
  </si>
  <si>
    <t>Shift Planning</t>
  </si>
  <si>
    <t>PP61: Stundensaldozeile falsch</t>
  </si>
  <si>
    <t>Sollplanänderung fälschlich als Istplanänderung angezeigt</t>
  </si>
  <si>
    <t>PT-WS</t>
  </si>
  <si>
    <t>Work Schedule</t>
  </si>
  <si>
    <t>Incorrect error message when T508A is read</t>
  </si>
  <si>
    <t>HR_MATCH_BREAKS: SAP-internal calls of the function module</t>
  </si>
  <si>
    <t>IT 0007: Error message at Work Schedule Rule Finder</t>
  </si>
  <si>
    <t>Infotype 0007: Wrong formatting of error message 024 72</t>
  </si>
  <si>
    <t>V_T550A: Daily work schedule selection rule also set for non</t>
  </si>
  <si>
    <t>PY-AR</t>
  </si>
  <si>
    <t>[AR] "Rubro 31" not considered in termination</t>
  </si>
  <si>
    <t>[AR] Additional corrections for Decree 1242/2013</t>
  </si>
  <si>
    <t>[AR] Manual Tax Payment/Devolution for Decree 1242/2013</t>
  </si>
  <si>
    <t>PY-AT</t>
  </si>
  <si>
    <t>Result set of select statement is not sorted</t>
  </si>
  <si>
    <t>RPCALCA0: Korr. PPausch 2013, Montageprivileg und DBA</t>
  </si>
  <si>
    <t>PCALZ: Änderung des Lohnzettelformulars HR_AT_LZ_GLZ_04</t>
  </si>
  <si>
    <t>RPIBGAA0: Reclassification for A1L, J1A, and N24</t>
  </si>
  <si>
    <t>RPCALCA0: Programmabbruch Pensionierung am 31. eines Monats</t>
  </si>
  <si>
    <t>UEKV: Lohnzettel SV wird storniert und nicht neu gemeldet</t>
  </si>
  <si>
    <t>PCALZ:LZ SV oder LZ SV BVA storniert wenn nur BV vorhanden</t>
  </si>
  <si>
    <t>KSB: Fehler bei der Konsolidierung</t>
  </si>
  <si>
    <t>RPCALCA0: Tax redef. CL_HRPAYAT_STAT_EXECUTE_2013_A</t>
  </si>
  <si>
    <t>UEKV:  UE endet vor Beginn der MVK Pflicht</t>
  </si>
  <si>
    <t>Bildungsteilzeit</t>
  </si>
  <si>
    <t>Doku AJ4R, DBA-Befreiungsmethode</t>
  </si>
  <si>
    <t>RPCALCA0: Steuerredes. CL_HRPAYAT_STAT_EXECUTE_2013_A</t>
  </si>
  <si>
    <t>PY-AU</t>
  </si>
  <si>
    <t>Australia</t>
  </si>
  <si>
    <t>24: Correction to Superannuation Legal changes 2013</t>
  </si>
  <si>
    <t>Code injection vulnerability in PY-AU</t>
  </si>
  <si>
    <t>Retroactive cost center change, incorrect posting on Super</t>
  </si>
  <si>
    <t>Tax on Bonus payment is recalculated in retro.</t>
  </si>
  <si>
    <t>Super incorrect when it0015 payments have currency AUD4</t>
  </si>
  <si>
    <t>25: Off-cycle Super not calculated for mid period transfer</t>
  </si>
  <si>
    <t>QORET : Issue in retro across financial year</t>
  </si>
  <si>
    <t>Ref note 1438685 : Legal change for Non enhanced Super</t>
  </si>
  <si>
    <t>/LLP,/106,/116 are incorrect for XFY leave loading payments</t>
  </si>
  <si>
    <t>XFY negtive LL not considered in /106 &amp; /116 if LL&amp;gt;12 months</t>
  </si>
  <si>
    <t>PY-AU : Suspicious Access to unsorted DB content</t>
  </si>
  <si>
    <t>PY-AU-CE</t>
  </si>
  <si>
    <t>Payroll Australia</t>
  </si>
  <si>
    <t>CRT Cumulation incorrect retro Across Financial Year(RETP)</t>
  </si>
  <si>
    <t>RPLSPRQ0_CE not showing TFN number</t>
  </si>
  <si>
    <t>PY-AU-PS</t>
  </si>
  <si>
    <t>Public Sector</t>
  </si>
  <si>
    <t>RPTLSLQR - Update to Infotype on Re-entry</t>
  </si>
  <si>
    <t>APS Remuneration report dumps when transferring data to file</t>
  </si>
  <si>
    <t>Report RPLPBSQ7 not run in background</t>
  </si>
  <si>
    <t>Output is not generated when RPLPBSQ8 is run in background</t>
  </si>
  <si>
    <t>PY-BE</t>
  </si>
  <si>
    <t>Technical Note (internal only) - UTD,...</t>
  </si>
  <si>
    <t>RPTGENB0: Wrong calculation of invalidity</t>
  </si>
  <si>
    <t>DmfA: Dismissed after part time remes (004)</t>
  </si>
  <si>
    <t>FINPROF- XML file with XML Tags bigger than 60 chars</t>
  </si>
  <si>
    <t>Pension Declaration - Handling of reference periods</t>
  </si>
  <si>
    <t>BFIRE: FIRE table not properly generated if two years</t>
  </si>
  <si>
    <t>RPCDUPB0: Execution for huge population failed</t>
  </si>
  <si>
    <t>Certificate 281.25 - Payroll - Error Message on ST split</t>
  </si>
  <si>
    <t>Dimona - Preparation Report - Performance Issue</t>
  </si>
  <si>
    <t>Work Bonus - Base /30M Distribution - Clarification &amp; Corr.</t>
  </si>
  <si>
    <t>IMG Updates for Payroll Belgium</t>
  </si>
  <si>
    <t>Non-Recurring Result Bonus - SI percentage always 13,07%</t>
  </si>
  <si>
    <t>DmfA/DmfAPPL: Wrong warning 005 in case of REMES 502</t>
  </si>
  <si>
    <t>Belcotax : BADI to overwrite the address</t>
  </si>
  <si>
    <t>Adv.company car (/162) not to be included in /45A</t>
  </si>
  <si>
    <t>Wage type /41S - Wrong description</t>
  </si>
  <si>
    <t>Holiday Pay - Enhancements of initial delivery - Addendum I</t>
  </si>
  <si>
    <t>DmfAPPL: Social Maribel and reduction limitation</t>
  </si>
  <si>
    <t>FM HR_BE_DMFA_CONV_TEMSE_TO_TABLE-parameter im_date not used</t>
  </si>
  <si>
    <t>Tax Reduction on Overtime - No calculation</t>
  </si>
  <si>
    <t>Tax reduction /4S1 and Calc. base CIP /C0A</t>
  </si>
  <si>
    <t>Belgium - B2A &amp; Background: Substatus now available</t>
  </si>
  <si>
    <t>PY-BE-PS</t>
  </si>
  <si>
    <t>DmfAPPL Employers - Wrong SI Reduction Work Bonus</t>
  </si>
  <si>
    <t>PY-BR</t>
  </si>
  <si>
    <t>Brazil</t>
  </si>
  <si>
    <t>Adjustment of Checkman errors (BR) (don't release it)</t>
  </si>
  <si>
    <t>MANAD: Short dump when reading the K300 data</t>
  </si>
  <si>
    <t>BRADV: Function is not discarding locked records (IT2001)</t>
  </si>
  <si>
    <t>HBRMANAD: Incorrect k250 record generation in the Temse file</t>
  </si>
  <si>
    <t>eSocial: Release Phase I</t>
  </si>
  <si>
    <t>Conversion rules for SAP_HRCBR</t>
  </si>
  <si>
    <t>eSocial: Phase I - Correction</t>
  </si>
  <si>
    <t>HCM Objects: Enhancements</t>
  </si>
  <si>
    <t>eSocial - ABAP dictionary objects - Phase 2</t>
  </si>
  <si>
    <t>eSocial: Framework - Phase 2</t>
  </si>
  <si>
    <t>eSocial - Reusable Objects - Phase 2</t>
  </si>
  <si>
    <t>HBRRTER3: MOVE_CAST_ERROR Dump</t>
  </si>
  <si>
    <t>eSocial: Dismissal protection event</t>
  </si>
  <si>
    <t>eSocial: Initial load - phase 2</t>
  </si>
  <si>
    <t>eSocial: Employee master data - phase 2</t>
  </si>
  <si>
    <t>eSocial: Employee with no employment relationship - phase 2</t>
  </si>
  <si>
    <t>eSocial - Absence Events - Phase 2</t>
  </si>
  <si>
    <t>eSocial: Customizing - Phase 2</t>
  </si>
  <si>
    <t>PY-CA</t>
  </si>
  <si>
    <t>Canada</t>
  </si>
  <si>
    <t>HCM Declustering Tools: Support of Canada Payroll Clusters</t>
  </si>
  <si>
    <t>PY-CA-RP</t>
  </si>
  <si>
    <t>Reporting</t>
  </si>
  <si>
    <t>AUDIT: RPCAUDK0 produces incorrect summary due to OOS runs</t>
  </si>
  <si>
    <t>PY-CA-YE</t>
  </si>
  <si>
    <t>Year End for Canada</t>
  </si>
  <si>
    <t>YE13: Unnecessary cancelled forms for RL1/RL2</t>
  </si>
  <si>
    <t>PY-CH</t>
  </si>
  <si>
    <t>Switzerland</t>
  </si>
  <si>
    <t>HCM Declustering Tools: Support of Switzerland Payroll Clust</t>
  </si>
  <si>
    <t>HR-CH: Survey of structure and level of wages, entry or leav</t>
  </si>
  <si>
    <t>WHT VD: EMP-ACI: RPLQSTC0 - CE, summarizing events</t>
  </si>
  <si>
    <t>WhT Redesign: Advance version for SE and CE in CLC 10/2013</t>
  </si>
  <si>
    <t>HR CH (CE): Limit distribution when total of bases is zero</t>
  </si>
  <si>
    <t>HR CH (CE): Wage statement, IT0980 texts from second page</t>
  </si>
  <si>
    <t>LAW: Supplementary sheet shows incorrect text for further tr</t>
  </si>
  <si>
    <t>Correction due to Check Manager errors in the class CL_HR_B2</t>
  </si>
  <si>
    <t>CE CH: Incorrect SI amounts if employee receives net wage on</t>
  </si>
  <si>
    <t>Missing translation for the new withholding tax scale</t>
  </si>
  <si>
    <t>Default implementation for the BAdI HRPAYCH_WHT_CONVERT</t>
  </si>
  <si>
    <t>PY-CL</t>
  </si>
  <si>
    <t>Chile</t>
  </si>
  <si>
    <t>[CL] Wrong maternity leave subsidy calculation on WPBP split</t>
  </si>
  <si>
    <t>[CL] Missing wage type /TF6 for voluntary severence</t>
  </si>
  <si>
    <t>[CL] Adjustment Off-cycle preparation - Payroll schemas</t>
  </si>
  <si>
    <t>PY-CN</t>
  </si>
  <si>
    <t>Retroactive Calculation for Additional Tax (CN)</t>
  </si>
  <si>
    <t>PY-CN:Incorrect Special Corporate Pension from IT0015</t>
  </si>
  <si>
    <t>HCNCDTA0: Truncated Name Displayed When T511K Constant NMFAT</t>
  </si>
  <si>
    <t>HCNCAWS0:Zero Bonus Not Shown in AWS Report</t>
  </si>
  <si>
    <t>Missing authorization check in PY-CN</t>
  </si>
  <si>
    <t>Enhancement: Add new fields in report HCNCTXM0</t>
  </si>
  <si>
    <t>PY-DE</t>
  </si>
  <si>
    <t>Termination in programs for payroll simulation</t>
  </si>
  <si>
    <t>PY-DE-BA</t>
  </si>
  <si>
    <t>Business to Admin.</t>
  </si>
  <si>
    <t>B2A: Calling the B2A Manager using a variant</t>
  </si>
  <si>
    <t>PY-DE-CI</t>
  </si>
  <si>
    <t>Construction Industr</t>
  </si>
  <si>
    <t>Leave with infotype 2006: Transfer of MLR from previous year</t>
  </si>
  <si>
    <t>MUV: No calculation with "Sick before Winter Compensation"</t>
  </si>
  <si>
    <t>Min. Leave Remun. Illness: Change of basic month according t</t>
  </si>
  <si>
    <t>Projection of vacation allowance: Storage of amount for BU60</t>
  </si>
  <si>
    <t>RHC: Planned remuneration for CFS/absence, wage rate</t>
  </si>
  <si>
    <t>PY-DE-FP-DU</t>
  </si>
  <si>
    <t>DEUEV/Miners' DEUEV</t>
  </si>
  <si>
    <t>DEUEV (UVMG): Corrections XXIII</t>
  </si>
  <si>
    <t>Minimum remuneration: Control of part-time employees and min</t>
  </si>
  <si>
    <t>PY-DE-FP-E2</t>
  </si>
  <si>
    <t>ELStAM Verfahren</t>
  </si>
  <si>
    <t>ELStAM: Corrections after year-end legal change 35/2013</t>
  </si>
  <si>
    <t>ELStAM procedure: New auxiliary report RPUE2DD0</t>
  </si>
  <si>
    <t>ELStAM procedure: Corrections after year-end legal change 36</t>
  </si>
  <si>
    <t>ELStAM procedure: Corrections after year-end legal change 37</t>
  </si>
  <si>
    <t>ELStAM procedure: Corrections after year-end legal change 38</t>
  </si>
  <si>
    <t>ELStAM procedure: Corrections after year-end legal change 39</t>
  </si>
  <si>
    <t>PY-DE-FP-MV</t>
  </si>
  <si>
    <t>SI Notifications</t>
  </si>
  <si>
    <t>EEL: Runtime optimization for repeat notification creation</t>
  </si>
  <si>
    <t>EEL: Corrections and enhancements (11/2003)</t>
  </si>
  <si>
    <t>EEL: Error in data module DBAE ("Remuneration")</t>
  </si>
  <si>
    <t>AAG reporting: New data record version 03</t>
  </si>
  <si>
    <t>PY-DE-GR-MP</t>
  </si>
  <si>
    <t>Maternity Protection</t>
  </si>
  <si>
    <t>Payroll termination: No entry in the table T510_PSRCL</t>
  </si>
  <si>
    <t>Incorrect basis for maternity pay supplement during fictitio</t>
  </si>
  <si>
    <t>Net</t>
  </si>
  <si>
    <t>PY-DE-NT-CF</t>
  </si>
  <si>
    <t>Capital Formation</t>
  </si>
  <si>
    <t>Note to payee for CFS for SEPA credit transfers</t>
  </si>
  <si>
    <t>SEPA: Error message for IBAN entry in view V_521B_B</t>
  </si>
  <si>
    <t>SEPA: Error message for IBAN entry in view V_521B (2)</t>
  </si>
  <si>
    <t>PY-DE-NT-CI</t>
  </si>
  <si>
    <t>Company Insurance</t>
  </si>
  <si>
    <t>SEPA: Termination in payroll after conversion with RFIBANMD</t>
  </si>
  <si>
    <t>PY-DE-NT-GR</t>
  </si>
  <si>
    <t>Garnishment/Cession</t>
  </si>
  <si>
    <t>Error in report RPIPPID0</t>
  </si>
  <si>
    <t>Adjustments to the program RPCLSTDR</t>
  </si>
  <si>
    <t>Principle of origin: Cleanup of garnishment results IV</t>
  </si>
  <si>
    <t>PofO: Cleanup of garnishment results V (revision security)</t>
  </si>
  <si>
    <t>PofO: Cleanup of garnishment results V</t>
  </si>
  <si>
    <t>Principle of origin: Error during simultaneous garnishments</t>
  </si>
  <si>
    <t>PY-DE-NT-NI</t>
  </si>
  <si>
    <t>Social Insurance</t>
  </si>
  <si>
    <t>Support of the contribution rate file V4.2</t>
  </si>
  <si>
    <t>Statement of contributions paid: Delivery of the technical b</t>
  </si>
  <si>
    <t>AAG fictitious run: Incapacity to work: Corrections X</t>
  </si>
  <si>
    <t>SI reporting: Corrections to administrator lists (6)</t>
  </si>
  <si>
    <t>Press industry insurance: Determination of assessment basis</t>
  </si>
  <si>
    <t>RPUBGDD0: Enhancement of data check</t>
  </si>
  <si>
    <t>Enhancement for calculating the contribution amount (2)</t>
  </si>
  <si>
    <t>New operands 2014</t>
  </si>
  <si>
    <t>PY-DE-NT-TX</t>
  </si>
  <si>
    <t>Tax</t>
  </si>
  <si>
    <t>Reform of the travel expense law as of January 1, 2014</t>
  </si>
  <si>
    <t>PY-DE-PS</t>
  </si>
  <si>
    <t>Correction for structure equalization according to section 1</t>
  </si>
  <si>
    <t>Coll. agreemt flexible semiretirement: Error for tax exempti</t>
  </si>
  <si>
    <t>Personnel statistics 2013, correction for EF12 and EF17</t>
  </si>
  <si>
    <t>Report RPSKGOD0 ("Child allow. stats. (civil service Germ.)"</t>
  </si>
  <si>
    <t>Payroll termination: No entry in the table T510_PSRCL - part</t>
  </si>
  <si>
    <t>PY-DE-PS-VA</t>
  </si>
  <si>
    <t>Pension Administr.</t>
  </si>
  <si>
    <t>Reduction Sec. 57: Individual increase dependent on pay scal</t>
  </si>
  <si>
    <t>Error during assessment with higher education periods</t>
  </si>
  <si>
    <t>Public Services regulation indicator for HRPBSDEVA_AUSKUNFT_</t>
  </si>
  <si>
    <t>Maintenance payments (state of Bavaria) and numerator /denom</t>
  </si>
  <si>
    <t>Public Services regulation, state of Hesse: 2nd DRModG V</t>
  </si>
  <si>
    <t>Runtime error in "reimbursements" subprocess</t>
  </si>
  <si>
    <t>Regular reimbursements according to Sec. 10 of the treaty on</t>
  </si>
  <si>
    <t>Public Services regulation, state of Hesse: 2. DRModG III</t>
  </si>
  <si>
    <t>Smart Form statement Appendix Bonus Sec50a-ff uses EUR befor</t>
  </si>
  <si>
    <t>Public Services regulation, state of Hesse: 2nd DRModG IV</t>
  </si>
  <si>
    <t>PY-DE-RP-ES</t>
  </si>
  <si>
    <t>Evaluation/Stats.</t>
  </si>
  <si>
    <t>Labor costs census 2012: Minor corrections 6</t>
  </si>
  <si>
    <t>PY-DK</t>
  </si>
  <si>
    <t>HCM Declustering Tools: Support of Denmark Payroll Clusters</t>
  </si>
  <si>
    <t>PY-ES</t>
  </si>
  <si>
    <t>CHECKMAN</t>
  </si>
  <si>
    <t>190: Issues when using entries of T5EI5 table</t>
  </si>
  <si>
    <t>CRT2: ERE certificate is not taking into account VND data</t>
  </si>
  <si>
    <t>CALC: Wrong /3CS for part-time employees with strike days</t>
  </si>
  <si>
    <t>190: Wrong reporting employees for 111 model for Biscay</t>
  </si>
  <si>
    <t>HCM Declustering Tools: Support of Spain Payroll Clusters</t>
  </si>
  <si>
    <t>TC: support to 'Servicios Especiales' in RPCTC0E0 report</t>
  </si>
  <si>
    <t>190: Incorrect arrears treatment for 216 model generation</t>
  </si>
  <si>
    <t>BONIFICACIONES: Wrong unemployment type for 0117 method</t>
  </si>
  <si>
    <t>PEFECTIVO: Incorrect date selection on RPCPEFE0 report</t>
  </si>
  <si>
    <t>CRT2: Wrong activity periods in case of ERE</t>
  </si>
  <si>
    <t>CRT2: General corrections XML file "Procedimientos de ERE"</t>
  </si>
  <si>
    <t>RED 05/2013</t>
  </si>
  <si>
    <t>TC: DAT segment date fields position</t>
  </si>
  <si>
    <t>PA: Infotype framework corrections for Spain - II</t>
  </si>
  <si>
    <t>Offcycle: Error in Special Payments with splits in 0001 inf.</t>
  </si>
  <si>
    <t>Code injection vulnerability in PY-ES</t>
  </si>
  <si>
    <t>TC: DAT segment date fields position 2</t>
  </si>
  <si>
    <t>190: Error when performing the report with 'Res. Actuales'</t>
  </si>
  <si>
    <t>BONIFICACIONES: 2013 reduction values for partially retired</t>
  </si>
  <si>
    <t>Table reader classes for T5E07 &amp; T5E08 and Exception classes</t>
  </si>
  <si>
    <t>IRPF: General technical corrections for IRPF func. mods.</t>
  </si>
  <si>
    <t>UTIL: Issue with T5E07 &amp; T5E08 table reader classes</t>
  </si>
  <si>
    <t>Hard-coded credentials in PY-ES</t>
  </si>
  <si>
    <t>PA: Infotype framework corrections for Spain - III</t>
  </si>
  <si>
    <t>TEMSE: Issue with temse viewer and codepage convertion</t>
  </si>
  <si>
    <t>CRT2: Fields' text are missing for view V_T5ER1 for 6.04</t>
  </si>
  <si>
    <t>TC: Warning for employee out of the selection</t>
  </si>
  <si>
    <t>PY-FI</t>
  </si>
  <si>
    <t>HRFI: LC - New Vacation Act 2013</t>
  </si>
  <si>
    <t>HRFI: Checkman - DB sorted check, Prio 1</t>
  </si>
  <si>
    <t>HRFI: HFIIABP0 - Not Deductible Quota Deduction</t>
  </si>
  <si>
    <t>HRFI: Create IT0057 - fill default values with feature PAYEE</t>
  </si>
  <si>
    <t>HRFI: Create IT0057 - screen changes to feature PAYEE work</t>
  </si>
  <si>
    <t>PY-FR</t>
  </si>
  <si>
    <t>DMMO: entry date incorrect (in dates prior to SAP-HR system)</t>
  </si>
  <si>
    <t>Bilan Social: Wrong number of hires or change of contract</t>
  </si>
  <si>
    <t>RPLDATF2: Create new BADI to fill Qualification professionne</t>
  </si>
  <si>
    <t>N4DS: Avoid dump when dates overlap in IT218</t>
  </si>
  <si>
    <t>DUCS: CICE incorrect for employees that left</t>
  </si>
  <si>
    <t>DUCS: External file importation limitation</t>
  </si>
  <si>
    <t>RPLAASF1: Determination of  local regime Alsace Moselle</t>
  </si>
  <si>
    <t>DUCS Paper: Optic line total incorrect</t>
  </si>
  <si>
    <t>LSE: Considering Employee Age &amp;gt;= 65 - LSN1 cases</t>
  </si>
  <si>
    <t>N4DS V01X08: Code S48.G55.05.001</t>
  </si>
  <si>
    <t>N4DS V01X08 Documentation</t>
  </si>
  <si>
    <t>N4DS V01X08: New corrections for S40.G30.40</t>
  </si>
  <si>
    <t>N4DS V01X08 : PB2A Process</t>
  </si>
  <si>
    <t>N4DS V01X07: S48.G55.20.006 with space on beginning</t>
  </si>
  <si>
    <t>N4DS V01X08 - S45.G05.05.001 Unavailable codes</t>
  </si>
  <si>
    <t>N4DS V01X08 : Improvement of B2A Process</t>
  </si>
  <si>
    <t>Fix for wrong subrogation end date in report RPLASMF3</t>
  </si>
  <si>
    <t>LSE, exemption wrongly triggered when no probation period</t>
  </si>
  <si>
    <t>N4DS: Missing reason codes for field of S40.G01.00</t>
  </si>
  <si>
    <t>Amounts are doubled in the reconciliation program RPLN4AF0</t>
  </si>
  <si>
    <t>Place and address of accident missing in paper form</t>
  </si>
  <si>
    <t>DUCS: LSE amounts doubled</t>
  </si>
  <si>
    <t>LSE: SV splits not properly filled with data from 3316</t>
  </si>
  <si>
    <t>Documentation Lieu de l'accident (P06_LIEUATT)</t>
  </si>
  <si>
    <t>Wrong working hours for night shift with break</t>
  </si>
  <si>
    <t>RPL4CRF0: Missing nodes in V01X08</t>
  </si>
  <si>
    <t>N4DS V01X08: S40.G30.40 range test correction</t>
  </si>
  <si>
    <t>Checkboxes for witness and police report not updated</t>
  </si>
  <si>
    <t>N4DS V01X08: S40.G30.40 BAdI implementation example</t>
  </si>
  <si>
    <t>N4DS V01X08: Code 999 for S40.G20.00.018.002</t>
  </si>
  <si>
    <t>N4DS: Error message Characteristic &amp;1 not generated</t>
  </si>
  <si>
    <t>RPLAAIF2: Text elements on selection screen are missing</t>
  </si>
  <si>
    <t>PY-FR-PS</t>
  </si>
  <si>
    <t>Code injection vulnerability in PY-FR-PS</t>
  </si>
  <si>
    <t>PY-GB</t>
  </si>
  <si>
    <t>United Kingdom</t>
  </si>
  <si>
    <t>DPS: error in the syntax of the XML message</t>
  </si>
  <si>
    <t>EOY XML: Numeric in employer name</t>
  </si>
  <si>
    <t>PY-GB: RTI indicator generations in case of more payments</t>
  </si>
  <si>
    <t>HCM Declustering Tools: Support of Great Britain Payroll Clu</t>
  </si>
  <si>
    <t>RTI:Enhanced validations for Tax source and NI No Validation</t>
  </si>
  <si>
    <t>RTI P45: Issue Date is not updated in IT0065 &amp; P46 Class</t>
  </si>
  <si>
    <t>RTI: Incorrect start dates on EAS</t>
  </si>
  <si>
    <t>PY-GB: P11D Amount Made Good issue for benefit type C,M,N</t>
  </si>
  <si>
    <t>RTI : EPS report give business error with NO payment data</t>
  </si>
  <si>
    <t>PY-GB: PE51 payslip issue for ME more than 3 contracts</t>
  </si>
  <si>
    <t>RTI: Messages from HMRC that exceed 100 lines cause issues</t>
  </si>
  <si>
    <t>RTI: DTO enhancements for RTI &amp; ME Retro change of priority</t>
  </si>
  <si>
    <t>PY-GB: P45 Reprint issue</t>
  </si>
  <si>
    <t>RTI: ME Latepymts to lvrs, NIC refunds -RTI Netpay, rehire</t>
  </si>
  <si>
    <t>PY-GB: PAE: Error using 'View Notice' button in IT3297 V</t>
  </si>
  <si>
    <t>PY-GB: RTI Dump in include RPCRTI_DISP_MAIN</t>
  </si>
  <si>
    <t>RTI: FPS leaver Re-Submission, FPS HASH &amp; FPS BADI</t>
  </si>
  <si>
    <t>PY-GB: RTI HMRC Reconciliation report</t>
  </si>
  <si>
    <t>PY-GB: PAE: Re-print, Re-email functionality II</t>
  </si>
  <si>
    <t>PY-GB: P45 postcode in Foregin Address II</t>
  </si>
  <si>
    <t>PY-GB: RTI Indicator not set correctly in Pre-DME</t>
  </si>
  <si>
    <t>PY-GB: Error in HRGPBS_ERROR_LOG_ADD when p0000 is extended</t>
  </si>
  <si>
    <t>PY-GB: P11D Incorrect display of cars and start dates</t>
  </si>
  <si>
    <t>RTI: ME primary late leaver/ ME Claims/ SE Advance payroll</t>
  </si>
  <si>
    <t>PY-GB: P46 archive updating issue for replacement car</t>
  </si>
  <si>
    <t>PY-GB: P11D Taxable Pay, Car Model pattern, Priv.Contrib.</t>
  </si>
  <si>
    <t>PY-GB: P45 Wrong Address SubType</t>
  </si>
  <si>
    <t>GB:RTI FPS report fails if previous pernr is alphanumeric</t>
  </si>
  <si>
    <t>PY-GB: RTI Display report shows NI categories in more lines</t>
  </si>
  <si>
    <t>PY-GB-BA</t>
  </si>
  <si>
    <t>B2A: Business</t>
  </si>
  <si>
    <t>P46: E-filing error</t>
  </si>
  <si>
    <t>PY-GB-PS</t>
  </si>
  <si>
    <t>PY-GB-PS: ME GBSXP offsetting (ususual scenario)</t>
  </si>
  <si>
    <t>PY-GB-PS: HESA Return 2013 - CURACCDIS 4</t>
  </si>
  <si>
    <t>PY-GB-PS: HESA Return 2013 - Extraction runtime</t>
  </si>
  <si>
    <t>PY-GB-PS: HESA Return 2013 - DATELEFT, ACTLEAVE, RELBFL, RES</t>
  </si>
  <si>
    <t>PY-GB-PS: HESA Return 2013 - PSCAG with 0 value in XML</t>
  </si>
  <si>
    <t>PY-GB-PS: HESA Return 2013 - DATELEFT and ME Aggregation iss</t>
  </si>
  <si>
    <t>PY-GB-PS: HESA: ME Aggregation updating Person.DATELEFT inco</t>
  </si>
  <si>
    <t>PY-GB-PS: HESA: Background running</t>
  </si>
  <si>
    <t>PY-GB-RP</t>
  </si>
  <si>
    <t>PY-GB-RP-SR</t>
  </si>
  <si>
    <t>Statutory reporting</t>
  </si>
  <si>
    <t>Tax Code uplift issue</t>
  </si>
  <si>
    <t>RTI: EPS for previous year 2012/13 in ECC 600 and above</t>
  </si>
  <si>
    <t>EYU report incorrect validation for NIC refund indicator</t>
  </si>
  <si>
    <t>RTI FPS issues</t>
  </si>
  <si>
    <t>PY-HK</t>
  </si>
  <si>
    <t>Hong Kong</t>
  </si>
  <si>
    <t>HCM Declustering Tools: Support of Hong Kong Payroll Cluster</t>
  </si>
  <si>
    <t>IR56M:Notification of Remuneration Paid to Persons Other tha</t>
  </si>
  <si>
    <t>PY_HK: IR56 Replacement Form of General Information</t>
  </si>
  <si>
    <t>Infotype 0346 field F4 Help enhancement</t>
  </si>
  <si>
    <t>IR56F: Rent amount after termination cannot display on form</t>
  </si>
  <si>
    <t>Wrong TAXADR Fields Used for Rent Period in IR56 Forms</t>
  </si>
  <si>
    <t>IR56G item 15:Reformat amount number shown on script form</t>
  </si>
  <si>
    <t>Missing authorization check in PY-HK</t>
  </si>
  <si>
    <t>MPF contribution base is incorrect of report HHKCPFC0</t>
  </si>
  <si>
    <t>PY-ID</t>
  </si>
  <si>
    <t>Indonesia</t>
  </si>
  <si>
    <t>Termination without delimit IT0242 causes Jamsostek error in</t>
  </si>
  <si>
    <t>Jamsostek Monthly Report Form 1B - Employee terminated and c</t>
  </si>
  <si>
    <t>Incorrect Grossup Adjustment for Terminated Employees</t>
  </si>
  <si>
    <t>PY-IE</t>
  </si>
  <si>
    <t>Ireland</t>
  </si>
  <si>
    <t>PY-IE:EOY: Incorrect start dates for LPT</t>
  </si>
  <si>
    <t>PY-IE:P35 XML-Exclude EE with zero values if PRD not zero</t>
  </si>
  <si>
    <t>PY-IE:EOY retro payment to prior year leavers</t>
  </si>
  <si>
    <t>PY-IN</t>
  </si>
  <si>
    <t>India</t>
  </si>
  <si>
    <t>HINCALC0: Inconsistency in ptax calculation on wpbp split</t>
  </si>
  <si>
    <t>HINCTER0: Resignation Day not Considered in Notice Period</t>
  </si>
  <si>
    <t>HINCALC0: Inconsistency in Chapter VI /432 calculation</t>
  </si>
  <si>
    <t>Form 24Q : FVU version 3.9 ( changes in /4MI )</t>
  </si>
  <si>
    <t>Enabling Correction Run With Inactive Multiple Form16 switch</t>
  </si>
  <si>
    <t>P0185: New subtype 0006 introduced for Aadhaar Card Details</t>
  </si>
  <si>
    <t>Form 24Q E-Filing: FVU Version 4.0 Release</t>
  </si>
  <si>
    <t>IT0582 : Lock Indicator available in view mode</t>
  </si>
  <si>
    <t>HINCALC0: Inconsistency in /3I1 calculation</t>
  </si>
  <si>
    <t>PY-IT</t>
  </si>
  <si>
    <t>HCM Declustering Tools: Support of Italy Payroll Clusters</t>
  </si>
  <si>
    <t>HR-IT: LC ASPI Contribution Reimbursement</t>
  </si>
  <si>
    <t>IAS report is not considering employees correctly</t>
  </si>
  <si>
    <t>Invalid Municipality Description - List</t>
  </si>
  <si>
    <t>HR-IT: Correction of issues generated by SAP note 1626467</t>
  </si>
  <si>
    <t>Incorrect overwrite of V_T5ITM6 data by the RPUCMNI1 program</t>
  </si>
  <si>
    <t>UniEmens 2.5, 2.5.1 and 2.5.2</t>
  </si>
  <si>
    <t>PY-JP</t>
  </si>
  <si>
    <t>HCM Declustering Tools: Support of Japan Payroll Clusters</t>
  </si>
  <si>
    <t>RPCEADJ0: Incorrect form and data file output</t>
  </si>
  <si>
    <t>RPCPRTJ0: Collection Method Displayed in Incorrect Language</t>
  </si>
  <si>
    <t>LC2013: Certified Housing Deduction in IT0146</t>
  </si>
  <si>
    <t>/5C8 Not Created during Retro on Correction Run Results</t>
  </si>
  <si>
    <t>RPCEADJ0: WTS/SPR for EE join and leave in same year</t>
  </si>
  <si>
    <t>RPCSILJ0:Incorrect Pension Number &amp; Depdendent</t>
  </si>
  <si>
    <t>PY-JP-RP</t>
  </si>
  <si>
    <t>RPCECKJ0: Alignment incorrect with JA logon</t>
  </si>
  <si>
    <t>PY-KR</t>
  </si>
  <si>
    <t>HCM Declustering Tools: Support of South Korea Payroll Clust</t>
  </si>
  <si>
    <t>YEA2013: Credit Card and Other Expenses Report (HKRCCRE0)</t>
  </si>
  <si>
    <t>Last Digit of EI Premium Not Rounded in EI Adjustment</t>
  </si>
  <si>
    <t>2013: Venture Investment Rate is Changed from 20% to 30%</t>
  </si>
  <si>
    <t>Correct Taxable Income for Foreigner Tax Calculation Rule C</t>
  </si>
  <si>
    <t>EI and WCI Adjustment is Skipped</t>
  </si>
  <si>
    <t>Loan Amount not Deducted with Value Date is 'END' in T506S</t>
  </si>
  <si>
    <t>LC2013: National Pension Acquired and Lost DME Format</t>
  </si>
  <si>
    <t>PY-KZ</t>
  </si>
  <si>
    <t>Kazakhstan</t>
  </si>
  <si>
    <t>HCM-KZ: common note for HCM KZ localization</t>
  </si>
  <si>
    <t>HCM-KZ:Retroactive accounting and Net amount</t>
  </si>
  <si>
    <t>PY-MX</t>
  </si>
  <si>
    <t>PY-MX-PS</t>
  </si>
  <si>
    <t>Public Sector Mexico</t>
  </si>
  <si>
    <t>[MX] New SERICA report for Public Sector</t>
  </si>
  <si>
    <t>PY-MY</t>
  </si>
  <si>
    <t>Malaysia</t>
  </si>
  <si>
    <t>Tax rounding issue</t>
  </si>
  <si>
    <t>Adjustment for Valid Fields of Feature LCOID</t>
  </si>
  <si>
    <t>Correction for Borang E and CP8D for Hire/Rehire Case</t>
  </si>
  <si>
    <t>Expat EPF contribution and EPF Personal amount correction</t>
  </si>
  <si>
    <t>Tax Correction for off-cycle and EPF capping</t>
  </si>
  <si>
    <t>Form Layout Misalignment Correction for BBCD and Tabung Haji</t>
  </si>
  <si>
    <t>Correction for SOCSO 8B M2N file contribution fileds</t>
  </si>
  <si>
    <t>Correction for Pin Version Display Issue in EA and EC Form</t>
  </si>
  <si>
    <t>Correction for CP21 Position Name</t>
  </si>
  <si>
    <t>Correction for the Hire Date Issue in SOCSO Borang 2 Report</t>
  </si>
  <si>
    <t>Loan WT '/LOP' Correction: Cumulated to '/101' is Incorrect</t>
  </si>
  <si>
    <t>Page generation issue in SOCSO 8A form</t>
  </si>
  <si>
    <t>PY-NL</t>
  </si>
  <si>
    <t>Payroll Error for Employee 100 Year Old or Older</t>
  </si>
  <si>
    <t>Negative AOK Premium Wage and Premium Exemption Elderly EE</t>
  </si>
  <si>
    <t>HCM Declustering Tools: Support of Netherland Payroll Cluste</t>
  </si>
  <si>
    <t>Aangifte LH: Wage return and WCR data deletion per employer</t>
  </si>
  <si>
    <t>Aangifte LH: Changes for UFO Indicator</t>
  </si>
  <si>
    <t>NSALD and re-hired employees</t>
  </si>
  <si>
    <t>YELC 2013/2014: Tax Reduction Education Stopped</t>
  </si>
  <si>
    <t>FlexBen: Arithmetic overflow when Empl. Perc. &amp;gt; 100%</t>
  </si>
  <si>
    <t>PY-NO</t>
  </si>
  <si>
    <t>Norway</t>
  </si>
  <si>
    <t>HRNO - ATS report printing (RPLATSV0)</t>
  </si>
  <si>
    <t>HRNO: ATS report- issues September 2013</t>
  </si>
  <si>
    <t>HRNO: code cleanup</t>
  </si>
  <si>
    <t>RPUTILV* - changes in internal utilities - October 2013</t>
  </si>
  <si>
    <t>eTaxCard - correction of issues - October 2013</t>
  </si>
  <si>
    <t>PY-NO-PS</t>
  </si>
  <si>
    <t>Payroll Norway - PS</t>
  </si>
  <si>
    <t>HRNO: Error in Norwegian govermental report (SST)</t>
  </si>
  <si>
    <t>PY-NPO</t>
  </si>
  <si>
    <t>Payroll Non-profit O</t>
  </si>
  <si>
    <t>UNJSPF Financial Interface</t>
  </si>
  <si>
    <t>EVE : Performance Issue in Indirect Evaluation</t>
  </si>
  <si>
    <t>IT0965 : Child Information is Not Filtered as per Subtype</t>
  </si>
  <si>
    <t>EVE attribute for DS1P</t>
  </si>
  <si>
    <t>Change Label for IT3244</t>
  </si>
  <si>
    <t>ESS: Zip Code Validation for Address</t>
  </si>
  <si>
    <t>PY-NZ</t>
  </si>
  <si>
    <t>New Zealand</t>
  </si>
  <si>
    <t>PY-NZ:Leave Balance Wage Types and Super Payslip Reporting</t>
  </si>
  <si>
    <t>PY-NZ:Incorrect employee contribution amt updated in IT310</t>
  </si>
  <si>
    <t>PY-NZ : IT310 screen and data element text changes</t>
  </si>
  <si>
    <t>PY-NZ:Termination workbench display incorrect hours/amounts</t>
  </si>
  <si>
    <t>PY-NZ:Leave quotas in days in IT0416 not converting to hours</t>
  </si>
  <si>
    <t>PY-PH</t>
  </si>
  <si>
    <t>Philippines</t>
  </si>
  <si>
    <t>Social Security Sickness Benifit Calculation Issue</t>
  </si>
  <si>
    <t>BIR2316 and Alphalist Report taxable income is incorrect</t>
  </si>
  <si>
    <t>Double Amount in MWE Night Diff and Public Holiday for 2316</t>
  </si>
  <si>
    <t>Enhancement for HDMF Contribution Form and Excel File</t>
  </si>
  <si>
    <t>New SSS (Social Security System) Contribution for 2014</t>
  </si>
  <si>
    <t>Enhancement for HDMF contribution Form and Excel</t>
  </si>
  <si>
    <t>PY-PT</t>
  </si>
  <si>
    <t>Portugal</t>
  </si>
  <si>
    <t>Adjustment of Checkman errors (PT) (don't release it)</t>
  </si>
  <si>
    <t>RPCMIDP0: New income subcategories</t>
  </si>
  <si>
    <t>HCM Declustering Tools: Support of Portugal Payroll Clusters</t>
  </si>
  <si>
    <t>National Budget 2013: IRS Surcharge - Corrections VII</t>
  </si>
  <si>
    <t>RPCIIDP0: Surcharge value for inc. cat. H is not displayed.</t>
  </si>
  <si>
    <t>RPCSSRP0: Corrections 2013 V</t>
  </si>
  <si>
    <t>Labor compensation fund</t>
  </si>
  <si>
    <t>PY-PT-PS</t>
  </si>
  <si>
    <t>Public Sector Payrol</t>
  </si>
  <si>
    <t>Reposition of vacation allowance of pub. sector EEs - Cat. A</t>
  </si>
  <si>
    <t>CGA report: Corrections III - 2013</t>
  </si>
  <si>
    <t>Reposition of vacation allowance of pub. sector EEs - Cat. H</t>
  </si>
  <si>
    <t>Law 39/2013: Change of IRS tables of pub. sector EEs cat. H</t>
  </si>
  <si>
    <t>Social Balance: additional changes for version 2012 - III</t>
  </si>
  <si>
    <t>SIOE:CA/VA are been wrongly considered as reg/irreg payment</t>
  </si>
  <si>
    <t>PY-QA</t>
  </si>
  <si>
    <t>Dummy Note: Qatar checkman issues correction</t>
  </si>
  <si>
    <t>LC: Qatar Social Insurance forms</t>
  </si>
  <si>
    <t>PY-QA-PS</t>
  </si>
  <si>
    <t>State of Qatar PS</t>
  </si>
  <si>
    <t>PY-QA: SLI Security Check ID 1200 for Qatar Public Sector</t>
  </si>
  <si>
    <t>PY-RU</t>
  </si>
  <si>
    <t>PA: Russia</t>
  </si>
  <si>
    <t>Error in payroll when there is no account in bank transfer</t>
  </si>
  <si>
    <t>HRULPAY2: calculation of absence days from 2001 infotype</t>
  </si>
  <si>
    <t>Performance issues in report P-4</t>
  </si>
  <si>
    <t>FSSDP: Cumulative updates 09.2013</t>
  </si>
  <si>
    <t>Recalculation of last month payroll with vacation</t>
  </si>
  <si>
    <t>SZV-6-4, RSV-1: cumulative updates 10.2013</t>
  </si>
  <si>
    <t>Determination of T554C Modifiers in RUNAB for Future Absence</t>
  </si>
  <si>
    <t>Bonus in average for vacation</t>
  </si>
  <si>
    <t>HR-RU_CE: WT /3AU is not Created in Case of Recalculation</t>
  </si>
  <si>
    <t>PY-SE</t>
  </si>
  <si>
    <t>Sweden</t>
  </si>
  <si>
    <t>HRSE: RPLTCES0 - generate report per each utilization level</t>
  </si>
  <si>
    <t>HRSE: SNAB and WPBP split with 2 part absences in 1 day</t>
  </si>
  <si>
    <t>HRSE: PAB function - allow using of parameter HSWD (for PS)</t>
  </si>
  <si>
    <t>HRSE: RPIABSS0_NEW - Manual check error full month Absence</t>
  </si>
  <si>
    <t>HRSE: RPIABSS0_NEW - Correction of Manual checks</t>
  </si>
  <si>
    <t>PY-SG</t>
  </si>
  <si>
    <t>AW Limit incorrect for Employees without complete old data</t>
  </si>
  <si>
    <t>PY-SG: Correction for note 1830294 work permit validation</t>
  </si>
  <si>
    <t>PY-SG:Excess generated after termination(public setor)</t>
  </si>
  <si>
    <t>TOW Projection Calculation Error in Off-Cycle Payroll</t>
  </si>
  <si>
    <t>Issue with labour survey report for Singapore</t>
  </si>
  <si>
    <t>SG IR21 Form Layout</t>
  </si>
  <si>
    <t>PY-SG: revise to some of the CPF wage type text</t>
  </si>
  <si>
    <t>PY-SG: SDF computation error with wpbp splits</t>
  </si>
  <si>
    <t>PY-SG: adjust caw manually via IT0015</t>
  </si>
  <si>
    <t>AW Ceiling Method availability for EHP4</t>
  </si>
  <si>
    <t>Fixed Allowance in NRS Claim Reporting</t>
  </si>
  <si>
    <t>Correction for Download IR8A PAT File with Negative Amount</t>
  </si>
  <si>
    <t>CPF Adjustment - Resign and Rehire in the Same Period</t>
  </si>
  <si>
    <t>PY-SG-PS</t>
  </si>
  <si>
    <t>Correction for note 1840672</t>
  </si>
  <si>
    <t>PY-TH</t>
  </si>
  <si>
    <t>Thailand</t>
  </si>
  <si>
    <t>Font Size Not Aligned on Income Tax Form Header</t>
  </si>
  <si>
    <t>TH: Correction for social security report</t>
  </si>
  <si>
    <t>Font Size Not Aligned on Income Tax Form 1A Header</t>
  </si>
  <si>
    <t>Inconsistency Amount Displayed in Third PIT91 Thai Form</t>
  </si>
  <si>
    <t>Branch Name and Address Error in SS Detailed Report</t>
  </si>
  <si>
    <t>PY-TW</t>
  </si>
  <si>
    <t>HCM Declustering Tools: Support of Taiwan Payroll Clusters</t>
  </si>
  <si>
    <t>Authorization Check when Running Tax Certificate Report</t>
  </si>
  <si>
    <t>Authorization Check when Running supplementary NHI report</t>
  </si>
  <si>
    <t>IT0356 ESF Category did not check valid date</t>
  </si>
  <si>
    <t>Off-Cycle Payroll Gets Incorrect NHI Record If NHI Adjusted</t>
  </si>
  <si>
    <t>PY-US</t>
  </si>
  <si>
    <t>USCLM:Incorrect recording routine for customizing tables</t>
  </si>
  <si>
    <t>Checkman corrections for HCM U.S.</t>
  </si>
  <si>
    <t>IT0207:Courtesy withholding field should be read-only</t>
  </si>
  <si>
    <t>USCLM: Issues with cross-year retrocalculation and /582</t>
  </si>
  <si>
    <t>USCLM: Wage types restored incorrectly in RT</t>
  </si>
  <si>
    <t>USCLM: Recovery of overpayment produces a duplicate /101</t>
  </si>
  <si>
    <t>USCLM: Hours incorrectly restored in RT due to retro</t>
  </si>
  <si>
    <t>USCLM: Currency key in overpayment causes WT in RT to double</t>
  </si>
  <si>
    <t>USCLM: Off-Cycle overflow in internal table lt_adj_lgarts</t>
  </si>
  <si>
    <t>USCLM: Incorrect overpayment for reversed payroll</t>
  </si>
  <si>
    <t>USCLM: Wage type /582 incorrectly created during off-cycle</t>
  </si>
  <si>
    <t>USCLM: CLM is splitting entries due to currency field</t>
  </si>
  <si>
    <t>USCLM: Repeated overpayment when payroll area changes</t>
  </si>
  <si>
    <t>USCLM: Incorrect overpayment amounts.</t>
  </si>
  <si>
    <t>USCLM: /101 splits prevent full overpayment recovery</t>
  </si>
  <si>
    <t>USCLM: Currency key not restored correctly for cumulation WT</t>
  </si>
  <si>
    <t>Different results set of an SQL-Select Statement</t>
  </si>
  <si>
    <t>TAX: V_T5UFB is missing data processing function module.</t>
  </si>
  <si>
    <t>PY-US-BSI</t>
  </si>
  <si>
    <t>Tax Interface BSI</t>
  </si>
  <si>
    <t>BSI TaxFactory 10.0 - Phase II</t>
  </si>
  <si>
    <t>PY-US-CL</t>
  </si>
  <si>
    <t>Cloud Tax Interface</t>
  </si>
  <si>
    <t>Web Service Integration for Payroll with Partner</t>
  </si>
  <si>
    <t>PY-US-IE</t>
  </si>
  <si>
    <t>Interface</t>
  </si>
  <si>
    <t>PUOT: Program RPCOTYU0 creates multiple E1HR_UTA segments fo</t>
  </si>
  <si>
    <t>PY-US-RP</t>
  </si>
  <si>
    <t>CCR: Results not filtered by WBS Element</t>
  </si>
  <si>
    <t>PY-US-TP</t>
  </si>
  <si>
    <t>3rd Party Remittance</t>
  </si>
  <si>
    <t>3PR: RPURMP00 not posting to retro changed Company Code</t>
  </si>
  <si>
    <t>RPURME00: Error on RDATN and T51R5 for retrocalc results.</t>
  </si>
  <si>
    <t>3PR: Distribution of liabilities with Company Code changes</t>
  </si>
  <si>
    <t>3PR: Incorrect selection of entries during undo process.</t>
  </si>
  <si>
    <t>Directory traversal in PY-US-TP</t>
  </si>
  <si>
    <t>Wrong authorization groups for 3PR/BEN Application Views</t>
  </si>
  <si>
    <t>PY-US-TR</t>
  </si>
  <si>
    <t>Tax Reporter</t>
  </si>
  <si>
    <t>TR: Invalid field for mmref W-2 for State of Indiana</t>
  </si>
  <si>
    <t>TR: PA Act 32 TCD-specific requirements.</t>
  </si>
  <si>
    <t>TR: Additional Medicare without previous quarter results</t>
  </si>
  <si>
    <t>PY-US-TX</t>
  </si>
  <si>
    <t>Taxes</t>
  </si>
  <si>
    <t>TAX: Carroll County (Ky.) tax type 51 is incorrect</t>
  </si>
  <si>
    <t>TAX: Number of YTD Periods incorrect for off-cycle runs</t>
  </si>
  <si>
    <t>TAX: Assumed hours for WA EE Worker's Compensation Tax</t>
  </si>
  <si>
    <t>TAX: Bundling of corrections for Payroll US Taxes</t>
  </si>
  <si>
    <t>TAX:Documentation-Assumed hours for WA EE Worker's Comp.Tx</t>
  </si>
  <si>
    <t>TAX: TaxCo xx with TaxAu FED and TaxTy xx does not exist.</t>
  </si>
  <si>
    <t>TAX: Negative adjustment generates /QXX for threshold loc.</t>
  </si>
  <si>
    <t>PY-XX</t>
  </si>
  <si>
    <t>IT 0191/new infotype framework EA-HR and SAP_HR</t>
  </si>
  <si>
    <t>Technical Note (internal only) - UTD,... international</t>
  </si>
  <si>
    <t>PY-NL: Validity of Parameter INAC in Payroll Function RAB</t>
  </si>
  <si>
    <t>SM30: V_530C_L - short dump for one entry selected</t>
  </si>
  <si>
    <t>Collective transfer does not use current payment method</t>
  </si>
  <si>
    <t>SEPA: Documentation for the Purpose Code</t>
  </si>
  <si>
    <t>SEPA purpose code: Delivery of sample entries</t>
  </si>
  <si>
    <t>PY-XX-BS</t>
  </si>
  <si>
    <t>HCM Declustering Tools Phase II</t>
  </si>
  <si>
    <t>Error message due to wrongly deleted RGDIR entries</t>
  </si>
  <si>
    <t>Hot News</t>
  </si>
  <si>
    <t>RPTIME00/RPCALCx0 test run in background - spool not created</t>
  </si>
  <si>
    <t>T500L: New country grouping for Gibraltar</t>
  </si>
  <si>
    <t>RPCALCx0 - without Display Log, with Remuneration Statement</t>
  </si>
  <si>
    <t>H99UMACROGENERATOR cannot generate CE-Makros For Switzerland</t>
  </si>
  <si>
    <t>Transfer payroll accounts from the tables T558B and T558C</t>
  </si>
  <si>
    <t>3PR log - runtime error GETWA_NOT_ASSIGNED</t>
  </si>
  <si>
    <t>Wrong retro calculation periods for a correction run</t>
  </si>
  <si>
    <t>Performance improvement for reading table T549S</t>
  </si>
  <si>
    <t>Performance improvement when reading table T52C5</t>
  </si>
  <si>
    <t>Payroll Performance improvement</t>
  </si>
  <si>
    <t>New parameter PA03_OFF for HR_PAYROLL</t>
  </si>
  <si>
    <t>Missing descriptions in table V_T54C2</t>
  </si>
  <si>
    <t>CL_HRDCT_IM_PROCESSOR_CU syntax error</t>
  </si>
  <si>
    <t>PY-XX-CE</t>
  </si>
  <si>
    <t>Conc.Empl.-Int.Pay.</t>
  </si>
  <si>
    <t>CE-CH: Enhancements for CE main switch CH in international p</t>
  </si>
  <si>
    <t>PY-XX-DME</t>
  </si>
  <si>
    <t>Preliminary DME</t>
  </si>
  <si>
    <t>PRE-DME for collective agreement do not display the run ID.</t>
  </si>
  <si>
    <t>DME: setting of  'Requested Execution Date' for payments</t>
  </si>
  <si>
    <t>Pre-DME: Payment Run appears twice in Pre-DME log</t>
  </si>
  <si>
    <t>Pre-DME: Parallel start of Preliminary DME report.</t>
  </si>
  <si>
    <t>SEPA direct debit in HCM: BT enhancement</t>
  </si>
  <si>
    <t>DME: SEPA purpose code cannot be entered</t>
  </si>
  <si>
    <t>Preliminary DME report RPCDTBx0 determines incorrect bank da</t>
  </si>
  <si>
    <t>Incorrect changing parameters CS_SETH for BADI HRPAY00_PAYME</t>
  </si>
  <si>
    <t>Automatic implementation of ABAP Dictionary changes from SAP</t>
  </si>
  <si>
    <t>PY-XX-DT</t>
  </si>
  <si>
    <t>Posting</t>
  </si>
  <si>
    <t>RPCIPE00: NEW GL SWITCH 2 with CE</t>
  </si>
  <si>
    <t>RPCIPE00: Performance collect_ep</t>
  </si>
  <si>
    <t>Postings to FI/CO balances incorrectly</t>
  </si>
  <si>
    <t>RPCIPE01: Splitting liabilities according to switch 2</t>
  </si>
  <si>
    <t>RPCIPE01: Document creation with "Provide Cost Planning"</t>
  </si>
  <si>
    <t>RPCIPE01: Negative posting - SAPSQL_ARRAY_INSERT_DUPREC</t>
  </si>
  <si>
    <t>RPCIPE01: WPBP split in case of leaving</t>
  </si>
  <si>
    <t>RPCIPE00/RPCIPE01: Budget period</t>
  </si>
  <si>
    <t>RPCIPE00: Posting balance in the retroactive accounting chai</t>
  </si>
  <si>
    <t>RPCIPE01: Provide cost planning with quantity</t>
  </si>
  <si>
    <t>RPCIPE01/OCWB: Dump SAPSQL_ARRAY_INSERT_DUPREC (Ver.2)</t>
  </si>
  <si>
    <t>Reversal of posting runs via ALE: IDocs remain in status 30</t>
  </si>
  <si>
    <t>PCP0: Display of archived index data. (Ver. 2)</t>
  </si>
  <si>
    <t>Employee Name is not displayed in posting item</t>
  </si>
  <si>
    <t>RPCIP_SUPPORT: Field SWRETROTACT in output list</t>
  </si>
  <si>
    <t>RPCIPE00/RPCIPE01: WPBP split for change in legal person</t>
  </si>
  <si>
    <t>When posting an off-cycle payroll result, the field ABPER of</t>
  </si>
  <si>
    <t>PY-XX-FO</t>
  </si>
  <si>
    <t>Forms</t>
  </si>
  <si>
    <t>RPCALCD0 sorting always happens on PERNR</t>
  </si>
  <si>
    <t>IBAN not displayed with right format in payslip</t>
  </si>
  <si>
    <t>H99CWTR0 - gives wrong output during retro changes</t>
  </si>
  <si>
    <t>H99CWTR0 checks unnecessary data for authorization with P_OR</t>
  </si>
  <si>
    <t>RPCKTOx0 checks unnecessary data for authorization with P_OR</t>
  </si>
  <si>
    <t>PY-XX-FO-EVL</t>
  </si>
  <si>
    <t>Evaluations Payroll</t>
  </si>
  <si>
    <t>Error with query for payroll result infotypes</t>
  </si>
  <si>
    <t>PY-XX-FO-PR</t>
  </si>
  <si>
    <t>Payroll Reports</t>
  </si>
  <si>
    <t>CEDT : Name is not formatted to the language in selection</t>
  </si>
  <si>
    <t>PY-XX-IE</t>
  </si>
  <si>
    <t>OTMx: Export IBAN in Payroll Outsourcing</t>
  </si>
  <si>
    <t>OTMx: Enable Swift Code (Ver 2.0)</t>
  </si>
  <si>
    <t>OTMx: SEPA: Collective Fixes: Swift code, IBAN, address and</t>
  </si>
  <si>
    <t>PY-XX-OC</t>
  </si>
  <si>
    <t>Off-Cycle</t>
  </si>
  <si>
    <t>Empty parameters when we call the BADI_OCWB_REVERSAL Method</t>
  </si>
  <si>
    <t>Wage type is not saved in infotype 0267</t>
  </si>
  <si>
    <t>PY-XX-PF</t>
  </si>
  <si>
    <t>Payroll Functions</t>
  </si>
  <si>
    <t>Alter konnte nicht bestimmt werden</t>
  </si>
  <si>
    <t>CPAGE uses incorrect age for comparison</t>
  </si>
  <si>
    <t>Payroll log error 'Employee changes company code on ...'</t>
  </si>
  <si>
    <t>Wrong information from an error message</t>
  </si>
  <si>
    <t>Loan: System issues error message if individual reference in</t>
  </si>
  <si>
    <t>Absence valuation with multiple subtype for same period</t>
  </si>
  <si>
    <t>EOM Accruals incorrect for future dated end of contract</t>
  </si>
  <si>
    <t>Payroll driver does not check if payroll area is relevant</t>
  </si>
  <si>
    <t>For Old Payment model: adjustment for IT0014</t>
  </si>
  <si>
    <t>Prepaid deduction does not take in consideration the deducti</t>
  </si>
  <si>
    <t>PY-XX-RCN</t>
  </si>
  <si>
    <t>Reconciliation</t>
  </si>
  <si>
    <t>HRGXX: Checkman error - HANA sort fix</t>
  </si>
  <si>
    <t>PY-XX-RS</t>
  </si>
  <si>
    <t>Reuse Serv. for Co.D</t>
  </si>
  <si>
    <t>DAQ - Manager Tool &amp; Review of Maintenance Views</t>
  </si>
  <si>
    <t>Social Risk: B2A Follow-up check class IT3331</t>
  </si>
  <si>
    <t>RPUPAV00: Portugal and Italy (molgas 19, 15) wrong form call</t>
  </si>
  <si>
    <t>DAQ - Create XML files with XML Tags bigger than 60 chars</t>
  </si>
  <si>
    <t>CALC: Error message on Pension Plan with retrocalculation</t>
  </si>
  <si>
    <t>Communication with Authorities (B2A) and Status Handler</t>
  </si>
  <si>
    <t>Minor SQL and sorting improvements</t>
  </si>
  <si>
    <t>Delivery of maintenance views</t>
  </si>
  <si>
    <t>Authorization checks</t>
  </si>
  <si>
    <t>Technical delivery of ReUse objects in packages P99RU and PB</t>
  </si>
  <si>
    <t>Enabling module pool MP007700 to support integration of othe</t>
  </si>
  <si>
    <t>9LRET: Wrong results when retroctively removing WTs</t>
  </si>
  <si>
    <t>Corrections for CE version of HLACTRM0</t>
  </si>
  <si>
    <t>PY-XX-TL</t>
  </si>
  <si>
    <t>RPULCP00: Search help, country grouping, DTAT</t>
  </si>
  <si>
    <t>HR archiving: Unnecessary message in the log</t>
  </si>
  <si>
    <t>Search Help does not display for field Sub app. view V_T596C</t>
  </si>
  <si>
    <t>Corrections due to internal technical specifications or desi</t>
  </si>
  <si>
    <t>RPUDELPN does not delete data from cluster CA (PCL2)</t>
  </si>
  <si>
    <t>International message handler: Technical enhancement</t>
  </si>
  <si>
    <t>PY-ZA</t>
  </si>
  <si>
    <t>South Africa</t>
  </si>
  <si>
    <t>HCM Declustering Tools: Support of South Africa Payroll Clus</t>
  </si>
  <si>
    <t>Annual Tax Calculation in PAYE Change Scenario</t>
  </si>
  <si>
    <t>EEA2 section 6.2 details not displayed</t>
  </si>
  <si>
    <t>XX-CSC-CN-GAI</t>
  </si>
  <si>
    <t>Golden Audit Interf.</t>
  </si>
  <si>
    <t>Golden Audit (China): Documentation Enhancements</t>
  </si>
  <si>
    <t>XX-TRANSL-RU</t>
  </si>
  <si>
    <t>Translation RU</t>
  </si>
  <si>
    <t>Translation of the form 'HR_RU_CPL10'</t>
  </si>
  <si>
    <t>FI-TV</t>
  </si>
  <si>
    <t>Business Trip Management</t>
  </si>
  <si>
    <t>FI-TV-PL</t>
  </si>
  <si>
    <t>Travel Planning</t>
  </si>
  <si>
    <t>dummy note to release object : no correction</t>
  </si>
  <si>
    <t>BEN: Problem Delimiting the HSA contributions view table.</t>
  </si>
  <si>
    <t>IT0367: Dissolution charge without leaving, screen control</t>
  </si>
  <si>
    <t>PA-PA-GB: Other Age Proof for employee in IT0069, Driving Licence cannot be used for proof of age</t>
  </si>
  <si>
    <t>LINC&amp;VAN Correction on Return File</t>
  </si>
  <si>
    <t>PA-PA-MY</t>
  </si>
  <si>
    <t>Dump Error Occurred when Delimit T5LCA Entry via SM30</t>
  </si>
  <si>
    <t>EPF Rate Display Inconsistent between the Overview Screen and Detail Screen Infotype 0196</t>
  </si>
  <si>
    <t>No MOMI signal triggered</t>
  </si>
  <si>
    <t>HR master data: Russia</t>
  </si>
  <si>
    <t>HRUUCONV0290DRL Personnel numbers selection when CE RU is not activated</t>
  </si>
  <si>
    <t>Updating the view V_T7RU_99FF</t>
  </si>
  <si>
    <t>OKIN texts for education levels enhanced to 150 symbols</t>
  </si>
  <si>
    <t>Child Care Leave Enhancement : CCL taken from previous employment</t>
  </si>
  <si>
    <t>PA-PA-TH</t>
  </si>
  <si>
    <t>Communication Type Cannot Display Short Description for Dep.</t>
  </si>
  <si>
    <t>Occupational Classification Codes must have 4 digits.</t>
  </si>
  <si>
    <t>Program terminates when you create a SEPA mandate</t>
  </si>
  <si>
    <t>Company Pension Scheme Germany</t>
  </si>
  <si>
    <t>Pension receipt notification: Corrections and enhancements for MZ01 (4/2013)</t>
  </si>
  <si>
    <t>PEP reduction for employee liable for PEP: Corrections 2/2013</t>
  </si>
  <si>
    <t>CPS: Minor changes for the AC interface</t>
  </si>
  <si>
    <t>Pension receipt notification: New version as of 2014</t>
  </si>
  <si>
    <t>PA-TM</t>
  </si>
  <si>
    <t>Talent Management</t>
  </si>
  <si>
    <t>CheckMan</t>
  </si>
  <si>
    <t>PP61: Persons overview is incorrect during the first call of the target plan after change of organizational unit</t>
  </si>
  <si>
    <t>PP61:  Error message due to time overlap despite "Off" for assignment of shift on temporarily assigned day</t>
  </si>
  <si>
    <t>PP67: Error PE700 is incorrectly issued</t>
  </si>
  <si>
    <t>[AR] Missing Off-cycle payment results in HARUTAX0 report</t>
  </si>
  <si>
    <t>RPBARBA0: Error during writing of the table T5A9A</t>
  </si>
  <si>
    <t>FLAF/municipal tax for retroactive accounting previous years (RAPY)</t>
  </si>
  <si>
    <t>Infotype 0751: Incorrect default value for reentry</t>
  </si>
  <si>
    <t>PCALZ: Zeitraum für LZ SV oder LZ SV BVA falsch wenn nur BV vorhanden</t>
  </si>
  <si>
    <t>Year-end legal change 2013/2014: Legal change for payslips</t>
  </si>
  <si>
    <t>Year-end legal change 2013/2014: AK and AW messages</t>
  </si>
  <si>
    <t>Year-end legal change 2013/2014: SI minimum contribution basis and maximum contribution basis as of 2014</t>
  </si>
  <si>
    <t>Year-end legal change 2013/2014: New UI amount limits as of 2014</t>
  </si>
  <si>
    <t>Year-end legal change 2013/2014: Pension, SI revaluation number</t>
  </si>
  <si>
    <t>Year-end legal change 2013/2014: Non-garnishable exemptions</t>
  </si>
  <si>
    <t>Year-end legal change 2013/2014: Contribution statements (message types BN and P2)</t>
  </si>
  <si>
    <t>Year-end legal change 2013/2014: Legal changes for insured person notifications</t>
  </si>
  <si>
    <t>RPCALCA0: Commuter deduction and permanent annual tax declaration</t>
  </si>
  <si>
    <t>SR change notification as of 2013</t>
  </si>
  <si>
    <t>Year-end legal change 2013/2014: Proportional calculation of deductible amount for pensioners</t>
  </si>
  <si>
    <t>Payment Summary Listing report LUMPSUM E multiple employees</t>
  </si>
  <si>
    <t>26: Correction to Superannuation Legal changes 2013</t>
  </si>
  <si>
    <t>Super amount is incorrect when It15 has 2 or more payments</t>
  </si>
  <si>
    <t>Issue in CHKPR in cases of retro after payroll area transfer</t>
  </si>
  <si>
    <t>Dimona - Preparation Report - Cancel already declared</t>
  </si>
  <si>
    <t>Holiday Pay - Enhancements of initial delivery - Addendum II</t>
  </si>
  <si>
    <t>Integration Allowance - Occupation Start Date</t>
  </si>
  <si>
    <t>DmfA/DmfAPPL - Negative Amount for Special Contribution</t>
  </si>
  <si>
    <t>BELCOTAX-FINPROF: Retroactivity with company change</t>
  </si>
  <si>
    <t>SI Notification Viewer : Error message not displayed with Dimona anomaly</t>
  </si>
  <si>
    <t>Calculation of /4S1 in combination with operation BSPLT</t>
  </si>
  <si>
    <t>Dimona Notif. upload - IT0735 incorrect when EE is locked</t>
  </si>
  <si>
    <t>Enhanced Search for WSR in IT0007 (2012)</t>
  </si>
  <si>
    <t>HR Process Model Belgium</t>
  </si>
  <si>
    <t>eSocial: Events related to payroll - phase 3</t>
  </si>
  <si>
    <t>eSocial: Framework - phase 3</t>
  </si>
  <si>
    <t>eSocial: General events - phase 3</t>
  </si>
  <si>
    <t>eSocial: ABAP dictionary objects - phase 3</t>
  </si>
  <si>
    <t>YE13: excessive RL-1/2 numbers assigned during amendments</t>
  </si>
  <si>
    <t>Technical change in the table T5CS1 ("Pensioner Exemption")</t>
  </si>
  <si>
    <t>HR CH (CE): Check for multiple limit distribution</t>
  </si>
  <si>
    <t>HR CH (CE): Grouping error, time-based delimitation</t>
  </si>
  <si>
    <t>HR CH (CE): Withholding tax redesign, retroactive accounting amounts calculated incorrectly</t>
  </si>
  <si>
    <t>HR CH (CE): Multiple corrections: Reporting, wage statement 'RPLLAWC2_CE'</t>
  </si>
  <si>
    <t>CE CH: Multiple distribution mechanisms per insurance</t>
  </si>
  <si>
    <t>CE CH: New distribution mechanism for exemption limit for unemployment insurance (ALV)</t>
  </si>
  <si>
    <t>HR-CH: Changes to unemployment insurance (UI) as of January 1, 2014</t>
  </si>
  <si>
    <t>Year-end legal change 2013/2014: Rate-determining wage for withholding tax accounting, canton ZH</t>
  </si>
  <si>
    <t>WHT VD: EMP-ACI: New withholding tax scales for 2014</t>
  </si>
  <si>
    <t>[CL] Incorrect payments in Retroactive process</t>
  </si>
  <si>
    <t>[CL] PREVIRED Report calculating wrong absence days</t>
  </si>
  <si>
    <t>[CL] Field Heavy Work being wrongly filled in PREVIRED</t>
  </si>
  <si>
    <t>[CL] Remuneration and Labor Cost Form is shown in English</t>
  </si>
  <si>
    <t>Correct The Value of Evaluation Class 02 for Wage Types  /843, /844, /845 and /846</t>
  </si>
  <si>
    <t>Enhance Monthly Tax Report to Display Customized Income Category</t>
  </si>
  <si>
    <t>Business to Administration</t>
  </si>
  <si>
    <t>SI: SHA256 encryption for communication with health insurance funds</t>
  </si>
  <si>
    <t>SI: RPUSVKD0: "Error - Public key fingerprint not found"</t>
  </si>
  <si>
    <t>ETNotif./ETStmt: Delivery of XML schemas for 2014</t>
  </si>
  <si>
    <t>Construction Industry</t>
  </si>
  <si>
    <t>SFP calculation of contribution amount for "Construction Site Abroad" employee attribute sometimes incorrect</t>
  </si>
  <si>
    <t>Leave accrual: Incomplete previous employer data leads to negative leave remuneration</t>
  </si>
  <si>
    <t>DEUEV: Corrections XV</t>
  </si>
  <si>
    <t>DEUEV inbound notifications: Corrections IV</t>
  </si>
  <si>
    <t>AI minimum remuneration: Error in SAP Note 1924944</t>
  </si>
  <si>
    <t>DEUEV: Version 2.51 of the Joint Circular</t>
  </si>
  <si>
    <t>ELStAM procedure: Corrections after year-end legal change 41/2013</t>
  </si>
  <si>
    <t>ELStAM procedure: Corrections after year-end legal change 42/2013</t>
  </si>
  <si>
    <t>ELStAM: Corrections after year-end legal change 40/2013</t>
  </si>
  <si>
    <t>EEL: Incorrect sender for reversal notifications</t>
  </si>
  <si>
    <t>EEL: Determination of last payroll period</t>
  </si>
  <si>
    <t>EEL: Corrections and enhancements (12/2003)</t>
  </si>
  <si>
    <t>PY-DE-FP-PJ</t>
  </si>
  <si>
    <t>Remuneration Statement, Payroll Account, Payroll Journal</t>
  </si>
  <si>
    <t>EBeschV: Overriding wage type indicator using T5D38</t>
  </si>
  <si>
    <t>EBeschV: Minor corrections 7</t>
  </si>
  <si>
    <t>Payroll account: Additional SI wage types</t>
  </si>
  <si>
    <t>Maternity Protection Act</t>
  </si>
  <si>
    <t>Prohibited activities: Incorrect distribution for /6H5</t>
  </si>
  <si>
    <t>PofO: Cleanup of garnishment results VI</t>
  </si>
  <si>
    <t>PofO: Cleanup of garnishment results VII</t>
  </si>
  <si>
    <t>Year-end legal change for social insurance 2013/2014</t>
  </si>
  <si>
    <t>Year-end legal change for tax 2013/2014</t>
  </si>
  <si>
    <t>ETStmt: No statement upon reentry after tax year has closed</t>
  </si>
  <si>
    <t>Cumulation of wage types without tax split in SCRT</t>
  </si>
  <si>
    <t>Data provision: Runtime error CONVT_NO_NUMBER</t>
  </si>
  <si>
    <t>Replacement of direct database update on infotype 406 via API</t>
  </si>
  <si>
    <t>New non-monetary remuneration as of 2014</t>
  </si>
  <si>
    <t>GOP: Payroll termination "E03: No tax days exist in table ST"</t>
  </si>
  <si>
    <t>ER contribution CFS in TV-L must be factored differently from TVoeD</t>
  </si>
  <si>
    <t>Pension Administration</t>
  </si>
  <si>
    <t>Process scenario DEDU: Calculation of pension payment is incorrect</t>
  </si>
  <si>
    <t>Public Services regulation, state of Hessen: 2nd DRModG VI</t>
  </si>
  <si>
    <t>Administrative changes</t>
  </si>
  <si>
    <t>Public Services regulation, state of Hessen: 2nd DRModG VII</t>
  </si>
  <si>
    <t>PY-DE-PS-ZV</t>
  </si>
  <si>
    <t>Supplemental Pension</t>
  </si>
  <si>
    <t>Correction for change of date of birth or sex gender</t>
  </si>
  <si>
    <t>Error during split assignment of fictitious gross amount of supplement to maternity pay in the program RPCZVMD2</t>
  </si>
  <si>
    <t>Inflow principle according to split for annual special payment</t>
  </si>
  <si>
    <t>Internal source code reorganization for fictitious run use</t>
  </si>
  <si>
    <t>Address change is created every month</t>
  </si>
  <si>
    <t>Confirmed insurance policy number is recognized as incomplete</t>
  </si>
  <si>
    <t>Process flow and IMG activities for automatic processing of confirmations of the insurance policy number</t>
  </si>
  <si>
    <t>Evaluation/Statistics</t>
  </si>
  <si>
    <t>Z4 notification of salary payments and pension payments</t>
  </si>
  <si>
    <t>Z4 notification for HR: Preparations for advance implementation of SAP Note 1909465</t>
  </si>
  <si>
    <t>RPLEHAD3: Changes for the display year 2013</t>
  </si>
  <si>
    <t>PY-DE-RP-ST</t>
  </si>
  <si>
    <t>Statements</t>
  </si>
  <si>
    <t>Corrections for statements 5/2013</t>
  </si>
  <si>
    <t>CP: Contract update of PE-191 model</t>
  </si>
  <si>
    <t>CONTRAT@: Impossible to edit P0480-COLEF for 421 contract</t>
  </si>
  <si>
    <t>PA: Icon of Maintain text button not shown on 0021 infotype</t>
  </si>
  <si>
    <t>AFI: Gathered strike periods with Sent status</t>
  </si>
  <si>
    <t>IGA: Missing notification when applying art. 87.5 reduction</t>
  </si>
  <si>
    <t>CRT2: New public sector indicator in table T5E08</t>
  </si>
  <si>
    <t>CALC: Missing bases when rehiring training contract employee</t>
  </si>
  <si>
    <t>Contrat@: Changes of Law 11/2013</t>
  </si>
  <si>
    <t>ERE: Issue with ENISS feature and ERE for more than one month</t>
  </si>
  <si>
    <t>ERE: Short dump when updating the V_T5ER2 view</t>
  </si>
  <si>
    <t>TC: Wrong IT/IMS contribution for employee with ERE starting in the middle of the month</t>
  </si>
  <si>
    <t>CRT2: Wrong &amp;lt;CCC&amp;gt; on XML file "Procedimientos de ERE"</t>
  </si>
  <si>
    <t>IRPF: Adjustment in some Datos Fiscales (0062) infotype fields</t>
  </si>
  <si>
    <t>GARNT: Error retrieving bank details</t>
  </si>
  <si>
    <t>UTIL: New method to get company type from table T5E08</t>
  </si>
  <si>
    <t>HRFI: HFILTAX0 issues (Y-Code), negative amount, age group C</t>
  </si>
  <si>
    <t>HRFI: HFILGAR0 - transaction PECLUSTER</t>
  </si>
  <si>
    <t>HRFI: Payroll function P0205 should always return last valid WPBP split</t>
  </si>
  <si>
    <t>IT00217: Change search help title of HRPADFR_PCS</t>
  </si>
  <si>
    <t>RPUPADF0: A value of "autres prélèvements" is not alighted on the same value of "autres prélèvements" in the report RPLPABF0</t>
  </si>
  <si>
    <t>RPLASAF3: No form generated when executing the program in direct mode</t>
  </si>
  <si>
    <t>DUCS: refund LSE contributions not generated</t>
  </si>
  <si>
    <t>LSE: Documentation of Data elements P06_CONTRAT_DATE_ESSAI_FIN  and P06_CONTRAT_PERIODE_ESSAI_FAIT</t>
  </si>
  <si>
    <t>PY-GB: PAE: Employer's Pensionable Gross Enhancements</t>
  </si>
  <si>
    <t>PY-GB: PAE: Data Take On</t>
  </si>
  <si>
    <t>PY-GB: GBSXP: MSAX Error</t>
  </si>
  <si>
    <t>RTI: ME scenarios with Late New starts and SE RTINI TP values issue for Late payment to a leaver in prev tax year.</t>
  </si>
  <si>
    <t>PY-GB:P45 generated for an active employee in multiple emp</t>
  </si>
  <si>
    <t>PY-GB: Pension Contribution Report - Tax Free contributions</t>
  </si>
  <si>
    <t>RTI:Update of Works number fails if IT0065 has not been updated either by EAS or previous FPS runs</t>
  </si>
  <si>
    <t>PY-GB:GCRTO /CO3 dropped if /141 becomes negative in retro</t>
  </si>
  <si>
    <t>PY-GB: PAE: PAE Reports display postcode twice in ALV</t>
  </si>
  <si>
    <t>PY-GB-PS: Schools Workforce Census 2013</t>
  </si>
  <si>
    <t>HCM Declustering Tools: Support of Ireland Payroll Clusters</t>
  </si>
  <si>
    <t>PY-IE: PRD: "When Paid" solution</t>
  </si>
  <si>
    <t>HRIE: 2014 Budget Changes</t>
  </si>
  <si>
    <t>HRIE: PRSI Class for Period in payslip forms</t>
  </si>
  <si>
    <t>PY-IE-RP</t>
  </si>
  <si>
    <t>PY-IE-RP-TX</t>
  </si>
  <si>
    <t>HRIE: PRD35/PRD60 not reporting correct PRDable Pay</t>
  </si>
  <si>
    <t>HRIE: P60 for 2013</t>
  </si>
  <si>
    <t>Orissa Professional Tax - Changes for Additional Payment</t>
  </si>
  <si>
    <t>Exemption Under Sec 80D : Payment for medical Insurance Premium</t>
  </si>
  <si>
    <t>HR-IT: Addizionale Comunale is wrongly calculated in January</t>
  </si>
  <si>
    <t>UniEmens 2.0 - Fields w/ type ICS and INS are wrongly shown</t>
  </si>
  <si>
    <t>ASPI Reimbursement: PERMO is not being taking into account</t>
  </si>
  <si>
    <t>Avoiding differences between the amount of the 30% advance of “addizionale comunale” written in CUD (wage type /4NR) and calculated in payroll run (wage type /4NQ)</t>
  </si>
  <si>
    <t>PY-IT: Contributo di Licenziamento correction package I</t>
  </si>
  <si>
    <t>PY-IT: Wrong /3FY and /3FR calculation on ITVG</t>
  </si>
  <si>
    <t>New Feature for Santei/Geppen evaluation</t>
  </si>
  <si>
    <t>Incorrect Number Field for Wage Types /1E7 &amp; /1EE</t>
  </si>
  <si>
    <t>Incorrect Honorable Deposit for RP with Tax Deferring</t>
  </si>
  <si>
    <t>YEA: Credit Expense Report on ESS</t>
  </si>
  <si>
    <t>Institution Name for Pension Saving not printed on YEA Receipt Form</t>
  </si>
  <si>
    <t>LC2013: Employment Insurance Acquired and Lost DME Format</t>
  </si>
  <si>
    <t>Remuneration Statement for Kazakhstan</t>
  </si>
  <si>
    <t>HR-KZ: Function KZAVE Fills Payroll Log When it is Inactive</t>
  </si>
  <si>
    <t>[MX] Wrong period selection in HMXCDAN0 for payroll splits</t>
  </si>
  <si>
    <t>[MX] Documentation for Unified Registry for Civil Servants</t>
  </si>
  <si>
    <t>[MX] HMXCIES0 shows data from every Payroll Area</t>
  </si>
  <si>
    <t>Voluntary EPF Calculation Issue for EE whose Age &amp;gt;= 55 Years Old before 01.Feb.2008</t>
  </si>
  <si>
    <t>Tax Office Loaded Incorrectly when Tax Group Changed</t>
  </si>
  <si>
    <t>Borang 2 position correction</t>
  </si>
  <si>
    <t>Error message during Payroll Simulation in Simulation Tool and in Flexible Benefits for Budgets</t>
  </si>
  <si>
    <t>No extra IV in case of advantage rule and green life-course payment</t>
  </si>
  <si>
    <t>30% regulation disabled after employee leaves the company</t>
  </si>
  <si>
    <t>Negative wage and max. conversion rule A</t>
  </si>
  <si>
    <t>YELC 2013/2014: Annual Wage Return: Legal Changes</t>
  </si>
  <si>
    <t>HRNO: Wrong zone on 1A (4A) municipalities by reimbursement amount</t>
  </si>
  <si>
    <t>ACF - Correction of issues - November 2013</t>
  </si>
  <si>
    <t>RPUTILV1 - corrections - November 2013</t>
  </si>
  <si>
    <t>Payroll for Non-Profit-Organisationen (INTPSO)</t>
  </si>
  <si>
    <t>Transmitting Incorrect Name of an Employee in HUNAPFI0</t>
  </si>
  <si>
    <t>EVE Attribute MOGED returns incorrect value</t>
  </si>
  <si>
    <t>BCS and ETF Date in IT0961</t>
  </si>
  <si>
    <t>Corrections to UNJSPF Common HR Interface</t>
  </si>
  <si>
    <t>Incorrect Calculation of Amounts for Wage Types in Basic Pay IT0008</t>
  </si>
  <si>
    <t>For Part time employees , Benefits costs are not determined based on full time salary</t>
  </si>
  <si>
    <t>PY-NZ: HNZLSUP0 does not display off-cycle results correctly</t>
  </si>
  <si>
    <t>PY-NZ : Incorrect Kiwisaver employer contribution and ESCT</t>
  </si>
  <si>
    <t>Philhealth salary base floor change starting Jan 1, 2014</t>
  </si>
  <si>
    <t>Enhancement for HDMF IT0423 "Membership program"field should be optional</t>
  </si>
  <si>
    <t>Infotype 0331: Wrong check of Dependents/Handicapped fields</t>
  </si>
  <si>
    <t>Changing standard customizing of Labor Compensation Fund basis</t>
  </si>
  <si>
    <t>Public Sector Payroll</t>
  </si>
  <si>
    <t>HR-PT: Family Allowance end of scholl year treatment</t>
  </si>
  <si>
    <t>SIOE:Employees are not being shown in board 3(remunerations)</t>
  </si>
  <si>
    <t>IRS: Error triggering retroactive accounting before 2013</t>
  </si>
  <si>
    <t>Payroll Accounting: Russia</t>
  </si>
  <si>
    <t>4-FSS new XML layout according to Order N107n, 19.03.2013</t>
  </si>
  <si>
    <t>HRULPAY2: missing information about periods of disability in printed form</t>
  </si>
  <si>
    <t>Dump error during authorisation check in payroll process</t>
  </si>
  <si>
    <t>Corrections after note 1916824 implementation</t>
  </si>
  <si>
    <t>HRSE: Vacation Eligibility - join subsequent periods</t>
  </si>
  <si>
    <t>HRSE: LAS1 - counting of days when EE rehired and JUPER changed</t>
  </si>
  <si>
    <t>Retro changes for Legal entity transfer scenarios</t>
  </si>
  <si>
    <t>PY-SG: CPF Rate change effective from Jan 1st 2014</t>
  </si>
  <si>
    <t>Reverse of Note.1906755 for Variable Allownce Retro in NRS Reporting</t>
  </si>
  <si>
    <t>NRS: Rounding Issue for Variable Allowance</t>
  </si>
  <si>
    <t>Correction to note 1903261 for year end calculation scenario.</t>
  </si>
  <si>
    <t>Correction for Line Number of Employee with Zero Income in IR8A PAT file</t>
  </si>
  <si>
    <t>FWL rates from Jul 2013 to Jul 2015</t>
  </si>
  <si>
    <t>3 year PR converted to Citizen</t>
  </si>
  <si>
    <t>CPF Adjustment for Concurrent Employees</t>
  </si>
  <si>
    <t>Multiple Variable Allowances in NRS Reporting Incorrect</t>
  </si>
  <si>
    <t>Incorrect Medisave AW generated after correction run</t>
  </si>
  <si>
    <t>HTHCTX5B Report: New PDF Form Enhancement</t>
  </si>
  <si>
    <t>HTHCTXF1 Report Generate Form for Terminated Employee</t>
  </si>
  <si>
    <t>PIT 91 Details Thai Form Header Alignment Issue</t>
  </si>
  <si>
    <t>PF Contribution not Calculated when Resigned in Mid-month</t>
  </si>
  <si>
    <t>ER NHI Premium is Incorrect when EE has the NHI status STOP with Reason F</t>
  </si>
  <si>
    <t>Format Issue of Taiwan Tax Statement Form</t>
  </si>
  <si>
    <t>Unnecessary NHI &amp; LI comparison when NHI status is inactive</t>
  </si>
  <si>
    <t>Wrong authorization groups for Application Views</t>
  </si>
  <si>
    <t>Test BSI Tax Calculation in TaxFactory 10.0</t>
  </si>
  <si>
    <t>PY-US-CE</t>
  </si>
  <si>
    <t>Concurrent Employment - Payroll USA</t>
  </si>
  <si>
    <t>CE: Zero out the base wages for a missed pay.</t>
  </si>
  <si>
    <t>Cloud Tax Interface BSI</t>
  </si>
  <si>
    <t>Enhancement of Integration with BSI eFormsFactory</t>
  </si>
  <si>
    <t>W-2: Missing binding in the Reprint Form.</t>
  </si>
  <si>
    <t>TR: W-2C PR for employees without PR wages</t>
  </si>
  <si>
    <t>Year End 2013 Phase II for U.S. Tax Reporter</t>
  </si>
  <si>
    <t>TR: Michigan SUI Magmedia with incorrect gross wages</t>
  </si>
  <si>
    <t>TAX: Adjustment for Additional Medicare wage types</t>
  </si>
  <si>
    <t>PY-VE</t>
  </si>
  <si>
    <t>Venezuela</t>
  </si>
  <si>
    <t>[VE] Error in Interests with cancelled INT0 payroll</t>
  </si>
  <si>
    <t>UIF contributions calculation without tax split</t>
  </si>
  <si>
    <t>Posting error after implementation of SAP Note 1821617 (Variable payrments phase II )</t>
  </si>
  <si>
    <t>Variable payments phase III - PAYE change and termination</t>
  </si>
  <si>
    <t>PA-PA-BR</t>
  </si>
  <si>
    <t>Personal Data infotype issue with city name validation</t>
  </si>
  <si>
    <t>Cannot Copy Family Member (0021) Infotype Record</t>
  </si>
  <si>
    <t>YELC 2013/2014: Pension Return: Legal Changes for 2014</t>
  </si>
  <si>
    <t>Limits for retirement, savings plans in tax year 2014.</t>
  </si>
  <si>
    <t>Conversion Rules does not accept accentuated characters</t>
  </si>
  <si>
    <t>eSocial - Framework - Phase 4</t>
  </si>
  <si>
    <t>eSocial - General events - Phase 4</t>
  </si>
  <si>
    <t>eSocial: "Exclusão de eventos" event - Phase 4</t>
  </si>
  <si>
    <t>QHC 2014 changes</t>
  </si>
  <si>
    <t>TAX: Legal changes effective January 1, 2014</t>
  </si>
  <si>
    <t>Remaining cents in the schema D100</t>
  </si>
  <si>
    <t>SI: SHA256 Improvements and checks</t>
  </si>
  <si>
    <t>ELStAM: Improvements and corrections 44/2013</t>
  </si>
  <si>
    <t>ELStAM procedure: Improvements and corrections 45/2013</t>
  </si>
  <si>
    <t>Maternity allowance/AAG notification: Net entry</t>
  </si>
  <si>
    <t>Prohibited activities and a change in the pay scale type</t>
  </si>
  <si>
    <t>PO: Cleanup of garnishment results VII (additional correction)</t>
  </si>
  <si>
    <t>ELStAM: Tax data for the previous year</t>
  </si>
  <si>
    <t>Error during commitment creation using payroll</t>
  </si>
  <si>
    <t>Z4 notifications: Supplement 1</t>
  </si>
  <si>
    <t>PY-GB: PAE: Legal Changes: April 2014</t>
  </si>
  <si>
    <t>HRIE: EP60 for 2013 - Form and functionality enhancements</t>
  </si>
  <si>
    <t>YEA2013: YEA and Seperation DME</t>
  </si>
  <si>
    <t>2013: Separation Tax Deferring after Tax Deducted and Single Parent Deduction</t>
  </si>
  <si>
    <t>RP with Tax differing for both Lump Sum and honorable payment by default</t>
  </si>
  <si>
    <t>Incorrect Carry Over Donation Amount in Some Special Case</t>
  </si>
  <si>
    <t>Changes to Monthly Rental in Infotype 0881(E5)</t>
  </si>
  <si>
    <t>Separation Pay by 2011.12.31 does not display on receipt</t>
  </si>
  <si>
    <t>Regular Payoll Stops in Payroll Function KRSIP</t>
  </si>
  <si>
    <t>Wage Return Extractor Displays the End Date for Risk Group When There is a WPBP Split</t>
  </si>
  <si>
    <t>YELC 2013/2014: Crisis Tax Extended for 2014</t>
  </si>
  <si>
    <t>YELC 2013/2014: Aangifte LH: Changes to Loonaangifte</t>
  </si>
  <si>
    <t>YELC 2013/2014: Changes for law BeZaVA (Modernisering ziektewet)</t>
  </si>
  <si>
    <t>YELC 2013/2014: Tax Changes in The Netherlands</t>
  </si>
  <si>
    <t>YELC 2013/2014: Jaaropgave WN: Adjustments to form HR_NL_JAAR_WN_D</t>
  </si>
  <si>
    <t>YELC 2013/2014: New Statutory Minimum Wages as of January 1st 2014</t>
  </si>
  <si>
    <t>YELC 2013/2014: New Pollution Category as of January 2014</t>
  </si>
  <si>
    <t>YELC 2013/2014: Income Relationship Split for Wages Calculated With Green and White Tax Table</t>
  </si>
  <si>
    <t>HDMF report date format update to mmddyyyy on Remarks</t>
  </si>
  <si>
    <t>PY-PH: Enhancement on Processing Details for Payroll Log</t>
  </si>
  <si>
    <t>Modify blank lines in HDMF for Phillippines</t>
  </si>
  <si>
    <t>RPCMIDP0: New Substitution Declaration</t>
  </si>
  <si>
    <t>HRSE: YELC constants valid for 2014</t>
  </si>
  <si>
    <t>PY-SG: Legal Change for IR8A and IR8S YOA 2014</t>
  </si>
  <si>
    <t>Reset AW capping for Legal entity transfer &amp; secondment</t>
  </si>
  <si>
    <t>Excess calculated error when Benefit Salary Calculation for 3CML is called.</t>
  </si>
  <si>
    <t>PY-SG: Legal Change for IR8A YOA 2014 About IT3364</t>
  </si>
  <si>
    <t>TR: Blank correction forms generated after Note 1864393</t>
  </si>
  <si>
    <t>BSI TaxFactory 10.0 - Phase 3</t>
  </si>
  <si>
    <t>TAX: Puerto Rico Withholding on Christmas Bonus</t>
  </si>
  <si>
    <t>FI-TV-COS</t>
  </si>
  <si>
    <t>Trip Costs</t>
  </si>
  <si>
    <t>Cannot reset trips with status 'paid out'</t>
  </si>
  <si>
    <t>Correct syntax error from note 1960009</t>
  </si>
  <si>
    <t>FI-TV-COS-PS</t>
  </si>
  <si>
    <t>Travel Management PS</t>
  </si>
  <si>
    <t>PS DE: Besondere Fahrtkosten im Trennungsgeld</t>
  </si>
  <si>
    <t>Reisespesenart BAHU erscheint nicht in der Wertehilfe von Be</t>
  </si>
  <si>
    <t>Unit test objects for class CL_HRBEN_HEALTH_FSA</t>
  </si>
  <si>
    <t>[AR] Delimit action issue in infotype 0392</t>
  </si>
  <si>
    <t>RPCURLA1: Entitlement-reducing absences</t>
  </si>
  <si>
    <t>RPCURLA1: Multiple quota types mean leave</t>
  </si>
  <si>
    <t>IT0136: SWIFT code display</t>
  </si>
  <si>
    <t>Utility program for payment method change in AT infotypes</t>
  </si>
  <si>
    <t>RPTPC4B0: Physical Postal Codes UI</t>
  </si>
  <si>
    <t>Display SWIFT code on Belgium specific infotype screens</t>
  </si>
  <si>
    <t>Missing entry in value list of domain P12_EGOV_PLANNED_YEAR</t>
  </si>
  <si>
    <t>HCM objects: Load infotype correction</t>
  </si>
  <si>
    <t>eSocial - Data Dictionary Objects - Release 2014/01</t>
  </si>
  <si>
    <t>Dummy Note to Correct Checkman Error</t>
  </si>
  <si>
    <t>Dump When Running PB40 for Action "Initial entry of basic da</t>
  </si>
  <si>
    <t>SEC-248_SAP shall enforce secure authorization in PA-PA-CN</t>
  </si>
  <si>
    <t>Datenvernichtung: Vorlaufreport des Archivierungsobjekts HRC</t>
  </si>
  <si>
    <t>Datenvernichtung Meldedaten: Rücknahme des Vorlaufs</t>
  </si>
  <si>
    <t>HRFI: Checkman Correction for HFIIABP0_FORMS</t>
  </si>
  <si>
    <t>Infotype 0217: lock-flag in overview screen</t>
  </si>
  <si>
    <t>Data Privacy France - Original Language Change</t>
  </si>
  <si>
    <t>Infinite loop while redefining a regulatory compliance durin</t>
  </si>
  <si>
    <t>PA-PA-GB:Stop Notice Date cannot be input for /CSL in IT70</t>
  </si>
  <si>
    <t>PA-PA-GB: IT69 age proof field value does not matches with</t>
  </si>
  <si>
    <t>PA-PA-GB: IT0048 time constraint check</t>
  </si>
  <si>
    <t>Decoupling Class Enhancement for Infotype 0852/0853 JP</t>
  </si>
  <si>
    <t>LINC&amp;VAN: Incorrect value for fields in LINC</t>
  </si>
  <si>
    <t>Correction for Issues of ESS YEA Scenario</t>
  </si>
  <si>
    <t>IT0146: repeat fields aren't recognized in query</t>
  </si>
  <si>
    <t>HJPULV_LINJ0: Enhancement on Data File Import</t>
  </si>
  <si>
    <t>LC2014: Road Name Address</t>
  </si>
  <si>
    <t>Remove the check on dependent checkbox selection in IT0021 w</t>
  </si>
  <si>
    <t>[MX] Documentation of feature MXSPU</t>
  </si>
  <si>
    <t>The report RPCLAPN0 can issue the error message HRPAYNLLA 06</t>
  </si>
  <si>
    <t>Creation of 80% Bonus Lifecourse Savings Withdrawal Data in</t>
  </si>
  <si>
    <t>QA LR: New School Allowance</t>
  </si>
  <si>
    <t>Code injection vulnerability in PA-PA-QA</t>
  </si>
  <si>
    <t>QA LR: New School Allowance Correction</t>
  </si>
  <si>
    <t>LC RU Direct social payments specification version 1.7.1</t>
  </si>
  <si>
    <t>Names and series of education documents in Form T-2</t>
  </si>
  <si>
    <t>Editing qualification name in OKSO qualifications view</t>
  </si>
  <si>
    <t>Corrupted XML with results of Income Tax (2-NDFL) report  be</t>
  </si>
  <si>
    <t>ADV-1, ADV-2, ADV-3: XML-file issues</t>
  </si>
  <si>
    <t>HRULADV62: Deletion of text in head of pdf form</t>
  </si>
  <si>
    <t>Feature RSGCZ for Citizenship identification of Singapore fo</t>
  </si>
  <si>
    <t>Get wrong IC number when create/change infotype 0002</t>
  </si>
  <si>
    <t>Enhancement in RPUPAV00 for Thailand</t>
  </si>
  <si>
    <t>BEN: Catch-up process causes wrong 401(k) refunds</t>
  </si>
  <si>
    <t>Destruction of data: Preliminary report terminates and the s</t>
  </si>
  <si>
    <t>Year-end change 2013/14: PF, minimum interest rate BVG 1.75%</t>
  </si>
  <si>
    <t>Incorrect Prices in My Prebookings Tab of transaction PV8I</t>
  </si>
  <si>
    <t>Course Information Report:Room details incorrectly displayed</t>
  </si>
  <si>
    <t>Security checkman in PE - 1141</t>
  </si>
  <si>
    <t>Few LSO transactions does not work in the system</t>
  </si>
  <si>
    <t>PP61 - Incorrect text for several additional shifts</t>
  </si>
  <si>
    <t>PP61 Availabilities for work create time substitutions</t>
  </si>
  <si>
    <t>Incorrect breaks for night shifts during ad hoc update</t>
  </si>
  <si>
    <t>PT-SP: Documentation for the day, missing line break at 72 c</t>
  </si>
  <si>
    <t>PP61: Requirement conflicts: too many assignments are being</t>
  </si>
  <si>
    <t>PT-SP-PS</t>
  </si>
  <si>
    <t>Shift Planning PS</t>
  </si>
  <si>
    <t>PP61: Temporary assignment for locked persons</t>
  </si>
  <si>
    <t>[AR] Missing Wage Type /124 when regular pay cycle passed</t>
  </si>
  <si>
    <t>[AR] Documentation for Decree 1242/2013 Income Tax 2013</t>
  </si>
  <si>
    <t>[AR] Decree 1242/2013: general corrections</t>
  </si>
  <si>
    <t>HCM Declustering Tools: Support of Argentina Payroll Cluster</t>
  </si>
  <si>
    <t>[AR] Wrong dates for authority checks on reports</t>
  </si>
  <si>
    <t>[AR] SICOSS V36</t>
  </si>
  <si>
    <t>[AR] Tax tables - values for 2014</t>
  </si>
  <si>
    <t>[AR] Rubro 31 value duplicated and Tax Calculation 2014</t>
  </si>
  <si>
    <t>[AR] Tax tables - values for 2014 (complement)</t>
  </si>
  <si>
    <t>RPCALCA0: Include RPCBURA2 incomplete</t>
  </si>
  <si>
    <t>RPCUBSA0RA: Org. Wechsel Abrechnungskreis</t>
  </si>
  <si>
    <t>RPCURLA1: Urlaubsvorgriff bei mehreren Kontingenten</t>
  </si>
  <si>
    <t>PCALZ: Interim solution I1, L1, and W1</t>
  </si>
  <si>
    <t>AV-Staffelung bei Urlaubsersatzleistung (SZ-Anteil)</t>
  </si>
  <si>
    <t>JW 2014: Pflegekarenz (§14c AVRÄG) und Pflegeteilzeit (§14d</t>
  </si>
  <si>
    <t>PCALZ:  Fehler bei Austritt nach dem Hinweis 1933585</t>
  </si>
  <si>
    <t>New GL: /171 und /172 haben als 2. Ableitung /A01 eingetrage</t>
  </si>
  <si>
    <t>RPUELDA0: falsche Anzahl bei der Statistik</t>
  </si>
  <si>
    <t>JW 2013/14: Referenzzins für Zinsersparnis bei Darlehen</t>
  </si>
  <si>
    <t>RPCALCA0: Rundungsdifferenzen P-Euro und perm. J.ausgl.</t>
  </si>
  <si>
    <t>ELDA Feldumsetzung (T5A1N): Staatenlose Mitarbeiter (nach IS</t>
  </si>
  <si>
    <t>IBAN/SEPA: Neues Standard - Entgeltformular AF05 (Österreich</t>
  </si>
  <si>
    <t>rpcalca0: Auslandentsendung freiw. Abfertigung (GG), AJBZ</t>
  </si>
  <si>
    <t>Anpassung Bildungskarenz nach §11 und §12 AVRAG und Bildungs</t>
  </si>
  <si>
    <t>BAdI: Generierung Datenträgernummer, HRPAYAT_UELDA0_DTRNR</t>
  </si>
  <si>
    <t>ELDA-VM-Anmeldung mit Verrechnungsgruppe N98 als Beitragsgru</t>
  </si>
  <si>
    <t>SV:  Sonderzahlung falsch bei überlassenen Dienstnehmer</t>
  </si>
  <si>
    <t>ELDA: Feldkonfiguration für Dynpro's 2004 und 2304 nicht aus</t>
  </si>
  <si>
    <t>RPCALCA0: Correction for deductible amount for pensioners (y</t>
  </si>
  <si>
    <t>ELDA: Meldungsarten AK/AW und P6/P7</t>
  </si>
  <si>
    <t>IMG Aktivität 'Purpose Code für SEPA Zahlungsverkehr' fehlt</t>
  </si>
  <si>
    <t>RPCALCA0: Fehler Aliquotieren der mtl. Absetzbeträge</t>
  </si>
  <si>
    <t>Doku Versteuerung Zuflüsse FLAF/Kommunalsteuer</t>
  </si>
  <si>
    <t>ELDA: Fehlende Einträge bei Meldungsart BN in T5A1M</t>
  </si>
  <si>
    <t>PCALZ: LV SV und LZ SV BVA : Sonderzahlungskennzeichen nicht</t>
  </si>
  <si>
    <t>PY-AT-PS</t>
  </si>
  <si>
    <t>JW 2013/14: BVA: Beitragssatz Krankenversicherung für einige</t>
  </si>
  <si>
    <t>Änderung in Organisationsbeschreibung GL -  5. Ergänzung</t>
  </si>
  <si>
    <t>ELDA: Meldungsart P7 nicht mit  IBAN und BIC ausgeliefert</t>
  </si>
  <si>
    <t>general usability enhancements</t>
  </si>
  <si>
    <t>Retroactive Termination Processiong for Super Legal Change</t>
  </si>
  <si>
    <t>Payroll function QLVPR has long runtime for CE employees</t>
  </si>
  <si>
    <t>27: Correction to Superannuation Legal changes 2013</t>
  </si>
  <si>
    <t>AU-Transaction code for Utility report RPCSUP0220_DLMT</t>
  </si>
  <si>
    <t>Termination Organiser: Option added to not delimit Infty 220</t>
  </si>
  <si>
    <t>PY-AU: Incorrect pay date set after an off-cycle payroll run</t>
  </si>
  <si>
    <t>Performance issue with payroll driver and report RPCSUPQO</t>
  </si>
  <si>
    <t>Wage type /130 does not include all leave loading payments p</t>
  </si>
  <si>
    <t>Issues with reversal of payments made in advance (PIA)</t>
  </si>
  <si>
    <t>Correction to note 1859809: Lump Sum E errors when reversal</t>
  </si>
  <si>
    <t>Missing corrections in SAP Note 1900121</t>
  </si>
  <si>
    <t>Legal change:2014 Protected Net Earnings for Child Support</t>
  </si>
  <si>
    <t>28:Correction to Superannuation Legal changes 2013</t>
  </si>
  <si>
    <t>28: correction to superannuation 2013</t>
  </si>
  <si>
    <t>Retro processing of carry forward leave loading WT's causing</t>
  </si>
  <si>
    <t>Voluntary Tax WT not being processed on payroll execution</t>
  </si>
  <si>
    <t>APS remuneration report output format is incorrect</t>
  </si>
  <si>
    <t>In APS Remuneration report data items are processed based on</t>
  </si>
  <si>
    <t>PY-AU-TAX</t>
  </si>
  <si>
    <t>HCM Australia tax</t>
  </si>
  <si>
    <t>Wagetypes /106 and /116 have ANZHL (Number) field filled inc</t>
  </si>
  <si>
    <t>Refund WT /ARF is generated with no change in the bonus amou</t>
  </si>
  <si>
    <t>RPTGENB0: Performance issues on non-unicode systems</t>
  </si>
  <si>
    <t>BELCOTAX/FINPROF: Filter declaration by Company Tax ID</t>
  </si>
  <si>
    <t>Start date of deduction 0601 not present in DmfA xml file</t>
  </si>
  <si>
    <t>DmfA Update: XML Dismissed Statutory Worker</t>
  </si>
  <si>
    <t>Entitlement - Employee Tax Reduction Statutory</t>
  </si>
  <si>
    <t>Capelo: Dismissal dates in BEEVL</t>
  </si>
  <si>
    <t>Implementation B2A Background - File on Server</t>
  </si>
  <si>
    <t>Address Data: City Name is cleared</t>
  </si>
  <si>
    <t>Dismissal Exemption - Clean up Exemption Bases when no Dismi</t>
  </si>
  <si>
    <t>Garnishment - New threshold values as of 01.01.2014</t>
  </si>
  <si>
    <t>New dismissal rules as of 01.01.2014</t>
  </si>
  <si>
    <t>Holiday Pay - Regularization of White collar workers - Impro</t>
  </si>
  <si>
    <t>BELCOTAX: Legal Changes at January 2014 incomes 2013</t>
  </si>
  <si>
    <t>BFIRE: FIRE table not properly generated if 2 dims.allw. 1st</t>
  </si>
  <si>
    <t>FINPROF: Correction of the ALV preliminary declarations list</t>
  </si>
  <si>
    <t>DMFA Update: Impact of deleted employee without RSZRR</t>
  </si>
  <si>
    <t>SI RATES 2013 Q4 Decrease sector educational leave</t>
  </si>
  <si>
    <t>IPA Reduction for Assimilated Companies</t>
  </si>
  <si>
    <t>Advance Tax Calculation - Key Formula 01.01.2014</t>
  </si>
  <si>
    <t>Advance Tax Calculation - Annex III - 01.01.2014</t>
  </si>
  <si>
    <t>BELCOTAX: XML donwload - Zones 2.081 and 2.082 for fiche 281</t>
  </si>
  <si>
    <t>DmfA Q1 / 2014 - LocalUnitID Preparation</t>
  </si>
  <si>
    <t>HCM Declustering Tools: Support of Belgium Payroll Clusters</t>
  </si>
  <si>
    <t>HR-BE: Quality Improvements</t>
  </si>
  <si>
    <t>HBRFICHA: Wrong output length for address complement</t>
  </si>
  <si>
    <t>BRINI: Hiring and firing on the same day considered rehiring</t>
  </si>
  <si>
    <t>HBRFICHA: Incorrect salary changes reporting after firing</t>
  </si>
  <si>
    <t>HBRTRSF0: ACJEF file might inform an incorrect first entry</t>
  </si>
  <si>
    <t>IT0465 - Wrong length for National Health Card field</t>
  </si>
  <si>
    <t>eSocial - Payroll Event (S-1200) - Phase 2014/01</t>
  </si>
  <si>
    <t>eSocial: Framework - Release 2014/01</t>
  </si>
  <si>
    <t>eSocial - General Events - Phase 2014/01</t>
  </si>
  <si>
    <t>HBRDIRF1: legal change for DIRF base year 2013</t>
  </si>
  <si>
    <t>HBRCCED0: legal change for income declaration base year 2013</t>
  </si>
  <si>
    <t>Checkman Errors - Payroll Canada</t>
  </si>
  <si>
    <t>Subsequent Activities Menu is Incorrectly Switched Off</t>
  </si>
  <si>
    <t>ROE: Errors with overlapping ROEs</t>
  </si>
  <si>
    <t>Correction to Note 1838720</t>
  </si>
  <si>
    <t>YE13: DELTA Form, XML and TAX changes for Year End 2013</t>
  </si>
  <si>
    <t>HR-CH: Family-related bonus - Year-end legal change 2013/201</t>
  </si>
  <si>
    <t>Infotype 0511: Field for district key incorrect</t>
  </si>
  <si>
    <t>Superfluous column for AHV obligation in UVG annual payroll</t>
  </si>
  <si>
    <t>Infotype 0980: Duplicate internal numbers</t>
  </si>
  <si>
    <t>Function ASREI: Error message "No tax found for date dd.mm.y</t>
  </si>
  <si>
    <t>Documentation: Withholding tax scales as of 2014, EMP-ACI (c</t>
  </si>
  <si>
    <t>HR-CH: Changes to unemployment insurance (UI) as of January</t>
  </si>
  <si>
    <t>HR CH: Search help for withholding tax scales does not work</t>
  </si>
  <si>
    <t>HR CH (CE): Withholding tax redesign, error for inactive con</t>
  </si>
  <si>
    <t>Maternity insurance Geneva: New contribution rates as of Jan</t>
  </si>
  <si>
    <t>ISEL: Missing family-related bonuses during retroactive acco</t>
  </si>
  <si>
    <t>Year-end legal change 2013/2014: Update of sample of ready f</t>
  </si>
  <si>
    <t>Withholding tax: New withholding tax scales A, F, and L with</t>
  </si>
  <si>
    <t>Payroll account: Program termination for amounts as of one b</t>
  </si>
  <si>
    <t>Documentation: Withholding tax based on payroll functions</t>
  </si>
  <si>
    <t>Überflüssige Spalte "AHV-Pfl." in UVG - Jahresabrechnung für</t>
  </si>
  <si>
    <t>HR CH (CE): Checking person wage types (T7CCE*)</t>
  </si>
  <si>
    <t>Documentation for importing withholding tax scales</t>
  </si>
  <si>
    <t>[CL] Wrong differences transport for multiple garnishment</t>
  </si>
  <si>
    <t>[CL] Missing voluntary severance value in Volun.Sev.Report</t>
  </si>
  <si>
    <t>HCM Declustering Tools: Support of Chile Payroll Clusters</t>
  </si>
  <si>
    <t>[CL] Adjustment Off-cycle preparation for Termination</t>
  </si>
  <si>
    <t>[CL] Incorrect AV information in PREVIRED report</t>
  </si>
  <si>
    <t>[CL] Incorrect Voluntary Severance calculation when IAS amou</t>
  </si>
  <si>
    <t>[CL] General corrections for Reliquidation process</t>
  </si>
  <si>
    <t>[CL] Wrong Voluntary Severance amount with retroactive calcu</t>
  </si>
  <si>
    <t>Enhance Monthly Tax Report to Display Customized Income Cate</t>
  </si>
  <si>
    <t>Correction of Period Determination Logic in HCNCAVG0</t>
  </si>
  <si>
    <t>LC: Tax Policy Change for Corporate Pension Contribution</t>
  </si>
  <si>
    <t>IT0530 Incorrect Entry Retrieval Logic for Table T7CN20</t>
  </si>
  <si>
    <t>Incorrect Sick Leave Deduction Rate When Calculating Sick Le</t>
  </si>
  <si>
    <t>Directory traversal in PY-CN</t>
  </si>
  <si>
    <t>Payroll Function 'CNTAX': Correction for Output Wage Type of</t>
  </si>
  <si>
    <t>SI: Length of output string during decryption too long</t>
  </si>
  <si>
    <t>SI: Internal correction</t>
  </si>
  <si>
    <t>SI: Runtime error RPUSVKD0</t>
  </si>
  <si>
    <t>Mindesturlaubsvergütung: falscher Stundensatz bei Saisonkurz</t>
  </si>
  <si>
    <t>MLR: Incorrect hourly rate for SRHC if "Min. Leave Remun. Il</t>
  </si>
  <si>
    <t>Enhancement vacation allowance: Message HRPAYDECI 353 for BU</t>
  </si>
  <si>
    <t>ELStAM administrator list: Enable background processing</t>
  </si>
  <si>
    <t>ELStAM administrator list: Runtime optimization</t>
  </si>
  <si>
    <t>ELStAM procedure: Improvements and corrections 46/2013</t>
  </si>
  <si>
    <t>ELStAM procedure: Infotype update in case of changes to the</t>
  </si>
  <si>
    <t>ELStAM procedure: Improvements and corrections 47/2013</t>
  </si>
  <si>
    <t>ELStAM procedure: Corrections 01/2014</t>
  </si>
  <si>
    <t>Payroll Journal</t>
  </si>
  <si>
    <t>Payroll account: Letter M</t>
  </si>
  <si>
    <t>Manual entry of supplement to maternity pay after activating</t>
  </si>
  <si>
    <t>Maternity allowance/AAG notification: Activation of automati</t>
  </si>
  <si>
    <t>SEPA: Warning message in payroll after conversion with RFIBA</t>
  </si>
  <si>
    <t>IBAN: Warning message when changing infotype 0026</t>
  </si>
  <si>
    <t>Infotype 0116: Unable to enter missing transfer information</t>
  </si>
  <si>
    <t>PO: Cleanup of garnishment results VIII</t>
  </si>
  <si>
    <t>Running RPIPITD0 batch input session in the background incor</t>
  </si>
  <si>
    <t>PO: Cleanup of garnishment results IX</t>
  </si>
  <si>
    <t>PO: Cleanup of garnishment results (query)</t>
  </si>
  <si>
    <t>Contribution rate file: Incorrect handling of closed health</t>
  </si>
  <si>
    <t>Taxation of other payments for tax class 6: Determination of</t>
  </si>
  <si>
    <t>Travel expenses as of 2014: Wage type MJ24 missing from deli</t>
  </si>
  <si>
    <t>Enforce inflow principle using wage type</t>
  </si>
  <si>
    <t>ETStmt: Rejection of statement with error number 203075001</t>
  </si>
  <si>
    <t>Enhanced standard pay increase: Incorrect screen determinati</t>
  </si>
  <si>
    <t>Report RPSPSTD0 and distributed reporting</t>
  </si>
  <si>
    <t>Coll. agreemt flexible semiretirement in connection with sec</t>
  </si>
  <si>
    <t>Misleading error message in infotype 0265 ("Special Regulati</t>
  </si>
  <si>
    <t>Supplement for public sector: Reform of the travel expense l</t>
  </si>
  <si>
    <t>College statistics: Career groups in record type 2</t>
  </si>
  <si>
    <t>GOP: Enhancement of functions to include multi-year payments</t>
  </si>
  <si>
    <t>Public Services regulation, state of Hessen: 2nd DRModG VIII</t>
  </si>
  <si>
    <t>DNeuG:§12 paragraph 1a - Reduction higher education below le</t>
  </si>
  <si>
    <t>Pay scale level determination for pension assessment informa</t>
  </si>
  <si>
    <t>Use of payment method U for SEPA credit transfers in the con</t>
  </si>
  <si>
    <t>BAdI column added to the view V_T7PBSCA3B for wage type as</t>
  </si>
  <si>
    <t>Public Services regulation, state of Hessen: 2. DRModG IX</t>
  </si>
  <si>
    <t>Art. 83 BayBeamtVG: Incorrect use of section 2 number 3</t>
  </si>
  <si>
    <t>The payroll of a death benefit recipient of a deceased in ac</t>
  </si>
  <si>
    <t>Public Services regulation, state of Hessen: 2. DRModG X</t>
  </si>
  <si>
    <t>Public Services regulation, state of Hessen: 2. DRModG XI an</t>
  </si>
  <si>
    <t>Distribution of amounts in the case of maternity leave with</t>
  </si>
  <si>
    <t>Division of report "Administrator List for Confirmations (SP</t>
  </si>
  <si>
    <t>Information message in notification program: "Report notif.</t>
  </si>
  <si>
    <t>RPTLEAD0: Leave reserve: Fictitious SI calculation with inco</t>
  </si>
  <si>
    <t>Supplement 2 to Z4 notifications: Documentation, IMG, and ar</t>
  </si>
  <si>
    <t>Supplement 3 to Z4 notifications</t>
  </si>
  <si>
    <t>CRET@: Bases File Beta - General Classes</t>
  </si>
  <si>
    <t>CRET@: Bases File Beta - Bases File Class and Report</t>
  </si>
  <si>
    <t>CALC: Issue with worked days after SAP note 1810271</t>
  </si>
  <si>
    <t>CRT2: General corrections to RPURT2E0 report</t>
  </si>
  <si>
    <t>IGA: Problems defining regularization reason</t>
  </si>
  <si>
    <t>AFI: Unsorted actions in the same day</t>
  </si>
  <si>
    <t>UTIL: Enable payroll simulation</t>
  </si>
  <si>
    <t>AFI: FCT segment not being generated for MB actions</t>
  </si>
  <si>
    <t>RED 7/2013: Contribution base for training contracts</t>
  </si>
  <si>
    <t>TC: Wrong Identification Type for foreign employees</t>
  </si>
  <si>
    <t>CRT2: Error generating 3231 infotype dates for Procedimiento</t>
  </si>
  <si>
    <t>ERE: Missing bonification in case of multiple regulations</t>
  </si>
  <si>
    <t>AFI: General corrections in actions processing</t>
  </si>
  <si>
    <t>CALC: Wrong contribution base when running for more than one</t>
  </si>
  <si>
    <t>CRT2: Wrong &amp;lt;Periodo_SuspReduc&amp;gt; XML element for Procedimient</t>
  </si>
  <si>
    <t>ERE: Non-Obligatory Calendar when Termination Procedure is S</t>
  </si>
  <si>
    <t>SEPA: Utility program for payment method change in infotypes</t>
  </si>
  <si>
    <t>OFFCYCLE: Error in Special Payments during a retrocalculatio</t>
  </si>
  <si>
    <t>CRT2: Duplicated XML elements for Procedimientos de ERE (PER</t>
  </si>
  <si>
    <t>190: Incorrect rounding of arrears for small values</t>
  </si>
  <si>
    <t>AFI: Report takes into account blocked infotype record</t>
  </si>
  <si>
    <t>IRPF: Child's Missing in Family field Count for Communities</t>
  </si>
  <si>
    <t>ERE: Error for employees on EERE0 with retrocalculation</t>
  </si>
  <si>
    <t>CRT2: Malfunction in File Number filtering for ERE Procedure</t>
  </si>
  <si>
    <t>190: Error when reading EATRA for arrears definition</t>
  </si>
  <si>
    <t>GARNT: Issue with warning message in payroll log for infotyp</t>
  </si>
  <si>
    <t>CALC: Wrong indemnity payment for part-time training contrac</t>
  </si>
  <si>
    <t>PA: Infotype framework corrections for Spain - IV</t>
  </si>
  <si>
    <t>IRPF 2014 - Tax percentages for Alava</t>
  </si>
  <si>
    <t>CONTRAT@: Missing XML tag to contract with identifier 401</t>
  </si>
  <si>
    <t>AFI: T5E30 customizing not being respected</t>
  </si>
  <si>
    <t>TC: Wrong EDTCA13 amount for partially-retired employees</t>
  </si>
  <si>
    <t>CALC: Wrong contribution base for training contracts</t>
  </si>
  <si>
    <t>CALC: Missing bases in case of VND and leave of absence</t>
  </si>
  <si>
    <t>IRPF 2014 - Tax percentages for Biscay</t>
  </si>
  <si>
    <t>IRPF 2014 - Legal changes</t>
  </si>
  <si>
    <t>HRFI: Report HFILCST0 should be based "as earned".</t>
  </si>
  <si>
    <t>HRFI: FITAX - Tax Reset not working properly for retro</t>
  </si>
  <si>
    <t>HCM Declustering Tools: Support of Finland Payroll Clusters</t>
  </si>
  <si>
    <t>HRFI: HFISTWC - Shortdump for seniority calculation</t>
  </si>
  <si>
    <t>HRFI: Changes-Year-End 2013/2014 to constants</t>
  </si>
  <si>
    <t>HR-FR: Quality Improvements</t>
  </si>
  <si>
    <t>RPUTIRF0/1/2: Meal Vouchers common corrections</t>
  </si>
  <si>
    <t>CICE: employees with standard deduction for professional exp</t>
  </si>
  <si>
    <t>HCM Declustering Tools: Support of France Payroll Clusters</t>
  </si>
  <si>
    <t>N4DS: wrong validity for V01X06 fields in V_T5F99FD</t>
  </si>
  <si>
    <t>Payroll: SV split problem if more than 2 reset of bases</t>
  </si>
  <si>
    <t>RPCEDXF0: Rates of absences are incorrectly</t>
  </si>
  <si>
    <t>Special contracts: Indirect valuation by FSPEC with error in</t>
  </si>
  <si>
    <t>IJSS Maternity for Apprentices</t>
  </si>
  <si>
    <t>DUCS: CICE and other issues</t>
  </si>
  <si>
    <t>RPLDATF2 : Wrong working hours of night shift employees and</t>
  </si>
  <si>
    <t>New value for constant TREXO</t>
  </si>
  <si>
    <t>PLF 2014 changes in FCRE</t>
  </si>
  <si>
    <t>DMMO: Temporary employees incorrectly counted</t>
  </si>
  <si>
    <t>AED: S48.G16.05 incorrect number of absence units</t>
  </si>
  <si>
    <t>CICE: Cancellation of gross amount (zero basis)</t>
  </si>
  <si>
    <t>N4DS: S30.G01.00.001 for employees with several contracts</t>
  </si>
  <si>
    <t>IT3340: update not done when multiple records are created fo</t>
  </si>
  <si>
    <t>N4DS RPL4CRF0: missing data for V01X08</t>
  </si>
  <si>
    <t>LSE: runtime error fix and usability improvement</t>
  </si>
  <si>
    <t>N4DS: Missing V_T5F99FCD entries for correction infotype 334</t>
  </si>
  <si>
    <t>Errors in customizing of wage types /RF5, /RF6, /4CI and /4F</t>
  </si>
  <si>
    <t>DUCS CICE: SIREN change / Year declaration</t>
  </si>
  <si>
    <t>IT3340: fix to support S65.G40.10/ Version V01X08</t>
  </si>
  <si>
    <t>Interface IF_HRPAYFR_CONTRACT: new methods</t>
  </si>
  <si>
    <t>N4DS: "Execute in parallel", fix for runtime error</t>
  </si>
  <si>
    <t>RPCDTAF0: missing swift code</t>
  </si>
  <si>
    <t>Section S40.G30.40 is not generated in the last S40 period o</t>
  </si>
  <si>
    <t>IT3340: fix for subtypes ODA1/ODA2 display issue</t>
  </si>
  <si>
    <t>Payroll execution is stopped with error message 'No entry in</t>
  </si>
  <si>
    <t>DUCS EDI - Headcount error (related to IT0001)</t>
  </si>
  <si>
    <t>DUCS: refund LSE contributions not generated / CICE not gene</t>
  </si>
  <si>
    <t>Qualifier codes are not displayed in RPLN4AF0</t>
  </si>
  <si>
    <t>RPLACIF0 (Congés Spectacle) - Payment date</t>
  </si>
  <si>
    <t>New rates of the Family Allowance Contribution ("cotisation</t>
  </si>
  <si>
    <t>RPLAVGF0PBS: Employees having left the company are mistakenl</t>
  </si>
  <si>
    <t>PY-GB: P45 reject EE if payment date prior the start date of</t>
  </si>
  <si>
    <t>P60s for active employees at the end of year of the tax</t>
  </si>
  <si>
    <t>RTI: ME Mid period change of priority &amp; ME late leaver</t>
  </si>
  <si>
    <t>PY-GB: PAE: Incorrect 'EJH Already' flag for Rehires</t>
  </si>
  <si>
    <t>PY-GB: PAE: PAE Reports display postcode twice in ALV II.</t>
  </si>
  <si>
    <t>PY-GB: PAE: Arrears Payroll: 2 minor changes</t>
  </si>
  <si>
    <t>PY-GB: GCRTO: Court order Arrear issue for CSD</t>
  </si>
  <si>
    <t>RTI: Enhancement of "On strike" functionality</t>
  </si>
  <si>
    <t>PY-GB Legal Changes 2014/2015</t>
  </si>
  <si>
    <t>PY-GB: PAE: Multiple Assessments: Equivalent notices issued</t>
  </si>
  <si>
    <t>PY-GB: HMRC Recon report corrections</t>
  </si>
  <si>
    <t>PY-GB: GBMPT: Mid-Period Transfers cause dump in payroll</t>
  </si>
  <si>
    <t>PY-GB: PAE: Re-assessment during retro</t>
  </si>
  <si>
    <t>PY-GB: PAE: DTO: Postponement date checking error</t>
  </si>
  <si>
    <t>PY-GB: Autumn Statement Budget Changes April 2014</t>
  </si>
  <si>
    <t>RTI: SE - various scenarios for rehires/number of hours work</t>
  </si>
  <si>
    <t>RTI: Claims ( SE and ME )</t>
  </si>
  <si>
    <t>PY-GB: ME GBSXP: Statutory Sick Pay Issue</t>
  </si>
  <si>
    <t>PY-GB: P11D ADS error at eP11D on 2010-11 Adobe Form (PDF)</t>
  </si>
  <si>
    <t>PY-GB: FPS, Pensioners rejected in a period when they are no</t>
  </si>
  <si>
    <t>RTI: Multiple rehires within a tax year and RTINI /RTI TP fi</t>
  </si>
  <si>
    <t>PY-GB: PAE: Proposed AE Thresholds for 2014/15</t>
  </si>
  <si>
    <t>PY-GB: EPS Report in backgound: no detail spool file</t>
  </si>
  <si>
    <t>PY-GB: P46(Car) Locked Employees are updated in archive</t>
  </si>
  <si>
    <t>ME NI : Earnings 1p below NI thresholds CNIC/NIC incorrect</t>
  </si>
  <si>
    <t>PY-GB: New Court Order DEA</t>
  </si>
  <si>
    <t>RTI: FPS Hot fix for Legal Change SP 2014</t>
  </si>
  <si>
    <t>PY-GB: Earlier Year Update Report Changes 2013/2014</t>
  </si>
  <si>
    <t>PY-GB-PS:Teachers Pensions: Apr.2013 changes(applied late)</t>
  </si>
  <si>
    <t>PY-GB-PS: SWF 2013 - Dump occurs at insertion to DB</t>
  </si>
  <si>
    <t>PY-GB-PS: RPUHESG2, Blank value for field Gender Identity</t>
  </si>
  <si>
    <t>IR56: Passport Number Should Not Be Displayed If EE Has HK I</t>
  </si>
  <si>
    <t>Remove Unnecessary Spaces in IR56 Forms</t>
  </si>
  <si>
    <t>Additional Form for IR56F/G if Additional Payment in The Sam</t>
  </si>
  <si>
    <t>The Actual Rental Period in IR56 Forms Is Incorrect</t>
  </si>
  <si>
    <t>HK MPF Report for Correction Payroll Retro Case</t>
  </si>
  <si>
    <t>Potential remote code execution in PY-HK</t>
  </si>
  <si>
    <t>Missing value on  HIDCJAM0 form 1A detail</t>
  </si>
  <si>
    <t>Incorrect annualizing factor for terminated employee</t>
  </si>
  <si>
    <t>Runtime Error for Jamsostek Report PC00_M34_CJAM</t>
  </si>
  <si>
    <t>HCM Declustering Tools: Support of Indonesia Payroll Cluster</t>
  </si>
  <si>
    <t>PY-IE: SEPA Enablement</t>
  </si>
  <si>
    <t>HRIE: Emergency period calculation; Month 2 emergency tax er</t>
  </si>
  <si>
    <t>HRIE: LPT, EE rejected by payroll despite not having LPT</t>
  </si>
  <si>
    <t>HRIE: Message 171 in message class HRPAYIEPAYROLL</t>
  </si>
  <si>
    <t>PY-IE: PRD - "When Paid", Retro of PRDable pay is not b/f to</t>
  </si>
  <si>
    <t>HRIE: LPT, Start of year in LPT Cleardown report</t>
  </si>
  <si>
    <t>PY-IE: P45 cumulation WT +/- sign handling (V_T596J)</t>
  </si>
  <si>
    <t>PY-IE: P45 form 2013 - typing error</t>
  </si>
  <si>
    <t>Form 217 changes</t>
  </si>
  <si>
    <t>Superannuation calculated incorrect,no original result exist</t>
  </si>
  <si>
    <t>HINCALC0: Inconsistency in ESI during retrospective run</t>
  </si>
  <si>
    <t>HINCF24Q: FVU 4.0 not validated for mid year joinee's</t>
  </si>
  <si>
    <t>HINCEFP0 : EPS Wages not displayed for earlier periods when</t>
  </si>
  <si>
    <t>Bihar PT-IV: Basis Amount not Displayed for Retro Results</t>
  </si>
  <si>
    <t>HINCALC0 : Employee NPS Contribution</t>
  </si>
  <si>
    <t>HINCESI0: Employees being repeated in the ALV display for ne</t>
  </si>
  <si>
    <t>IT0584 - Income from Other Sources Issue</t>
  </si>
  <si>
    <t>IT0582 : Lock Indicator available in overview mode</t>
  </si>
  <si>
    <t>HINCALC0: Inconsistent Ptax calculation for the region of MP</t>
  </si>
  <si>
    <t>Certificati di Malattia online (Illness certificate)</t>
  </si>
  <si>
    <t>PY-IT: Issue with seniority start date on ICTFR payroll func</t>
  </si>
  <si>
    <t>HR-IT: Uniemens 2.6 - New statistical code NFOR</t>
  </si>
  <si>
    <t>The increase of 1% of the advance payment of IRPEF for year</t>
  </si>
  <si>
    <t>New amounts for deductions for salaried employee (Legge di s</t>
  </si>
  <si>
    <t>Payroll Functions JPOTN and JPFRT Become Obsolete</t>
  </si>
  <si>
    <t>Japan BADI implementation for note 1879092</t>
  </si>
  <si>
    <t>HJPULV_LINJ1: Group Admin Fee for Return File</t>
  </si>
  <si>
    <t>Enhancement of Workers' Accident Insurance Wage Basis Calcul</t>
  </si>
  <si>
    <t>PY-JP-NT</t>
  </si>
  <si>
    <t>Incorrect Residence Tax in Zero Amount Retirement Allowance</t>
  </si>
  <si>
    <t>Income Tax Not Calculated for PAYID=H When Flexible Payroll</t>
  </si>
  <si>
    <t>RPCEADJ0: Correction of Tekiyo-ran output for Prev.emp. info</t>
  </si>
  <si>
    <t>Incorrect Last Digit Check Logic of Register Number</t>
  </si>
  <si>
    <t>2014LR: Separation Payment Calculation</t>
  </si>
  <si>
    <t>2014 Legal Changes regarding to Tax Calculation and Social I</t>
  </si>
  <si>
    <t>Loan Repayment is Deducted Twice</t>
  </si>
  <si>
    <t>Correct Working Month in Health Insurance Adjustment</t>
  </si>
  <si>
    <t>PY-KW</t>
  </si>
  <si>
    <t>Kuwait Payroll</t>
  </si>
  <si>
    <t>HCM Declustering Tools: Support of Kuwait Payroll Clusters</t>
  </si>
  <si>
    <t>HCM Declustering Tools: Support of Kazakhstan Payroll Cluste</t>
  </si>
  <si>
    <t>Change of Layout in Remuneration Statement for Kazakhstan</t>
  </si>
  <si>
    <t>[MX] SUA TemSe files separated by Registro Patronal</t>
  </si>
  <si>
    <t>[MX] Minimum Net issue after calculating a garnishment</t>
  </si>
  <si>
    <t>HCM Declustering Tools: Support of Mexico Payroll Clusters</t>
  </si>
  <si>
    <t>[MX] Missing saving funds payments on Termination</t>
  </si>
  <si>
    <t>[MX] MX Tax Reform 2014</t>
  </si>
  <si>
    <t>[MX] Digital Fiscal Document (CFDi) - preparation</t>
  </si>
  <si>
    <t>[MX] Digital Fiscal Document (CFDi) - Payroll</t>
  </si>
  <si>
    <t>[MX] MX Tax Reform 2014 (complement)</t>
  </si>
  <si>
    <t>[MX] Digital Fiscal Document (CFDi) - Structures changes</t>
  </si>
  <si>
    <t>[MX] New minimum salaries for 2014</t>
  </si>
  <si>
    <t>[MX] HMXUTMS0 does not show EDI files</t>
  </si>
  <si>
    <t>[MX] MX Tax Reform 2014 - Additional changes</t>
  </si>
  <si>
    <t>[MX] HMXCIPDPBS generates incorrect type canceled file</t>
  </si>
  <si>
    <t>CP22A date period issue of section B row 5</t>
  </si>
  <si>
    <t>Correction for Borang 2 A2 field</t>
  </si>
  <si>
    <t>Borang 3 leaving month correction</t>
  </si>
  <si>
    <t>Correction for Note 1922708</t>
  </si>
  <si>
    <t>Hash code correction for SOCSO 8B report</t>
  </si>
  <si>
    <t>Correction for EA form</t>
  </si>
  <si>
    <t>PCB2 form company address format adjustment</t>
  </si>
  <si>
    <t>Leaving Date in EA Form is Incorrect  when Payroll Result Ex</t>
  </si>
  <si>
    <t>Borang 3 form inconsistencey for multiple run</t>
  </si>
  <si>
    <t>HCM Declustering Tools: Support of Malaysia Payroll Clusters</t>
  </si>
  <si>
    <t>LA Composer Generates .Zip File Even if it was not Requested</t>
  </si>
  <si>
    <t>Too Strict Warning in Life-Course Savings Scheme</t>
  </si>
  <si>
    <t>YELC 2013/2014: New Reference Intrest Rate Published for Tax</t>
  </si>
  <si>
    <t>YELC 2013/2014: Jaaropgave Werknemer: Incorrect Employer Con</t>
  </si>
  <si>
    <t>PY-NL: Node Subsequent Activities not Visible in Area Menu P</t>
  </si>
  <si>
    <t>YELC 2013/2014: Jaaropgave Werknemer: Ufo premium not taken</t>
  </si>
  <si>
    <t>Report Control Register (cluster RN) (NL) (RPCSRHN1) does no</t>
  </si>
  <si>
    <t>YELC 2013/2014: Jaaropgave Werknemer: syntax error and trans</t>
  </si>
  <si>
    <t>YELC 2013/2014: Jaaropgave Werknemer: Issues with SapScript</t>
  </si>
  <si>
    <t>HRNO: short dump - func. module HR_NO_PWS_HOURLY</t>
  </si>
  <si>
    <t>HRNO: SPK - correction of issues - October/November 2013</t>
  </si>
  <si>
    <t>HRNO: System dump in RPCRMBV0_PRINT</t>
  </si>
  <si>
    <t>HRNO: eTaxCard - Correction of issues - October/November 201</t>
  </si>
  <si>
    <t>HCM Declustering Tools: Support of Norway Payroll Clusters</t>
  </si>
  <si>
    <t>HRNO: VPSP1 - incorrect pension amount with WPBP-split</t>
  </si>
  <si>
    <t>HRNO: Loan and deposits reporting changes 2013</t>
  </si>
  <si>
    <t>HRNO: RPLLONV0 - Loan and deposit notifications error</t>
  </si>
  <si>
    <t>ACF - Internal improvements - December 2013</t>
  </si>
  <si>
    <t>HRNO: Legal changes for year 2014 (tax calculation)</t>
  </si>
  <si>
    <t>RPUTILV1 - corrections - December 2013</t>
  </si>
  <si>
    <t>EDAG - Electronic dialog with the employer - January 2014</t>
  </si>
  <si>
    <t>HRNO: eTaxCard - Correction of issues - December 2013</t>
  </si>
  <si>
    <t>WIGSI: Withheld period to be considered for increment</t>
  </si>
  <si>
    <t>System Throws Runtime Error While Display IT0965 Record</t>
  </si>
  <si>
    <t>IT0016 default value for field CTPYO</t>
  </si>
  <si>
    <t>IT0021 - Additional fields not available for spouse</t>
  </si>
  <si>
    <t>HCM Declustering Tools: Support of Non Profit Organizations</t>
  </si>
  <si>
    <t>UNJSPF Financial Interface - Activity Report</t>
  </si>
  <si>
    <t>UNJSPF Common HR Interface</t>
  </si>
  <si>
    <t>UN509 - Payroll Function does not set the SPATG flag</t>
  </si>
  <si>
    <t>IT0016 default value for field CTYPO= stop payment(s)</t>
  </si>
  <si>
    <t>IT0021 - System computes Child Allowance incorrectly for the</t>
  </si>
  <si>
    <t>Default duty station is not considered for profesional staff</t>
  </si>
  <si>
    <t>Dependents ESS: Incorrect Fields Displayed for Subtype 'Othe</t>
  </si>
  <si>
    <t>Electricity deduction does not happen for scheme A while cal</t>
  </si>
  <si>
    <t>UNJSPF Financial Interface - Get Reports</t>
  </si>
  <si>
    <t>EVE Attribute DSSTY ( DS Stay Duration ) is Processing Incor</t>
  </si>
  <si>
    <t>No Entry In Table T511 For Key UN</t>
  </si>
  <si>
    <t>Education Grant : Processing of  advance amount paid via non</t>
  </si>
  <si>
    <t>IT 0965 : CI Include Missing in Infotype structure P0965 (Ed</t>
  </si>
  <si>
    <t>ESS: Validations on Zip Code for Address</t>
  </si>
  <si>
    <t>UNJSPF Financial Interface Corrections</t>
  </si>
  <si>
    <t>Usability aspects and Checkman</t>
  </si>
  <si>
    <t>Student Loan calculation incorrect when gross less than 0.03</t>
  </si>
  <si>
    <t>Model Company Changes for NZ</t>
  </si>
  <si>
    <t>HCM Declustering Tools: Support of New Zealand Payroll Clust</t>
  </si>
  <si>
    <t>PY-NZ : Area Menu Change</t>
  </si>
  <si>
    <t>PY-NZ : V_T7NZLL changes</t>
  </si>
  <si>
    <t>PY-NZ : Error while executing the Advance Pay program</t>
  </si>
  <si>
    <t>HCM Declustering Tools: Support of Philippines Payroll Clust</t>
  </si>
  <si>
    <t>RPCIIDP0 - Text element translated is being abbreviated</t>
  </si>
  <si>
    <t>RPCAIDP0/RPCIIDP0 corrections for 2013 IRS surcharge</t>
  </si>
  <si>
    <t>Wrong behavior of payroll operation PTPAR with parameter typ</t>
  </si>
  <si>
    <t>RPCMIDP0: New Substitution Declaration - Correction</t>
  </si>
  <si>
    <t>Individual Income Declaration changes for 2013 reporting</t>
  </si>
  <si>
    <t>National Budget 2014: change of SS basis for statutory board</t>
  </si>
  <si>
    <t>Christmas/vacation allowance payment in twelfths and IRS sur</t>
  </si>
  <si>
    <t>Issue with SBEDU field on V_T5PED table view</t>
  </si>
  <si>
    <t>/409 - IRS Surcharge is not calculated</t>
  </si>
  <si>
    <t>SIOE General Corrections 2013 II</t>
  </si>
  <si>
    <t>Code injection vulnerability in PY-QA</t>
  </si>
  <si>
    <t>HCM Declustering Tools: Support of Qatar Payroll Clusters</t>
  </si>
  <si>
    <t>SZV-6-4, RSV-1: cumulative updates 12.2013</t>
  </si>
  <si>
    <t>Bonus in average for vacation compensation and linked vacati</t>
  </si>
  <si>
    <t>Corrective form SZV-6-4 for additional charge</t>
  </si>
  <si>
    <t>RUADP/RUOAV adjust average rate in AVERAGE table and in RUAV</t>
  </si>
  <si>
    <t>Correction in 'DME for several payment runs' report</t>
  </si>
  <si>
    <t>HR-RU: Processing of Wage Types with Values 1, 2, or 4 of Th</t>
  </si>
  <si>
    <t>HR-RU CE Import payroll function for AUS type schema</t>
  </si>
  <si>
    <t>HR-RU: Reflection of incomes and taxes IN-period in 2-NDFL (</t>
  </si>
  <si>
    <t>Limit values for social insurance ( 01/2014)</t>
  </si>
  <si>
    <t>An off-cycle payment cancel is not done</t>
  </si>
  <si>
    <t>Rows in RUAVE, linked vacations after global wage increase a</t>
  </si>
  <si>
    <t>Legacy data transfer and table RUSTA generation (including C</t>
  </si>
  <si>
    <t>Postal tariffs for money transfers abroad</t>
  </si>
  <si>
    <t>Pension insurance enter into force 01.01.2014</t>
  </si>
  <si>
    <t>HR-RU SZV-6-3 updates about wage code 0018</t>
  </si>
  <si>
    <t>FSSDP: Error in reading payroll data recalculated in off-cyl</t>
  </si>
  <si>
    <t>ZX-include name in HR_RU_J3R_GET_PERNR_NAME function module</t>
  </si>
  <si>
    <t>HRULNDFL: preliminary correction</t>
  </si>
  <si>
    <t>HRSE: paid quota deduction correction in op. SLVAC</t>
  </si>
  <si>
    <t>HRSE: Vacation quota reduction</t>
  </si>
  <si>
    <t>HCM Declustering Tools: Support of Sweden Payroll Clusters</t>
  </si>
  <si>
    <t>HRSE: YELC constants valid for 2014 - 2nd part</t>
  </si>
  <si>
    <t>2013 SG Marriage and Parenthood Package(New)</t>
  </si>
  <si>
    <t>Dummy Note for SG Checkman</t>
  </si>
  <si>
    <t>CI: Negative Retro CPF Processing</t>
  </si>
  <si>
    <t>SG: Infotype 0741 text missing</t>
  </si>
  <si>
    <t>IR21 Form: 2013 DRQ</t>
  </si>
  <si>
    <t>Correction to Note 1926607: CPF rate changes 01 Jan 2014</t>
  </si>
  <si>
    <t>SDF not calculated for terminated employee - Correction to 1</t>
  </si>
  <si>
    <t>NRS: Incorrect Fixed Formula Class</t>
  </si>
  <si>
    <t>PY-SG:  Director's Fees Form for IR8A YOA 2014</t>
  </si>
  <si>
    <t>Preparation for year-end 2015 IR8A - Infotype changes</t>
  </si>
  <si>
    <t>Correction note 1931429</t>
  </si>
  <si>
    <t>TOW Projection incorrect for Mid-entry Employee</t>
  </si>
  <si>
    <t>Adjustment for Value of the place of residence in IR8A</t>
  </si>
  <si>
    <t>FWL rates - text change</t>
  </si>
  <si>
    <t>Non-Taxable on Voluntary CPF Contributions during Overseas P</t>
  </si>
  <si>
    <t>IR8A PATLine file got rejected when the employee has only de</t>
  </si>
  <si>
    <t>HCM Declustering Tools: Support of Singapore Payroll Cluster</t>
  </si>
  <si>
    <t>Incorrect AW Excess / AW in payroll with offy-cyle run</t>
  </si>
  <si>
    <t>PY: SG-PS: MediSave AW Base re-calculation</t>
  </si>
  <si>
    <t>Income Tax Form ITF1A Format Layout Issue</t>
  </si>
  <si>
    <t>Year End Report 50 BIS Form Layout Issue</t>
  </si>
  <si>
    <t>Thai PDF Form Cannot Generated for Report HTHCTX1A and HTHCS</t>
  </si>
  <si>
    <t>Employee and Employer Address Issue for Tax Form 50BIS</t>
  </si>
  <si>
    <t>Report HTHCTX5B: Incorrect Sorting and Pre-print Sheet Issue</t>
  </si>
  <si>
    <t>Alignment of Social Security Contribution Form</t>
  </si>
  <si>
    <t>Attachment No. Incorrect for ITF1 Form</t>
  </si>
  <si>
    <t>Increase Position Length in Tax and Social Security Forms</t>
  </si>
  <si>
    <t>Thai Year Last Digit Missing Issue in SS Detailed Form</t>
  </si>
  <si>
    <t>Incorrrect Sequnce No. Generated for Income Tax Form 1(ITF1)</t>
  </si>
  <si>
    <t>Report HTHCTX5B: 50BIS Form Sort by Organization Unit</t>
  </si>
  <si>
    <t>Overlapped of Vowel and Tone Mark in PIT91 Form</t>
  </si>
  <si>
    <t>HCM Declustering Tools: Support of Thailand Payroll Clusters</t>
  </si>
  <si>
    <t>Some Selection Fields Do Not Work in HTWLSHI0</t>
  </si>
  <si>
    <t>HTWCTXM0 does not Get Retro Difference of Years before Last</t>
  </si>
  <si>
    <t>Prorate /333 in Report HTWLCE00 When Employee has Internal T</t>
  </si>
  <si>
    <t>Adjust Field Length Limitation in Report PC00_M42_LLPD</t>
  </si>
  <si>
    <t>Add BAdIs for Report Authorization Check</t>
  </si>
  <si>
    <t>NHI Certificate ESS Error</t>
  </si>
  <si>
    <t>LC: New Field in Tax Medium File</t>
  </si>
  <si>
    <t>Prorate LI/EI Contribution in Report HTWLCE00</t>
  </si>
  <si>
    <t>PC00_M42_LIM0 Media File: Name Conversion for Government Req</t>
  </si>
  <si>
    <t>Enhancement of Report Certificate for LI/NHI Payment (HTWLCE</t>
  </si>
  <si>
    <t>Correction of DME Name Format for TW Legal Reports</t>
  </si>
  <si>
    <t>Correction of checkman issues</t>
  </si>
  <si>
    <t>Tax Type 92 for Massachusetts</t>
  </si>
  <si>
    <t>Various corrections for employee status import web service</t>
  </si>
  <si>
    <t>Adjustments for invoking BSI TaxFactory SaaS Web Service</t>
  </si>
  <si>
    <t>Documentation Update of the report RPUCLDU0_BSI_STORE_CREDEN</t>
  </si>
  <si>
    <t>REC: Spool parameters not considered in background execution</t>
  </si>
  <si>
    <t>TR: Out-of-State Wages for SUI FL with Tax Company change</t>
  </si>
  <si>
    <t>TR: Negative amounts in SUI due to ceiling and rate changes</t>
  </si>
  <si>
    <t>TR: Iowa SUI Wage Reporting alignment corrections</t>
  </si>
  <si>
    <t>TR: Wrong format in fields of magmedia for SUI New Mexico</t>
  </si>
  <si>
    <t>TR: TemSe files have duplicated information</t>
  </si>
  <si>
    <t>TR: W-2 Box 20 not showing Indiana locality code</t>
  </si>
  <si>
    <t>Year End 2013 Phase III for U.S. Tax Reporter</t>
  </si>
  <si>
    <t>TR: Incorrect formatting in record RS for MMREF-1 for Wilmin</t>
  </si>
  <si>
    <t>TR: Layout update for Form 940 PR for 2013</t>
  </si>
  <si>
    <t>TAX: Wrong proration of pre-tax deductions when using ALP ov</t>
  </si>
  <si>
    <t>TAX: BSI TaxFactory 10.0 - Nonresident Worked Days parameter</t>
  </si>
  <si>
    <t>TAX: Corrections related to Estimated Quarterly Gross.</t>
  </si>
  <si>
    <t>[VE] Error on payroll when interests not found</t>
  </si>
  <si>
    <t>HCM Declustering Tools: Support of Venezuela Payroll Cluster</t>
  </si>
  <si>
    <t>[VE] Incorrect sorting in INT_EVAL table</t>
  </si>
  <si>
    <t>Payroll: General Parts</t>
  </si>
  <si>
    <t>Dummy Note</t>
  </si>
  <si>
    <t>In program RPCDTSD0, the parameters for the BADI HRDME_B_REG</t>
  </si>
  <si>
    <t>Wage Type Reporter for PAYE Reference Number</t>
  </si>
  <si>
    <t>IRP5 tax form display performance</t>
  </si>
  <si>
    <t>Import file for ITA88 [Report RPITAEW0/Tcode PC00_M16_ITAE]</t>
  </si>
  <si>
    <t>Feature PFREQ called using molga</t>
  </si>
  <si>
    <t>Error in Gross-up after implementing Variable payment phase</t>
  </si>
  <si>
    <t>Retro scenario over period across different payroll areas (m</t>
  </si>
  <si>
    <t>SARS Code 3816 : Leased Company Car FB</t>
  </si>
  <si>
    <t>ETI - Employer Tax Incentive Calculation</t>
  </si>
  <si>
    <t>PY-ZA-RP-I5</t>
  </si>
  <si>
    <t>IRP5 Tax Return</t>
  </si>
  <si>
    <t>IRP5 certificates not getting displayed in PC00_M16_CTCF and</t>
  </si>
  <si>
    <t>BW-BCT-PE</t>
  </si>
  <si>
    <t>Duplicate node error when extracting data from 0EVENT_HR02_HIER</t>
  </si>
  <si>
    <t>Interface broken due to added parameter: RPRSREFM FORM statuswechsel_work.</t>
  </si>
  <si>
    <t>IT0367: Missing check on screen 2306</t>
  </si>
  <si>
    <t>Postal Codes - Wrong check in infotype 0009</t>
  </si>
  <si>
    <t>Dimona - Performance Improvements</t>
  </si>
  <si>
    <t>HR Process Workbench - Dimona</t>
  </si>
  <si>
    <t>eSocial - DDIC - 2014/02</t>
  </si>
  <si>
    <t>Enhancement of HCM Report Management Platform</t>
  </si>
  <si>
    <t>Period calculation: Error for previous illnesses in TMW</t>
  </si>
  <si>
    <t>Infotype 0218: additional checks / automatic delimitation</t>
  </si>
  <si>
    <t>Training Need Management</t>
  </si>
  <si>
    <t>Salary cost valuation improvement for TNM</t>
  </si>
  <si>
    <t>TNM, 2483: fix for "One form per SIREN" option</t>
  </si>
  <si>
    <t>PA-PA-GB: Court order delimitation check</t>
  </si>
  <si>
    <t>PA-PA-IE</t>
  </si>
  <si>
    <t>PA-PA-IE: IT0359 USC screen - V_T588M</t>
  </si>
  <si>
    <t>Enhancement on Donation Expense(0858) and Rental Contact (0881/E5) Infotypes</t>
  </si>
  <si>
    <t>Decoulping Class Enhancement for South Korea HR Renewal</t>
  </si>
  <si>
    <t>RPTZKMN2: Selection of Address Adapted</t>
  </si>
  <si>
    <t>Form T-53: Print expenses cash order date field from Additional Form Adjustment</t>
  </si>
  <si>
    <t>ADV-1, ADV-2, ADV-3: birthplace and addresses empty tags in XML-file</t>
  </si>
  <si>
    <t>HRUAORD0 works incorrectly with PA30 after applying note 1924766</t>
  </si>
  <si>
    <t>Award(IT0183) Dynamic Action Inconsistance with Additional Payment(IT0015)</t>
  </si>
  <si>
    <t>EEO: Withdrawn employees are not displayed in report</t>
  </si>
  <si>
    <t>BEN: 401K Plan - Eligibility Date is not calculated causing an error in payroll process</t>
  </si>
  <si>
    <t>Error in Documentation for Validity Period of HR Objects</t>
  </si>
  <si>
    <t>Data Source 0ORG_KEY_TEXT does not deliver any text</t>
  </si>
  <si>
    <t>PA-PA-ZA</t>
  </si>
  <si>
    <t>PA-PA-ZA-EE</t>
  </si>
  <si>
    <t>Employment Equity</t>
  </si>
  <si>
    <t>While executing the Tcode PEWA2, Employee is not picked up due to incorrect PAYE no return from WWTRN</t>
  </si>
  <si>
    <t>[AR] Special Deduc. calculation in Final Tax Settlement</t>
  </si>
  <si>
    <t>RPCALCA0: keine Steuertage bei unbezahlter Abwesenheit</t>
  </si>
  <si>
    <t>PCALZ: Korrektur auf PDF Formular HR_AT_LZ_GLZ_04</t>
  </si>
  <si>
    <t>PCALZ: Ungewollte Stornierung von Lohnzetteln in der Vergangenheit</t>
  </si>
  <si>
    <t>PCALZ: Stornierung von Lohnzetteln (L16, E18) führen zu ELDA-Fehler</t>
  </si>
  <si>
    <t>JW 2013/14: UVST - Änderung des datenübernehmenden Versicherungsträgers</t>
  </si>
  <si>
    <t>ELDA: Abmeldegrund 30 auch für IT0367 zu erlauben</t>
  </si>
  <si>
    <t>PCALZ:  Fehler bei BV ohne Grundlagen</t>
  </si>
  <si>
    <t>Beitragsgruppe A1A: Vorschlagswert Dienstgeberbeitrag für IESG-Umlage fehlt ab 1.1.2008</t>
  </si>
  <si>
    <t>Bescheinigungswesen: ATZ-Änderungsmeldung ab 1.1.2013</t>
  </si>
  <si>
    <t>IMG Declustering Tools</t>
  </si>
  <si>
    <t>29: Correction to Superannuation Legal changes 2013</t>
  </si>
  <si>
    <t>Super amount is incorrect when there are multiple wpbp splits</t>
  </si>
  <si>
    <t>30: Correction to Superannuation Legal Change 2013</t>
  </si>
  <si>
    <t>31: Correction to Superannuation Legal changes 2013</t>
  </si>
  <si>
    <t>RPLDEDQ0 report displays incorrect employee count</t>
  </si>
  <si>
    <t>Salary sacrifice wagetype is doubled on retro.</t>
  </si>
  <si>
    <t>PS listing report does not display ETP tax component</t>
  </si>
  <si>
    <t>In APS Remuneration report the payments calculated are incorrect</t>
  </si>
  <si>
    <t>HCM Australia tax component</t>
  </si>
  <si>
    <t>Incorrect /LLP during retrospective cross financial year leave loading</t>
  </si>
  <si>
    <t>Extra tax getting doubled in case of Pay in Advance</t>
  </si>
  <si>
    <t>RPTGENB0: RPI in probationary period or limited contract 3m</t>
  </si>
  <si>
    <t>DmfA: Structural Reduction calculation of X and Z</t>
  </si>
  <si>
    <t>DmfA declaration - Different dismissal remunerations</t>
  </si>
  <si>
    <t>SOCIAL BALANCE: Employee detail section - Active part (split case) always relevant even if the employee is not active at the last day of the period.</t>
  </si>
  <si>
    <t>BELCOTAX: Legal Changes at January 2014 incomes 2013 - Second Delivery</t>
  </si>
  <si>
    <t>BELCOTAX: XML download - Zone 2.105 (Birth Place) and 2.018 (f2018_landwoonplaats) corrections.</t>
  </si>
  <si>
    <t>SI Belgium - Yearly limit work bonus 2013 (retroactive)</t>
  </si>
  <si>
    <t>Dimona - Perf. Improvement - Status Handler Access Optimization</t>
  </si>
  <si>
    <t>Emplyee tax exemption dismissal allowance withdrawn</t>
  </si>
  <si>
    <t>Company Car - Parameters - ER Contribution / EE Advantage</t>
  </si>
  <si>
    <t>Non Recurring Result Bonus - Social Insurance</t>
  </si>
  <si>
    <t>Emplyee tax reduction - Work bonus - % increased as of 01.04.2014</t>
  </si>
  <si>
    <t>Employer tax subsidy - Conventional tax subsidy (IPA)</t>
  </si>
  <si>
    <t>Tax Exemption Dismissal - Customizing T5BX4</t>
  </si>
  <si>
    <t>Legal Change - Personal Calendar 01.01.2014</t>
  </si>
  <si>
    <t>DmfA: Occupation End Date when Fire/Hire start of quarter</t>
  </si>
  <si>
    <t>FINPROF: Correction of payment reference for 2014</t>
  </si>
  <si>
    <t>Problem when seniority less than 0,50 - OP NUM parameter SD2</t>
  </si>
  <si>
    <t>BELCOTAX:  Zone 2.102 generation for fiches 281.11, 281.17 and 281.18.</t>
  </si>
  <si>
    <t>HR-BR: Special characters treatment</t>
  </si>
  <si>
    <t>Income declaration: incorrect total in technical log</t>
  </si>
  <si>
    <t>eSocial - General events - Phase 2014/02</t>
  </si>
  <si>
    <t>Informe de Rendimentos - IR from PLR has been summed in the field 3.05</t>
  </si>
  <si>
    <t>RAIS: Legal changes for base year 2013</t>
  </si>
  <si>
    <t>DIRF: Downloading not working properly</t>
  </si>
  <si>
    <t>eSocial - Reusable Objects - Phase 2014/02</t>
  </si>
  <si>
    <t>Corrections - Phase 2014/03</t>
  </si>
  <si>
    <t>TAX : 2014 WCB maximum assessable earnings for Newfoundland and Labrador</t>
  </si>
  <si>
    <t>YE13: Employer RL copies do not print all forms</t>
  </si>
  <si>
    <t>HR CH (CE): Consumption of maximum wage deficit</t>
  </si>
  <si>
    <t>Year-end legal change 2013/2014: Withholding tax/supplement: Ready-for-input status for tax codes of pay scale group C for the canton of Geneva</t>
  </si>
  <si>
    <t>WhT Redesign/CE: Duplicate rows during retroactive accounting in tabular additional log</t>
  </si>
  <si>
    <t>Incorrect BAdI default implementation HRPAYCH_WHT_CONVERT; employee name is missing</t>
  </si>
  <si>
    <t>WHT (IT0038): Superfluous entries in the search help for withholding tax scale</t>
  </si>
  <si>
    <t>[CL] FONASA contribution is shown in PREVIRED when current Pension Subplan is ISAPRE</t>
  </si>
  <si>
    <t>HCNCTAX0: Monthly Tax Report Issue after Applying Note 1939080</t>
  </si>
  <si>
    <t>China Year End Tax Report Support Bilingual Version</t>
  </si>
  <si>
    <t>Fix currency reference information for field EB_HL_CONSTANT in structure PC2CN_TCR</t>
  </si>
  <si>
    <t>Correction of Report HCNCTXD0 for Taxable Amount in Retroactive Payroll</t>
  </si>
  <si>
    <t>China Payroll Issue Caused by Sorting P0008</t>
  </si>
  <si>
    <t>SI: Encryption SHA256 - rejection of data</t>
  </si>
  <si>
    <t>SI: Corrections and improvements for data transfer</t>
  </si>
  <si>
    <t>SFP: Regular corrections and improvements</t>
  </si>
  <si>
    <t>SFP: Contribution rates social fund construction industry for 2014</t>
  </si>
  <si>
    <t>Leave: Granted leave days from previous employer ignored during extrapolation of the leave account</t>
  </si>
  <si>
    <t>Leave with infotype 2006: No leave remuneration for industrial worker if "Rem. Prev.Yr" from final year of traineeship or adolescent industrial workers</t>
  </si>
  <si>
    <t>DEUEV: Corrections XVI</t>
  </si>
  <si>
    <t>DEUEV (UVMG): Corrections XXIV</t>
  </si>
  <si>
    <t>Minimum remuneration: SR release phase is not relevant for minimum remuneration</t>
  </si>
  <si>
    <t>ELStAM procedure: Improvements and corrections 3/2014</t>
  </si>
  <si>
    <t>ELStAM Corrections 02/2014</t>
  </si>
  <si>
    <t>ELStAM procedure: Corrections 04/2014</t>
  </si>
  <si>
    <t>ELStAM procedure: Improvements and corrections 5/2014</t>
  </si>
  <si>
    <t>Cancellation of AAG messages in data record version 01</t>
  </si>
  <si>
    <t>Prohibited activities with "Entry Adj.Amt BRemun ProA" or "Entry Cum. Basic Rem ProA E"</t>
  </si>
  <si>
    <t>HR-DPF: Base interest rate changed to -0,73%</t>
  </si>
  <si>
    <t>SI reporting: Corrections to administrator lists (7)</t>
  </si>
  <si>
    <t>PY-DE: Payroll terminates if U1 contribution rate is zero</t>
  </si>
  <si>
    <t>New statement of contributions paid process: Rejection of statement of contributions paid at receiving offices</t>
  </si>
  <si>
    <t>Create account number and bank number from IBAN</t>
  </si>
  <si>
    <t>New statement of contributions paid process: Receiving offices reject statement of contributions paid for paying offices</t>
  </si>
  <si>
    <t>Employment tax statement: Error when printing line 17</t>
  </si>
  <si>
    <t>ETNotif.: Rejection of registration with error code 110025007</t>
  </si>
  <si>
    <t>ETStmt: Text changes in form 2014</t>
  </si>
  <si>
    <t>Travel expenses as of 2014: New specification for processing class "8" / Construction industry: Indicator "M" missing when using the infotype 0191</t>
  </si>
  <si>
    <t>Personnel statistics: Introduction of salary classes for professors in the salary group W2 and W3</t>
  </si>
  <si>
    <t>Termination MISSING_ENTRY_T510_PSRCL in case of higher grouping</t>
  </si>
  <si>
    <t>Documentation for the treaty on the sharing of pension costs</t>
  </si>
  <si>
    <t>Treaty on the sharing of pension costs (25)</t>
  </si>
  <si>
    <t>Applicable months for increase of pension percentage in accordance with Sec. 14a effective only after at least 12 months</t>
  </si>
  <si>
    <t>Enhancement of infotype 0326 with remuneration points at expense/in favor</t>
  </si>
  <si>
    <t>Alternative statement texts depending on Public Services regulation provision</t>
  </si>
  <si>
    <t>Salary-group-dependent constants for child-rearing bonuses and bonuses for care of family member</t>
  </si>
  <si>
    <t>Public Services regulation, state of Hesse: 2nd DRModG XIII</t>
  </si>
  <si>
    <t>Public Services regulation, state of Hesse: 2nd DRModG XII</t>
  </si>
  <si>
    <t>Error when entering a reduction in the widow's pension</t>
  </si>
  <si>
    <t>Import reversed registration -&amp;gt; "Internal: Registration/deregistration overlap: mode A VIRTUAL_DATABASE"</t>
  </si>
  <si>
    <t>Inconsistent registrations due to changed SPI account numbers</t>
  </si>
  <si>
    <t>RPLEHAD3: Semiretirement counting, customer-specific exceptions</t>
  </si>
  <si>
    <t>RPLEHAD3: IBAN</t>
  </si>
  <si>
    <t>RPLEHAD3: Correction for SAP Note 1958807</t>
  </si>
  <si>
    <t>Statement of employment according to section 312 of the German Code of Social Law (SGB) III, Version 10.13</t>
  </si>
  <si>
    <t>New version of statements of earnings 3.1/3.7/3.8</t>
  </si>
  <si>
    <t>190: Missing irregular incomes reductions of arrears</t>
  </si>
  <si>
    <t>CP: General corrections to Contract Printing functionality</t>
  </si>
  <si>
    <t>190: Performance issue after SAP Note 1840903</t>
  </si>
  <si>
    <t>CALC: Negative /3CS amount when executing RPCALCE0 without log visualization</t>
  </si>
  <si>
    <t>SSOCIAL: Incorrect 350 contract description</t>
  </si>
  <si>
    <t>ERE: Related ERE days not taken into account for ERE older than 12 months</t>
  </si>
  <si>
    <t>MASSIVE: IRPF XML interface for 2014</t>
  </si>
  <si>
    <t>RPCDTAE0: missing swift code</t>
  </si>
  <si>
    <t>RED 10/2013</t>
  </si>
  <si>
    <t>CALC: Issue with 0077 bonification method and VND contribution amounts</t>
  </si>
  <si>
    <t>IRPF 2014 - Corrections to tax percentages for Biscay</t>
  </si>
  <si>
    <t>IRPF 2014 - Corrections to tax percentages for Alava</t>
  </si>
  <si>
    <t>IRPF 2014 - Tax percentages for Gipuzkoa</t>
  </si>
  <si>
    <t>TC: Training hours bonification for employees with training contract</t>
  </si>
  <si>
    <t>CRT2: XML tag &amp;lt;Horario_Reduccion&amp;gt; incorretly filled in ERE procedure</t>
  </si>
  <si>
    <t>Ley 22/2013: New IT and IMS percentages for CNAE 2014</t>
  </si>
  <si>
    <t>CRT2: New limit of &amp;lt;Periodo_SuspReduc&amp;gt; XML tag in PERE</t>
  </si>
  <si>
    <t>IRPF 2014: Misplaced value for Gipuzkoa tax percentage</t>
  </si>
  <si>
    <t>190: Less than one year contract for Biscay employees</t>
  </si>
  <si>
    <t>Ley 22/2013: Corrections in V_T5E4E - Contributions for CNAE</t>
  </si>
  <si>
    <t>HRFI: HFICLJN0 - Payroll period is not visible in payroll journal page header FLT1</t>
  </si>
  <si>
    <t>HRFI: HFICEDT0_ELETTER - entities must be escaped in XML</t>
  </si>
  <si>
    <t>No distinction between sickness and partial unemployment abs</t>
  </si>
  <si>
    <t>IT3340: Protocole infotype de corrections's icon is missing and wrong assigning function keys for function code CILG</t>
  </si>
  <si>
    <t>2014 parameters for French payroll</t>
  </si>
  <si>
    <t>The determination of the last S40 period might be erroneous</t>
  </si>
  <si>
    <t>DUCS EDI declaration: wrong headcounts</t>
  </si>
  <si>
    <t>N4DS: Section S40.G30.40 is generated not only in the last S40 period, S40.G30.40 is generated for amounts of 2012</t>
  </si>
  <si>
    <t>RPLASMF3, fix for periods inconsistency</t>
  </si>
  <si>
    <t>Field S40.G20.00.018.002 is empty for employees withdrawn during 2013 but having a "portability" activity period</t>
  </si>
  <si>
    <t>N4DS AED - error on S48.G47.06 Date de Rattachement</t>
  </si>
  <si>
    <t>Transaction PB2A: TemSe file might not  be found</t>
  </si>
  <si>
    <t>RPLDATF2: empty accident address number</t>
  </si>
  <si>
    <t>N4DS V01X08: Field S40.G28.05.029.005 list of values correction.</t>
  </si>
  <si>
    <t>N4DS V01X08: S42.G05.10 new condition for code reason</t>
  </si>
  <si>
    <t>N4DS: Correction infotype 3340 subtype SPB1(S40.G10.10 Sit. admin. spé. DPu)  Missing code 90 Autre for field S40.G10.10.002.001</t>
  </si>
  <si>
    <t>DPS Validation enhancements</t>
  </si>
  <si>
    <t>PY-GB: Posted Payr.Cost: Determ. CompCo per ContArea issue</t>
  </si>
  <si>
    <t>PY-GB: OxP/SxP: ABAP dump during CE Framework</t>
  </si>
  <si>
    <t>PY-GB: PAE: Refund for Arrears Payroll</t>
  </si>
  <si>
    <t>RTI : ME / SE RTINI incorrect in certain scenarios</t>
  </si>
  <si>
    <t>PY-GB:P11D:Issue with amount paid by EE for car priv.using</t>
  </si>
  <si>
    <t>PY-GB: LC_UK 2014 Revision of P11D SAPscript and EP11D</t>
  </si>
  <si>
    <t>PY-GB: LC_UK 2014 Revision of P46(CAR) SAPscript</t>
  </si>
  <si>
    <t>PY-GB: Short dump in RPCALCG0 (GPENS): Division by Zero</t>
  </si>
  <si>
    <t>PY-GB: When copying IT65 do not copy the starter DEC field</t>
  </si>
  <si>
    <t>PY-GB: RTI Recon Report at TaxRef change</t>
  </si>
  <si>
    <t>PY-GB: PAE: PAE reports not showing pernr in background</t>
  </si>
  <si>
    <t>ME NI: ME with LNS secondary and a forced retro</t>
  </si>
  <si>
    <t>SAP_HRCGB:CheckMan:ATC issues</t>
  </si>
  <si>
    <t>PY-GB: PAE: Refund for Arrears Payroll - DDIC Objects</t>
  </si>
  <si>
    <t>HRGB:RTI  HRGB_VALIDATE_FPS  reads RTINI incorrectly</t>
  </si>
  <si>
    <t>PY-GB:P11D(b):Date of submission is not shown on SAPscript</t>
  </si>
  <si>
    <t>PY-GB:P11D:Issue with cumulation of amount Class 1A</t>
  </si>
  <si>
    <t>PY-GB-PS: LGPS 2014</t>
  </si>
  <si>
    <t>GB:RTI EPS Inactive period dates have incorrect values when tax month is 09</t>
  </si>
  <si>
    <t>IR56F Generates Replacement Form If Leaving Again in The Same FYear</t>
  </si>
  <si>
    <t>HIDCJAM0 - Cross-Month Payroll Area</t>
  </si>
  <si>
    <t>The amount on the screen of IT0319 displays incorrectly</t>
  </si>
  <si>
    <t>Incorrect format on HIDCJAM0 form 1A detail</t>
  </si>
  <si>
    <t>PY-IE: EOY Temse file conversion</t>
  </si>
  <si>
    <t>PY-IE: CSO report - incorrect stats in Nat. Min. wage</t>
  </si>
  <si>
    <t>HRIE: P45/P46 - USC Refund Indicator</t>
  </si>
  <si>
    <t>HRIE: P60 with address for 2013</t>
  </si>
  <si>
    <t>HRIE: HIECEOY0, Medical Insurance amount in version 10 of the P35 XML</t>
  </si>
  <si>
    <t>HINCALC0: Section 80GGA of Income Tax Act Still Valid</t>
  </si>
  <si>
    <t>HINCALC0: /4MI inconsistent in rehire retro scenarios</t>
  </si>
  <si>
    <t>Bihar &amp; Orissa : Inclusion of Perquisites and Bonus for P-tax Computaion</t>
  </si>
  <si>
    <t>HR-IT: CUD Form 2014</t>
  </si>
  <si>
    <t>HR-IT: CUD 2014 Corrections</t>
  </si>
  <si>
    <t>PY-JP-RP-TX</t>
  </si>
  <si>
    <t>Tax Statement</t>
  </si>
  <si>
    <t>Submission Municipal Code &amp; Correction Indicator for Salary Payment Reports</t>
  </si>
  <si>
    <t>LC2013: Health Insurance Acquired DME File</t>
  </si>
  <si>
    <t>Investment Amount in 2012 should be Calculated in 2013 YEA Payroll</t>
  </si>
  <si>
    <t>Traditional Market Expense displayed in Public Transportation Fee column on YED form</t>
  </si>
  <si>
    <t>Credit Card and Other Expenses Receipt Translation Issue</t>
  </si>
  <si>
    <t>Correction for Tax Credit for Earned Income, Woman Deduction and Additional Deduction for Child</t>
  </si>
  <si>
    <t>Amount of Small Biz Insurance Funds not displayed on YED form</t>
  </si>
  <si>
    <t>Incorrect Separation Receipt for Tax Deferring when Income Tax is Refunded</t>
  </si>
  <si>
    <t>The HKRCYEA0 Report Dumps when Generate 2012 YEA DME Fie</t>
  </si>
  <si>
    <t>LC2014: New Format of Donation and Medical Expense Receipt</t>
  </si>
  <si>
    <t>[MX] Incorrect calculation Daily Wage - SAP_HR</t>
  </si>
  <si>
    <t>[MX] Enhancements for Digital Fiscal Document (CFDi) - Payroll</t>
  </si>
  <si>
    <t>[MX] MX Tax Reform 2014 - Corrections</t>
  </si>
  <si>
    <t>[MX] Tax Reform 2014 - Table updates</t>
  </si>
  <si>
    <t>[MX] LC MX New State tax calculation for Chihuahua</t>
  </si>
  <si>
    <t>[MX] LC State Tax Changes for Mexico</t>
  </si>
  <si>
    <t>Adjustment for EPF Volunteer Contribution</t>
  </si>
  <si>
    <t>Hiding EA form for non-active employee for off-cycle payroll</t>
  </si>
  <si>
    <t>Adjustment for CP21 form employer name</t>
  </si>
  <si>
    <t>YELC 2013/2014: Wage Return: Income Relationship Dismissal Split</t>
  </si>
  <si>
    <t>Aangifte LH: Missing Transaction for Closing Wage Return in non Productive Systems</t>
  </si>
  <si>
    <t>YELC 2013/2014: Incorrect Values in Output of Report RPCLWPNC for Columns "1946"</t>
  </si>
  <si>
    <t>YELC 2013/2014 Documentation of wage types /41L to /41P is not correct or does not exist</t>
  </si>
  <si>
    <t>HRNO:Short dump in RPLATSV0 on failure to remove space</t>
  </si>
  <si>
    <t>ACF - temporary workaround for Java only PI7.31</t>
  </si>
  <si>
    <t>HRNO: ATS report issues January 2014</t>
  </si>
  <si>
    <t>HRNO: LC New constants in table V_T511K</t>
  </si>
  <si>
    <t>EDAG - January 2014 [2/2] - Corrections &amp; improvements</t>
  </si>
  <si>
    <t>EDAG - January 2014 [1/2] - Corrections &amp; improvements</t>
  </si>
  <si>
    <t>Dependents ESS: Incorrect Fields Displayed for Subtype 'Others'</t>
  </si>
  <si>
    <t>Education Grant : Processing of  advance amount paid via non sap system</t>
  </si>
  <si>
    <t>ESS: Prevent Deletion of Record for Pers Info Applications</t>
  </si>
  <si>
    <t>ESS: Rental Subsidy Simulator Does Not Show The Right Values On The PDF</t>
  </si>
  <si>
    <t>System Does not Determine Rental Subsidy Amount After Activating The Business Function HCM_LOC_CI_20</t>
  </si>
  <si>
    <t>Rental subsidy  : System Incorrectly Determines Rental Subsidy For Scheme A  When Amount For Electricity is Deducted From Rent Amount</t>
  </si>
  <si>
    <t>PY-NZ: Termination workbench is not giving error messages</t>
  </si>
  <si>
    <t>PY-NZ : Absence rebooking failing to rebook absences</t>
  </si>
  <si>
    <t>PY-NZ:Leave Liability Invalid Recalculation in Retro case</t>
  </si>
  <si>
    <t>PY-NZ : Prerequisite changes for new payslip</t>
  </si>
  <si>
    <t>PY-NZ : Tax Changes for the Year 2014-2015</t>
  </si>
  <si>
    <t>PY-NZ : New EMS Report HNZLEMS2</t>
  </si>
  <si>
    <t>PY-NZ : Incorrect output on payroll area change in payment summary report</t>
  </si>
  <si>
    <t>Periodic Withholding Tax Method (PHT) Changes</t>
  </si>
  <si>
    <t>Maximum salary updated for SSS(social security system) contribution in 2014 payroll</t>
  </si>
  <si>
    <t>Resigned/Separated employee remark date missing in HDMF report</t>
  </si>
  <si>
    <t>Missing BUKRS field in PWDAB feature structure</t>
  </si>
  <si>
    <t>RPCSSRP0: Corrections 12/2013</t>
  </si>
  <si>
    <t>RPCMIDP0: New Substitution Declaration - Corrections II</t>
  </si>
  <si>
    <t>HR-PT: New evaluation of retroactive accounting results</t>
  </si>
  <si>
    <t>RPCDTAP0: missing swift code</t>
  </si>
  <si>
    <t>RPCAIDP0/RPCIIDP0 does not show surcharge deductions</t>
  </si>
  <si>
    <t>IRS Surcharge 2014 - Corrections I</t>
  </si>
  <si>
    <t>Evaluation wagetypes are being doubled</t>
  </si>
  <si>
    <t>IRS Surcharge 2014 - Corrections II</t>
  </si>
  <si>
    <t>CGA: correction package IV 2013</t>
  </si>
  <si>
    <t>National Budget 2014: change of employer contribution to the CGA</t>
  </si>
  <si>
    <t>HRULPAY2: Incorrect base for social insurance</t>
  </si>
  <si>
    <t>Early pregnancy document fields not saved</t>
  </si>
  <si>
    <t>Storno of income tax in case of residence status was changed</t>
  </si>
  <si>
    <t>P4: Runtime error COMPUTE_BCD_OVERFLOW in case when personnel assignment has multiple splits in infotype 0001</t>
  </si>
  <si>
    <t>HRULNDFL: legal change from 01.2014. Order N MMV-7-3/501@</t>
  </si>
  <si>
    <t>FSSDP: Off-cycle error in RUFUP</t>
  </si>
  <si>
    <t>HRUL4FSS, Tables 3 and 6 of the PDF Form: sum does not fit into cell</t>
  </si>
  <si>
    <t>Actual worked days and additional PF contributions for HWC</t>
  </si>
  <si>
    <t>HR-RU Incorrect period of harmfull work condition in payroll calculation</t>
  </si>
  <si>
    <t>FSSDP: Error in reading regular run recalculated in off-cyle in P3273 function</t>
  </si>
  <si>
    <t>HRUCALC0: Deduction at firing: Rule RUF5 correction</t>
  </si>
  <si>
    <t>HRSE: RPCVACS0 - Compensation factor for Overtime hours</t>
  </si>
  <si>
    <t>HRSE: RPLABSS0 - Error in batch input, wrong Dynpro</t>
  </si>
  <si>
    <t>HRSE: Checkman - DB sorted check, Prio 1</t>
  </si>
  <si>
    <t>PY-SG: IRAS nationality codes update for feature 25CCD</t>
  </si>
  <si>
    <t>Wrong CPF excess/shortfall caused by note 1931429</t>
  </si>
  <si>
    <t>Adjustment for value of the place of residence and date of approval in IR8A</t>
  </si>
  <si>
    <t>Correction for Submission Year in IR8E Appendix 8A for YOA 2014</t>
  </si>
  <si>
    <t>Adjustment for Layout of IR8S Form</t>
  </si>
  <si>
    <t>NRS: Rounding Issue for Variable Allowance in XML file</t>
  </si>
  <si>
    <t>PY-SG: Extend the length of Employer Address field in IR8A form</t>
  </si>
  <si>
    <t>Non-Pensionable salary of termination/year-end month is missed from current year's TOW</t>
  </si>
  <si>
    <t>LC-TH: Change Tax Rate and Terminate Tax Rate from Jan 1st 2013</t>
  </si>
  <si>
    <t>LC-TH: PIT91 sapscript form layout change for year 2014</t>
  </si>
  <si>
    <t>Show Correct Company Name for Social Security Summary Form</t>
  </si>
  <si>
    <t>TH: Change Social Security rate from Jan 1st  2014</t>
  </si>
  <si>
    <t>PY-TH: Reports Cannot Create Spool Request When Execute in Background</t>
  </si>
  <si>
    <t>HTWCTXM0 Calculate Incorrect Income for Terminated Employee</t>
  </si>
  <si>
    <t>HTWCTXM0: Incorrect Income Amount for EWF Forms</t>
  </si>
  <si>
    <t>Correction: Prorate LI/EI Contribution in Report HTWLCE00</t>
  </si>
  <si>
    <t>HTWLCE00: Download Assembled PDF</t>
  </si>
  <si>
    <t>Incorrect Authorization Check for TW Tax Certificate and SNHI Premium Report</t>
  </si>
  <si>
    <t>HTWLSHI0 Generates DME File with Incorrect Amounts Under 2-Decimal Setting for TWD</t>
  </si>
  <si>
    <t>Correction of Report HTWLSHI0 for NHI Amount When NHI Amount of Employer Contribution Is 0</t>
  </si>
  <si>
    <t>Correction of Report HTWLCE00 for LI &amp; EI amount When Prorate by Calendar Days or Prorate by Working Days</t>
  </si>
  <si>
    <t>USCLM: Rounding issue in grouping offset</t>
  </si>
  <si>
    <t>BSI: Payroll driver generates warning messages due to feature 10EET</t>
  </si>
  <si>
    <t>Data Loss (Formula Number) during Withholding Tax Info (US) Update via Web Service</t>
  </si>
  <si>
    <t>Error Handling for Web Service W4WHTUSInfoMaintenanceService</t>
  </si>
  <si>
    <t>PY-US-NT-GR</t>
  </si>
  <si>
    <t>Garnishments</t>
  </si>
  <si>
    <t>GARN: IRS Publication 1494 for tax year 2014</t>
  </si>
  <si>
    <t>GARN: IRS Publication 1494 for tax year 2014 (corrected entry)</t>
  </si>
  <si>
    <t>TR: Form 941 has incorrect amount in line 9</t>
  </si>
  <si>
    <t>Year End 2013 Additional Changes for U.S. Tax Reporter</t>
  </si>
  <si>
    <t>TR: Tax type 49 reported on third-party file HR_F_W2_TP_TEMPS</t>
  </si>
  <si>
    <t>TAX: Employee Hawaii Disab. Tax levied in OC runs.</t>
  </si>
  <si>
    <t>TAX: Supl. pension taxes for WA not calculated in GUP runs</t>
  </si>
  <si>
    <t>TAX: Short dump in RPCALCU0 caused by numeric field</t>
  </si>
  <si>
    <t>TAX: Incorrect selection of Connecticut supplemental method</t>
  </si>
  <si>
    <t>TAX: Incorrect number of allowances for Indiana Withholding.</t>
  </si>
  <si>
    <t>TAX: Technical modifications to Nonresident Worked Days functionality</t>
  </si>
  <si>
    <t>Payroll: International Customizing: Missing documentation</t>
  </si>
  <si>
    <t>Reuse Services for Country Development</t>
  </si>
  <si>
    <t>change package P99_INFTY0185</t>
  </si>
  <si>
    <t>LC: IRP5 - Address format changes, SIC Code, ETI amount, SARS Code length changes</t>
  </si>
  <si>
    <t>ETI calculation incorrect</t>
  </si>
  <si>
    <t>Tax Refund for expat  employees with tax exempted foreign income, MA credit issue, YTD taxable income  and YTD days</t>
  </si>
  <si>
    <t>XX-PROJ-CDP-045</t>
  </si>
  <si>
    <t>Custom Development Project 045</t>
  </si>
  <si>
    <t>PRNL: Length of screen field V_T77PRNL_IN_CPR</t>
  </si>
  <si>
    <t>CA-MSS-HCM</t>
  </si>
  <si>
    <t>Manager Self-service (HR)</t>
  </si>
  <si>
    <t>Manager is not able to view Employee's Profile in MSS.</t>
  </si>
  <si>
    <t>PRRW: document sumarization of '1 document per travel document'</t>
  </si>
  <si>
    <t>RPTSWAA0: Start of semiretirement leads to two ELDA records</t>
  </si>
  <si>
    <t>IT 751 search type for wage type field does not display wage type description</t>
  </si>
  <si>
    <t>ELDA VM indicator TAGE0 not set</t>
  </si>
  <si>
    <t>SR enrollment as of 2013: Corrections</t>
  </si>
  <si>
    <t>Infotype 0101 - Field BVMUT can't be defaulted</t>
  </si>
  <si>
    <t>RPTPC4B0 - Table initialization tool for postal codes does not update the database</t>
  </si>
  <si>
    <t>HCM BR: New fields in Documentos, Pensão alimentícia, Dados pessoais and Empregos simultâneos infotypes</t>
  </si>
  <si>
    <t>Correction of Hardcode Package Check for Class CL_CN_RM_DAO</t>
  </si>
  <si>
    <t>Infotype 0013: Bank details are missing in details for health insurance fund</t>
  </si>
  <si>
    <t>HR Renewal: Finland Data element changes</t>
  </si>
  <si>
    <t>HRFI: Checkman Clean Desk 02/2014</t>
  </si>
  <si>
    <t>TNM: wrong message in case of "Cancel" action</t>
  </si>
  <si>
    <t>PA-PA-GB: Performance issue in HREFI_UPDATE</t>
  </si>
  <si>
    <t>PA-PA-GB: The res.stat. for BG and RO from 01.01.2014 GB02</t>
  </si>
  <si>
    <t>Decoupling class enhancement for Infotype 0851 JP</t>
  </si>
  <si>
    <t>Employee's Father or Mother maintained as Dependant Type 7 in IT0021 is eligible to input expense in IT0881 subtype 03, 04 or 06</t>
  </si>
  <si>
    <t>EIR: Correction for Dataselection in Report RPIZKMN0</t>
  </si>
  <si>
    <t>PA-PA-PH</t>
  </si>
  <si>
    <t>Alphalist Report Retrieve Maximum Payroll Period</t>
  </si>
  <si>
    <t>SZV-6-3 Sum of payments WC #0018 contains wrong sum</t>
  </si>
  <si>
    <t>Switch off secondary index for PA3273 in HDB</t>
  </si>
  <si>
    <t>Search help for Garnishment order type is not working</t>
  </si>
  <si>
    <t>FSS Direct Payments: output XML has incorrect value in BASE_AVG_SAL element</t>
  </si>
  <si>
    <t>LC RU Direct social payments specification version 1.7.2</t>
  </si>
  <si>
    <t>HRULAVR0 - error when the BEGDA and ENDDA are changed simultaneously on input screen</t>
  </si>
  <si>
    <t>Selection of cities, districts and streets issues when using KLADR search-helps in infotype 0006 ("Addresses")</t>
  </si>
  <si>
    <t>NRS: Incorrect Average Allowance for Multiple Variable Allowances</t>
  </si>
  <si>
    <t>NRS Update IT0015 Incorrect</t>
  </si>
  <si>
    <t>Customized IC number in Infotype 0185 can not be displayed correctly in Infotype 0002</t>
  </si>
  <si>
    <t>Program MP00021R missing after reset of SAP Note 1869783</t>
  </si>
  <si>
    <t>VETS: Read Veteran Status texts from T5UVETT</t>
  </si>
  <si>
    <t>Pension Fund Switzerland</t>
  </si>
  <si>
    <t>PF CH NrP: Non-recurring payment (IT3230), references 1-3 not separated</t>
  </si>
  <si>
    <t>Training and Event Preparation</t>
  </si>
  <si>
    <t>Checkman errors in component PE</t>
  </si>
  <si>
    <t>PE-RE</t>
  </si>
  <si>
    <t>Information Menu</t>
  </si>
  <si>
    <t>Time Data Recording and Management</t>
  </si>
  <si>
    <t>PT-RC-IW</t>
  </si>
  <si>
    <t>Time Tickets</t>
  </si>
  <si>
    <t>Component PT: CheckMan Corrections</t>
  </si>
  <si>
    <t>[AR] Old SAC calculation for ART bases have duplicated value</t>
  </si>
  <si>
    <t>[AR] Additional behaviour for the ADF15 Final Tax Calc.</t>
  </si>
  <si>
    <t>[AR] Current Account incorrectly being subtracted in F649</t>
  </si>
  <si>
    <t>[AR] Limit for current account on F649</t>
  </si>
  <si>
    <t>[AR] LC Update Min. &amp; Max. Social Insurance for SUSS - Mar/14</t>
  </si>
  <si>
    <t>RPCSVBA2: PDF Formular zeigt nicht alle Beitrags</t>
  </si>
  <si>
    <t>RPCALCA0: Lohnarten /49R und /49T verschwinden</t>
  </si>
  <si>
    <t>Bescheinigungswesen AT: Alterzeilzeit Anmeldung ab 1.1.2013</t>
  </si>
  <si>
    <t>RPCSVBA2: Settlement groups N25x in case of SR SP increase via MaxCB</t>
  </si>
  <si>
    <t>RPCALCA0: P-Euro und perm. J.ausgl. Steuerklasse 2014</t>
  </si>
  <si>
    <t>RAPY:  Change of SI liability</t>
  </si>
  <si>
    <t>IT0526: BIC und Ergänzung des Wertes "freie Dienstnehmer(in)"</t>
  </si>
  <si>
    <t>PCALZ: SAP Note 1907912 does not correspond to GKK auxiliary document</t>
  </si>
  <si>
    <t>PCALZ: Anpassungen des  SAPScript Formulars HR_AT_LZ_GLZ_04</t>
  </si>
  <si>
    <t>PCALZ: Renaming the subapplication B596</t>
  </si>
  <si>
    <t>Doku Pflegekarenz, Pflegeteilzeit</t>
  </si>
  <si>
    <t>RPCSVBA2 - Summenfehler b.ELDA-Satz und Formulardarstellung</t>
  </si>
  <si>
    <t>Steuerberechnung berücksichtigt keine SV-Dienstnehmerbeiträge</t>
  </si>
  <si>
    <t>Termination Scenarios: Ensure correct Cost Center Posting</t>
  </si>
  <si>
    <t>Leave Provisions posting incorrect when cost center changed retroactively</t>
  </si>
  <si>
    <t>Payment Summary Listing report inconsistencies</t>
  </si>
  <si>
    <t>Concurrent Employment - Payroll Australia</t>
  </si>
  <si>
    <t>Incorrect reporting of Super Contribution due to incorrect Work Center split indicator in cluster table QSUP</t>
  </si>
  <si>
    <t>Postal Codes: Exclude Non-Suitable Languages</t>
  </si>
  <si>
    <t>Capelo - DMFA update declaration: missing REMI section</t>
  </si>
  <si>
    <t>Activa: Allowance check to the percentage of contractual employment</t>
  </si>
  <si>
    <t>Change in tax reduction night/shift work Programmawet (I)</t>
  </si>
  <si>
    <t>Legal Change - Personal Calendar 01/2014 - guaranteed daily salary</t>
  </si>
  <si>
    <t>DmfA: Contribution 836 for Chem. Sect. Q2 2014</t>
  </si>
  <si>
    <t>BELCOTAX: Leave date (2.056) with errors in case of leave on the last day of the previous year.</t>
  </si>
  <si>
    <t>Tables T5BTM &amp; T5BTS: Change of logging and size category</t>
  </si>
  <si>
    <t>Work bonus: no limitation for full time employees</t>
  </si>
  <si>
    <t>Company Car - Reference CO2 emission 2014</t>
  </si>
  <si>
    <t>Advance Taxes - Indexation of constants</t>
  </si>
  <si>
    <t>Rail tariffs Home Work Expenses as of 01.02.2014</t>
  </si>
  <si>
    <t>BELCOTAX: Correction of input help in wage type field for IT3207</t>
  </si>
  <si>
    <t>Belcotax fiches - New field 2.141 is not printed on fiche 281.10</t>
  </si>
  <si>
    <t>Belcotax - Customizing of printouts - fiches 281.xx - 2013</t>
  </si>
  <si>
    <t>DmfA LC 2014 Q1 Parameter Values</t>
  </si>
  <si>
    <t>Legal Change - Carence day in Payroll &amp; DmfA</t>
  </si>
  <si>
    <t>Payroll stops for inactive employees with integration allowance and garnishments</t>
  </si>
  <si>
    <t>Holiday certificate not correct</t>
  </si>
  <si>
    <t>RPTGENB0 - Count of days in NCALE truncated when over 1000</t>
  </si>
  <si>
    <t>RAIS: correction related to negative amount and dissidio calculation</t>
  </si>
  <si>
    <t>Conversion rules enhancements</t>
  </si>
  <si>
    <t>Informe de rendimentos -  Fields with wrong values</t>
  </si>
  <si>
    <t>RAIS: Inclusion of annual commission average in salary</t>
  </si>
  <si>
    <t>DIRF: Dependents and BAdI records reported twice</t>
  </si>
  <si>
    <t>DIRF: sequence of records PSE</t>
  </si>
  <si>
    <t>eSocial - Payroll events - Phase 2014/04</t>
  </si>
  <si>
    <t>eSocial - Job event - Phase 2014/04</t>
  </si>
  <si>
    <t>eSocial - General events - Phase 2014/04</t>
  </si>
  <si>
    <t>eSocial - Corrections - Phase 2014/05</t>
  </si>
  <si>
    <t>TAX : Incorrect split created for Lumpsum Tax calc.</t>
  </si>
  <si>
    <t>TAX: QHC exmp. WTs generated for employees of all province</t>
  </si>
  <si>
    <t>TAX: CPP/QPP harmonization effective 2014</t>
  </si>
  <si>
    <t>PY-CA-CE</t>
  </si>
  <si>
    <t>Concurrent Employment - Payroll Canada</t>
  </si>
  <si>
    <t>Tax: Incorrect WPBP split assignment in cross-year retro</t>
  </si>
  <si>
    <t>PD7A : Incorrect employee count in case of Cross-Year Amt.</t>
  </si>
  <si>
    <t>PIER : Exempted employee are not displayed</t>
  </si>
  <si>
    <t>ROE: Box 19 values do not show in French when logon language is FR</t>
  </si>
  <si>
    <t>YE13: Footnote code 211 amounts to be split into cash and kind</t>
  </si>
  <si>
    <t>YE13: Changes to layout of T4/RL-1 and T4A/RL-2 SAPscript</t>
  </si>
  <si>
    <t>HR-CH: Family-related bonus - Year-end legal change 2013/2014</t>
  </si>
  <si>
    <t>HR CH (CE): Adjustments to reports, enhancements by adding the PersID</t>
  </si>
  <si>
    <t>HR CH: FAK, reduction rule for entry in the middle of the month</t>
  </si>
  <si>
    <t>WHT VD: EMP-ACI: Error for cross-border employee FR with retroactive accounting</t>
  </si>
  <si>
    <t>WHT: Scale file for 2014 is imported incorrectly</t>
  </si>
  <si>
    <t>Documentation</t>
  </si>
  <si>
    <t>HR CH (CE): Consumption of maximum wage deficit, logging</t>
  </si>
  <si>
    <t>FAK, reduction rule TZ6, leaving and entry in the same month</t>
  </si>
  <si>
    <t>HR CH (CE): Rejection in payroll function 'LPBEG' after 999 runs</t>
  </si>
  <si>
    <t>[CL] Missing /TTD wage type on Gratuity Reliquidation</t>
  </si>
  <si>
    <t>[CL] General corrections for CCAF Interface</t>
  </si>
  <si>
    <t>[CL] Missing field in CCAF Interface Gratuity file</t>
  </si>
  <si>
    <t>[CL] New Social Insurance limits for 2014</t>
  </si>
  <si>
    <t>Tax Calculation Enhancement for Corporate Pension</t>
  </si>
  <si>
    <t>Name Character Misses for China Average Salary Report</t>
  </si>
  <si>
    <t>Enhancement about High Limit of Exemption for Corporate Pension</t>
  </si>
  <si>
    <t>Reversed Result Filtering for China Year End Individual Income Tax Declaration Report</t>
  </si>
  <si>
    <t>LC: Yearly High Limit of Tax deduction for Disability Employees Change in Shanghai</t>
  </si>
  <si>
    <t>Enhancement: Provide Options to Determine Entry Date of An Employee in Report HCNCAVG0</t>
  </si>
  <si>
    <t>LC: Enhancement of Rounding Rule for Average Month on Chinese Stock Option Tax Calculation</t>
  </si>
  <si>
    <t>HCNCTAX0: Some Information is Missing When Choose Customized Income Category</t>
  </si>
  <si>
    <t>RPTLEAD0: Leave in the middle of a month</t>
  </si>
  <si>
    <t>SEPA direct debit: RPCDTAD0 fills debit/credit indicator with 'H' instead of 'S'</t>
  </si>
  <si>
    <t>SEPA direct debit: Change to required execution date is not transferred to payroll result</t>
  </si>
  <si>
    <t>SI: Correction for 1958737 - SI: Runtime error RPUSVKD0</t>
  </si>
  <si>
    <t>Leave with infotype 2006: Incorrect quota at start of leave year for industrial worker leave entitlement</t>
  </si>
  <si>
    <t>Seasonal reduced hours: Hours subject to contribution in case of "Sick before Winter Compensation" starting in previous month</t>
  </si>
  <si>
    <t>SFP: Adjustments and corrections social fund procedure</t>
  </si>
  <si>
    <t>Leave with infotype 2006: Vacation pay for industrial workers in the final year of traineeship</t>
  </si>
  <si>
    <t>DEUEV: Corrections XVII</t>
  </si>
  <si>
    <t>ELStAM procedure: Corrections 6/2014</t>
  </si>
  <si>
    <t>ELStAM procedure: Improvements and corrections 7/2014</t>
  </si>
  <si>
    <t>ELStAM procedure: Corrections 08/2014</t>
  </si>
  <si>
    <t>ELStAM: Improvements and corrections 9/2014</t>
  </si>
  <si>
    <t>EEL: Corrections and enhancements (1/2014)</t>
  </si>
  <si>
    <t>EEL processes: Preexisting condition request not completed</t>
  </si>
  <si>
    <t>EEL process view: Runtime problems due to PNP preselection</t>
  </si>
  <si>
    <t>AAG: Incorrect bank details in data module DBBV</t>
  </si>
  <si>
    <t>RPCEDTD0: Imputed income in form DFKA</t>
  </si>
  <si>
    <t>Change of pay scale type, pay scale area, and pay scale group in prohibited activities</t>
  </si>
  <si>
    <t>BVV: Corrections for notification creation</t>
  </si>
  <si>
    <t>PO: Buffer error for multiple personnel numbers</t>
  </si>
  <si>
    <t>PO: Correction to net arrears payment</t>
  </si>
  <si>
    <t>PO: Cleanup of garnishment results X</t>
  </si>
  <si>
    <t>PO: Cleanup of garnishment results XI</t>
  </si>
  <si>
    <t>Contribution calculation for persons with voluntary insurance for income liable to contributions (§23c Code of Social Law (SGB) IV) and RHC</t>
  </si>
  <si>
    <t>View V_T5D31: Delimitation of entries not possible</t>
  </si>
  <si>
    <t>New statement of contributions paid: Corrections and check during creation of statement of contributions paid</t>
  </si>
  <si>
    <t>PY-DE-NT-SR</t>
  </si>
  <si>
    <t>Part time for pensioners</t>
  </si>
  <si>
    <t>Incorrect annual gross tax amount in SR notional calculations</t>
  </si>
  <si>
    <t>IT 0012: Changes to the flow logic</t>
  </si>
  <si>
    <t>Travel expenses as of 2014: Rule DS05 for processing class 26 with specification 7 without cumulation</t>
  </si>
  <si>
    <t>ETStmt: Rejection with error number 202525015</t>
  </si>
  <si>
    <t>Consideration of SP conversion amount in SR fictitious gross</t>
  </si>
  <si>
    <t>Collective agreement on flexible semiretirement: SP increase incorrect in fictitious runs</t>
  </si>
  <si>
    <t>Personnel number rejected in DOUKA_ORT</t>
  </si>
  <si>
    <t>Retirement pension: New specification "Retirement Pension" for "Reason for Entry into Pension" in "Pension Payments" infotype</t>
  </si>
  <si>
    <t>Public Services regulation, state of Hesse: 2nd DRModG XIV</t>
  </si>
  <si>
    <t>No update when you use the BAdI HRPAY00_FED_STATE_SEN to restrict the selection help</t>
  </si>
  <si>
    <t>Public Services regulation, state of Hesse: 2nd DRModG XV</t>
  </si>
  <si>
    <t>New reason for reimbursement ("Art. 108 BayBeamtVG") in infotype 0322</t>
  </si>
  <si>
    <t>Public Services regulation, state of Hessen: 2nd DRModG XVI</t>
  </si>
  <si>
    <t>Public Services regulation, state of Hesse: 2nd DRModG XVII</t>
  </si>
  <si>
    <t>Public Services regulation, state of Hesse: 2nd DRModG XIX</t>
  </si>
  <si>
    <t>Public Services regulation, state of Hesse: 2nd DRModG XVIII</t>
  </si>
  <si>
    <t>Public Services regulation, state of Hesse: 2nd DRModG XX</t>
  </si>
  <si>
    <t>Public Services regulation, state of Hesse: 2nd DRModG XXI</t>
  </si>
  <si>
    <t>Remuneration conversion in the notional calculations for sick pay supplement/maternity pay supplement</t>
  </si>
  <si>
    <t>Supplement 4 to Z4 notification: Only flagged bank transfers; HR Process Workbench; employees who have left the company; incorrect file name</t>
  </si>
  <si>
    <t>RPLEHAD3: Working time of teachers, integration department Kiel</t>
  </si>
  <si>
    <t>CP: PE-170 contract fields incorrectly filled</t>
  </si>
  <si>
    <t>190: Performance issue when using entries of T5EI5 table</t>
  </si>
  <si>
    <t>BONIFICACIONES: Wrong suppression of method 0058 from January 01, 2014</t>
  </si>
  <si>
    <t>Contrat@: Changes of January 2014</t>
  </si>
  <si>
    <t>CRA: Configuration for the CRA report</t>
  </si>
  <si>
    <t>RED 01/2014</t>
  </si>
  <si>
    <t>CP: Contract update of PE-177 model</t>
  </si>
  <si>
    <t>CP: The content of clause 'Segunda' is being truncated in contract PE-170</t>
  </si>
  <si>
    <t>HRFI: New Vacation Act 2013 - Reports HFILHPA0_FI, HFILVAC1</t>
  </si>
  <si>
    <t>HRFI: HFILAAI0 - double amounts for wage type /113</t>
  </si>
  <si>
    <t>HRFI: HFILTAX1: Fixed format ALV shows also not valid fields</t>
  </si>
  <si>
    <t>HRFI: LC Source Tax Card Changes 2014</t>
  </si>
  <si>
    <t>HRFI: Report HFICDTA0  - Address (IT 0006) is not mandatory</t>
  </si>
  <si>
    <t>HRFI: HFILTAX0 -  Shortdump on tax code for Company car (IT0442)</t>
  </si>
  <si>
    <t>HRFI: IT0205 - display field INDUL</t>
  </si>
  <si>
    <t>Improvement of ABAP source code quality</t>
  </si>
  <si>
    <t>IJSS: incorrect compensated days</t>
  </si>
  <si>
    <t>New CICE calculation rule</t>
  </si>
  <si>
    <t>DUCS EDI: CICE not generated in year declaration</t>
  </si>
  <si>
    <t>N4DS V01X08: S48.G10.02 optional for DN-AC and code pop. 10</t>
  </si>
  <si>
    <t>Contribution Exceptions for special contracts 'professionnalisation' and age calculation</t>
  </si>
  <si>
    <t>Payroll France: retroactive introduction of an interim contract creates errors in contributions.</t>
  </si>
  <si>
    <t>N4DS V01X08: Exception "INTERVAL_NOT_WITHIN_COLLECTION" occurs</t>
  </si>
  <si>
    <t>N4DS: Starting date of the S60 is not limited to 1 year before declared period in case of shifted payroll</t>
  </si>
  <si>
    <t>Documentation: SEPA Settings available in Customizing guide Payroll France</t>
  </si>
  <si>
    <t>LSE: Employees over 65 exempted from FNGS contributions</t>
  </si>
  <si>
    <t>RPLDATF2: accident address number with preceding zeros</t>
  </si>
  <si>
    <t>Adaption of schema FCCO for progressive regularization in FCRE</t>
  </si>
  <si>
    <t>N4DS: S40.G01.00 - portabilité</t>
  </si>
  <si>
    <t>N4DS: S20.G05.00.012 incorrectly generated</t>
  </si>
  <si>
    <t>DN-AC AED: S48.G55.20 don't use the 'administrator group' at Infotype 0001 to read Administrator data.</t>
  </si>
  <si>
    <t>CICE rounding error in DADS-U</t>
  </si>
  <si>
    <t>N4DS V01X08: exception handling when creating TemSe file</t>
  </si>
  <si>
    <t>Cumulation cleanup regarding deleted /128</t>
  </si>
  <si>
    <t>N4DS: Field S40.G20.00.018.003, value '999' again in use for employes withdrawn during 2013 but having a "portability" activity period.</t>
  </si>
  <si>
    <t>IT3340: fix related to the "delete" action</t>
  </si>
  <si>
    <t>RPLN4AF0 / T5FN4DS00* index cleanup</t>
  </si>
  <si>
    <t>N4DS - Cancel and replace (Type 59) dumps if original declaration is rejected</t>
  </si>
  <si>
    <t>N4DS: values of fields for section S20.G10.05 are shifted when maintained with external file</t>
  </si>
  <si>
    <t>Inactivity periods of public servants not generated</t>
  </si>
  <si>
    <t>N4DS V01X07/V01X08: S42.G05.05 and S42.G05.10</t>
  </si>
  <si>
    <t>PY-GB: E filing of P11D Corrections</t>
  </si>
  <si>
    <t>PY-GB: GTAX, Tax code for leavers with P45 issued</t>
  </si>
  <si>
    <t>PY-GB: RTI: Tax refs not sorted correctly in RTI reports</t>
  </si>
  <si>
    <t>RTI: ME prio change in the current period incorrect YTDs/ ME change of Tax reference</t>
  </si>
  <si>
    <t>PY-GB: P60 Corrections Collection</t>
  </si>
  <si>
    <t>PY-GB: NI category selection in report RPCNITG0</t>
  </si>
  <si>
    <t>HR-GB: IT0065 Validation for Tax code source EMP</t>
  </si>
  <si>
    <t>PY-GB:P11D:Dir.Ind,Benef.Calc.,EP11D,Statistics,XML issues</t>
  </si>
  <si>
    <t>RTI: SCON Reporting</t>
  </si>
  <si>
    <t>PY-GB: PAE: Incorrect 'EJH Already' flag for postponement</t>
  </si>
  <si>
    <t>RTI: Enhancements - One off payments/ RTI Net pay</t>
  </si>
  <si>
    <t>PY-GB: RTI FPS: Late leavers; Intercompany transfers; One time payments; SCON</t>
  </si>
  <si>
    <t>RTI: EYU HMRC Changes to Schema</t>
  </si>
  <si>
    <t>PY-GB: SSP 28 Week Entitlement rounded incorrectly in some changing QDP scenarios.</t>
  </si>
  <si>
    <t>PY-GB: Interest rate for Beneficial loan arrangements</t>
  </si>
  <si>
    <t>PY-GB: RTI-EPS: NICs Holiday Year to date field is displayed for 2014</t>
  </si>
  <si>
    <t>PY-GB: DDIC Obj. of notes: 1980091,1971626,1978336,1980092</t>
  </si>
  <si>
    <t>PY-GB-PS: LGPS 2014 Pilot Bug Fixes</t>
  </si>
  <si>
    <t>PY-GB-PS: LGPS 2014: Pensionable Pay (Proration)</t>
  </si>
  <si>
    <t>PY-GB-PS: LGPS 2014: ER's Contribution Rate (Feature GBLG1)</t>
  </si>
  <si>
    <t>PY-GB-PS: LGPS 2014: ER's Contribution Rate - DDIC Elements</t>
  </si>
  <si>
    <t>PY-GB-PS: LGPS 2014: Pensionable Pay: SxP across Tax Years</t>
  </si>
  <si>
    <t>PY-GB-PS: LGPS 2014: ER's Contribution Rate (Feature GBLG1) II</t>
  </si>
  <si>
    <t>PY-GB: RTI FPS and EPS corrections</t>
  </si>
  <si>
    <t>IR56B: XML File Generated Excludes Employees Without Hong Kong ID</t>
  </si>
  <si>
    <t>Error When Reprinting Additional IR56F/G in Same Financial Year</t>
  </si>
  <si>
    <t>PY-HK:MPF Maximum Income Level Change from June 1st, 2014</t>
  </si>
  <si>
    <t>HHKCTXB0: Header of Generated XML File Is Incorrect</t>
  </si>
  <si>
    <t>LC2014: IR56 Forms Update</t>
  </si>
  <si>
    <t>Indonesia Tax Declaration Legal Change as per PER-14-PJ-2013PPh2126</t>
  </si>
  <si>
    <t>HIDCTAX1 1721 A1 - off-cycle payroll result is not included in A8</t>
  </si>
  <si>
    <t>How to Prepare 1721-I Tax Declaration Data Manually</t>
  </si>
  <si>
    <t>Correction for  the NPWP Number in the 1721 A1 Tax Declaration CSV file</t>
  </si>
  <si>
    <t>PY-IE: Tax credit for leavers; Incorrect refunds in case of change in tax credit</t>
  </si>
  <si>
    <t>PY-IE: P45 cross tax year issues</t>
  </si>
  <si>
    <t>SAP_HRCIE:CheckMan:ATC issues</t>
  </si>
  <si>
    <t>PY-IE: EOY corrections for 2013</t>
  </si>
  <si>
    <t>PY-IE: LPT, Employee rejected in payroll with tax infotype error</t>
  </si>
  <si>
    <t>PY-IE: EOY, Corrections for multiple scenarios</t>
  </si>
  <si>
    <t>PY-IE: P45 suppl. - Tax credit and cut off incorrect</t>
  </si>
  <si>
    <t>PY-IE: EOY, Tax refund, Exclusion order and P60 previous earnings correction</t>
  </si>
  <si>
    <t>HINUSWCH: 40AY switch changes the T54C0 table values, irrespective of Business Function not active</t>
  </si>
  <si>
    <t>ECR: EPS Wages Not Displayed for Period in Which Employee Turns 58 Years</t>
  </si>
  <si>
    <t>Marginal Tax Rate Not Returned When No Results Available For Current FY</t>
  </si>
  <si>
    <t>HINCALC0: Warning Message in Payroll Log for NPS Contribution</t>
  </si>
  <si>
    <t>HINCF24Q: Inconsistent output display with employee data</t>
  </si>
  <si>
    <t>INTAX: Change in rounding of Cess</t>
  </si>
  <si>
    <t>HINCESI0:  Employee not eligible for ESI Contribution should not apear in the ESI Report Output</t>
  </si>
  <si>
    <t>Inclusion of PAN of Landlord in IT0581</t>
  </si>
  <si>
    <t>UniEmens 2.3 - ENPALS management</t>
  </si>
  <si>
    <t>PY-IT: Contributo Licenziamento ASPI 2013 - Corrections I</t>
  </si>
  <si>
    <t>HR-IT: Firing Contribution 2014 - New IASPI constant value</t>
  </si>
  <si>
    <t>HR-IT: CUD 2014 - Boxes B1 and B3/4 new description</t>
  </si>
  <si>
    <t>CUD2014: Wrong label for box Sostegno alle associazioni sportive.</t>
  </si>
  <si>
    <t>PY-JP-NT-LI</t>
  </si>
  <si>
    <t>Labor Insurance</t>
  </si>
  <si>
    <t>LC2014: Rate Change of General Contribution for Asbestos Health Damage Relief</t>
  </si>
  <si>
    <t>Correction of Separation DME (HKRSEPR0)</t>
  </si>
  <si>
    <t>Correction of YEA Reports for Employee Age Calculation and Foreigner A Medical Expense</t>
  </si>
  <si>
    <t>Effective Date for New Separation Payment Calculation Method</t>
  </si>
  <si>
    <t>Amounts maintained in IT3542 subtype 2 should not be accumulated into Total on Withholding Earned Income List (YEG)</t>
  </si>
  <si>
    <t>LC2014: Simple Tax Table Effective on February 21</t>
  </si>
  <si>
    <t>Calculation of Monthly Rental Deduction on YED form</t>
  </si>
  <si>
    <t>Correction for the Service Months and Calculation Start Date of Final Separation</t>
  </si>
  <si>
    <t>Enhancement: Checkbox Status on Title of Monthly Rental / Housing Rental Loan Page of YEA Receipt &amp; YEA Deduction List</t>
  </si>
  <si>
    <t>PIFSS Report for Kuwait HCM Solution</t>
  </si>
  <si>
    <t>Checkman -  Acessibility check for infotypes</t>
  </si>
  <si>
    <t>Missing country-specific customizing for HCM Kazakhstan</t>
  </si>
  <si>
    <t>Changes in personnel taxation regard of GS #1116 from 18.10.2013 and law #156-1 from 10.01.2014</t>
  </si>
  <si>
    <t>[MX] Enhancements for Digital Fiscal Document (CFDi) - 2</t>
  </si>
  <si>
    <t>2013 Legal change for CP8D and Borang E form</t>
  </si>
  <si>
    <t>Hiding CP8D record in Borang E for non-active employee</t>
  </si>
  <si>
    <t>Delete BIK code 155 (MOBILE TELEPHONE)</t>
  </si>
  <si>
    <t>Termination date in EA form for rehire case</t>
  </si>
  <si>
    <t>Adjustment for Employer Name and Address in PCB2 PDF Form</t>
  </si>
  <si>
    <t>Incorrect status in prepare EA form report RPCTSQL0</t>
  </si>
  <si>
    <t>Fund name in EA form</t>
  </si>
  <si>
    <t>Remuneration Statement of 2012 not Showing all Data</t>
  </si>
  <si>
    <t>YELC 2013/2014: Jaaropgave Werknemer: Annual Tax Statement via Portal skips BADI</t>
  </si>
  <si>
    <t>Issues with Life Course Savings</t>
  </si>
  <si>
    <t>Determination of AOW age can  be wrong if the employee is born at the begining of the month</t>
  </si>
  <si>
    <t>System Transfer by Wage Return: Add.documentation needed</t>
  </si>
  <si>
    <t>Negative wage hours in LA table</t>
  </si>
  <si>
    <t>Age Determination Method 1st of January incorrect in 1st Period of Weekly and 4-Weekly Payroll</t>
  </si>
  <si>
    <t>Withdrawal Life-Course Saving Amount as a Gross Amount for Special Pay in 2014</t>
  </si>
  <si>
    <t>New Fiscal Minimum Wages as of January 1st 2014</t>
  </si>
  <si>
    <t>HRNO: ERC issues July - Svalbard municipality problems</t>
  </si>
  <si>
    <t>HRNO: ATS report- bi weekly paid employees reporting</t>
  </si>
  <si>
    <t>HRNO: RPCERIV0 report error (Municipalities 1901 and 1915 are not valid)</t>
  </si>
  <si>
    <t>HRNO: Annual tax statement-issues November 2013</t>
  </si>
  <si>
    <t>HRNO: Maternity leave start issues</t>
  </si>
  <si>
    <t>HRNO: ATS Wrong combination of Reporting number and Bedrift number</t>
  </si>
  <si>
    <t>HRNO: eTaxCard - Correction of issues - January 2014 [2/2]</t>
  </si>
  <si>
    <t>EDAG - February 2014 [2/2] - Corrections &amp; improvements</t>
  </si>
  <si>
    <t>EDAG - February 2014 [1/2] - Corrections &amp; improvements</t>
  </si>
  <si>
    <t>ACF - February 2014 - Corrections &amp; improvements</t>
  </si>
  <si>
    <t>HRNO: eTaxCard - Correction of issues - February 2014 [1/2]</t>
  </si>
  <si>
    <t>HRNO: Negative amount on percentage tax basis /106</t>
  </si>
  <si>
    <t>HRNO: Incorrect rate used for wage types OFxx</t>
  </si>
  <si>
    <t>HRNO: Reimbursement report - employee status selection</t>
  </si>
  <si>
    <t>HRNO: eTaxCard - Correction of issues - February 2014 [2/2]</t>
  </si>
  <si>
    <t>Rental Subsidy :  Enhancements to Expiry Date</t>
  </si>
  <si>
    <t>Education Grant : Proration Must Happen at 100% When School Attendance is Greater Than 2/3 rd of the School Year</t>
  </si>
  <si>
    <t>System Does Not Consider The Amount That is Received From the Other Sources  While Determining The Dependency Allowance</t>
  </si>
  <si>
    <t>UNJSPF Yearly Interface : The Date is Incorrectly Displayed on the ALV Output  for Schedule D</t>
  </si>
  <si>
    <t>Dependency Allowance : Pre Eligibility check based on Employee Group and Sub Group</t>
  </si>
  <si>
    <t>PY-NZ: Run time error in Termination Workbench</t>
  </si>
  <si>
    <t>PY-NZ : Correction to the New EMS report HNZLEMS2</t>
  </si>
  <si>
    <t>PY-NZ : Corrections to Tax changes for the year 2014-2015</t>
  </si>
  <si>
    <t>PY-NZ : Unable to delimit view V_T7NZPL</t>
  </si>
  <si>
    <t>PY-NZ : HNZLEMS2 problem in Break down report</t>
  </si>
  <si>
    <t>PY-NZ : Incorrect formation of Wage Type /M06 with splits</t>
  </si>
  <si>
    <t>Incorrect Alphalist  if Off-cycle after Regular payroll Run</t>
  </si>
  <si>
    <t>New BAdI in labor compensation fund calculation</t>
  </si>
  <si>
    <t>RPCCESP0: invalid file format in download option</t>
  </si>
  <si>
    <t>RPCMIDP0: New Substitution Declaration - Corrections III</t>
  </si>
  <si>
    <t>Localization of payroll functionalities for the Portuguese banking sector</t>
  </si>
  <si>
    <t>RPCIIDP0: general corrections I</t>
  </si>
  <si>
    <t>Annual Income Declaration 2014: corrections I</t>
  </si>
  <si>
    <t>Labor compensation fund calculation with WPBP splits and log generation in background</t>
  </si>
  <si>
    <t>Modelo 30: New tags for non resident report</t>
  </si>
  <si>
    <t>Missing subtype 07 in 0185 (IDs pessoais) infotype</t>
  </si>
  <si>
    <t>Monthly Income Declaration: New income subcategories introduced by Portaria n.º 15-A /2014</t>
  </si>
  <si>
    <t>Payroll changes to support the new income subcategory A18 introduced by Portaria n.º 15-A /2014</t>
  </si>
  <si>
    <t>RPCMIDP0: Previous years amounts being wrongly generated</t>
  </si>
  <si>
    <t>Family Allowance: wrong behavior in the PPSFA function</t>
  </si>
  <si>
    <t>CGA: new situation code 03</t>
  </si>
  <si>
    <t>FSS Direct Payments: Cumulative Updates for XML Register of Applications – 11.2013</t>
  </si>
  <si>
    <t>HR-RU: Average Calculation on the Current Period with Rehiring but Without Split of Payroll Period</t>
  </si>
  <si>
    <t>HRPAYRU_CIA transaction runs with an error of missing record</t>
  </si>
  <si>
    <t>HR-RU: Consideration of RURT Data at Transfer of Results to LRT from Recalculation in Off-cycle Type B</t>
  </si>
  <si>
    <t>Pregnancy leave compensation payments incorrect relevancy test in HR_RU_AV_REL_SICK_2011</t>
  </si>
  <si>
    <t>SZV-6-4: DLOTPUSK code for HWC periods</t>
  </si>
  <si>
    <t>Increasing the maximal number of tax privileges (from 10 to 110) for tax class in views V_T7RUT1 and V_T7RUT1_CE</t>
  </si>
  <si>
    <t>HR-RU: Federal law 421-FZ at 28.12.2013 on the special assessment of working conditions</t>
  </si>
  <si>
    <t>HRSE: Remove AB split from Time Evaluation WTs (MS04)</t>
  </si>
  <si>
    <t>HRSE: RPCKU1S0 - Correction of data for KU reporting</t>
  </si>
  <si>
    <t>HRSE: Presentation of Attendance dates on Payslip</t>
  </si>
  <si>
    <t>HRSE: Feature 23VCS enable use decission tree</t>
  </si>
  <si>
    <t>HRSE: RPCEDTS0 - Absences with different PSARB displayed incorrectly</t>
  </si>
  <si>
    <t>RPCCPFR0 - Fractional amount  in SDF amount</t>
  </si>
  <si>
    <t>Overtime eligibility</t>
  </si>
  <si>
    <t>NRS: Case_Claim_Amt Remove Decimal</t>
  </si>
  <si>
    <t>Program dump about IR8A when run the report in additional mode with old records after applied support package 71.</t>
  </si>
  <si>
    <t>Correction on 1936857 - Adjustment on total CPF contribution on OW for concurrent employment</t>
  </si>
  <si>
    <t>CPF voluntary contribution posted oversea in IR8A form</t>
  </si>
  <si>
    <t>Correction for Number of Records in TRAILER of IR8A E-submission file</t>
  </si>
  <si>
    <t>IR8A Amended form (PATLine file) shouldn't be generated when the total gross adjustment value is $0.00 after rounding.</t>
  </si>
  <si>
    <t>Adjustment for Value of Furniture and Fittings in IR8A Appendix 8A</t>
  </si>
  <si>
    <t>PR Period change for CPF calculation</t>
  </si>
  <si>
    <t>IR8A form is not generated when there is only deductions</t>
  </si>
  <si>
    <t>Spelling Mistake Correction on Form IR8A</t>
  </si>
  <si>
    <t>PY-SG: Line breaks in IR8A report when executed in background</t>
  </si>
  <si>
    <t>Payroll Error " No social insurance found for date ... "</t>
  </si>
  <si>
    <t>IR8S form only display the last page when there are more than 3 lines in section C.</t>
  </si>
  <si>
    <t>HTHCTX91 Report: New PDF Form Enhancement</t>
  </si>
  <si>
    <t>Report HTHCTX5B: Split Issue Caused by Sorting</t>
  </si>
  <si>
    <t>Calculate Incorrect SS Contribution Amount When Retro</t>
  </si>
  <si>
    <t>PY-TH: Incorrect payroll result record fetched for report HTHCTX1A and HTHCTX5B</t>
  </si>
  <si>
    <t>Social Security Contribution Detailed Form Layout Adjustment</t>
  </si>
  <si>
    <t>PY-TH: Income Tax Forms Calculate Incorrect Year of Service</t>
  </si>
  <si>
    <t>Report HTHCTX91 Incorrect Tax Computed from Net Income</t>
  </si>
  <si>
    <t>Field Description is Not Correct in Taiwan Tax Form</t>
  </si>
  <si>
    <t>HTWLCE00: Incorrect SNHI Premium Base Amount</t>
  </si>
  <si>
    <t>USCLM: Wrong overpayment detected for retro reversed period</t>
  </si>
  <si>
    <t>USCLM: /101 is duplicated when there is a cross-year overpayment</t>
  </si>
  <si>
    <t>USCLM: Overpayment technical wage types missing currency key</t>
  </si>
  <si>
    <t>USCLM: Incorrect evaluation class 02 for wage type /582</t>
  </si>
  <si>
    <t>BSI: Synchronize Payroll Tax Data</t>
  </si>
  <si>
    <t>CE: Additional Medicare wage types are not generated in CE environment.</t>
  </si>
  <si>
    <t>PY-US-PS</t>
  </si>
  <si>
    <t>US-PS: Unable to filter results of Form 1042-S Printing output</t>
  </si>
  <si>
    <t>PY-US-PS-BN</t>
  </si>
  <si>
    <t>Public Sector Benefits</t>
  </si>
  <si>
    <t>BEN: System does not consider change in constant 402G8</t>
  </si>
  <si>
    <t>TR: Changes to Texarkana Income Tax reports</t>
  </si>
  <si>
    <t>TR: Layout update for W-2 Alabama and City of Wilmington magmedia</t>
  </si>
  <si>
    <t>TR: Locality taxable wages incorrectly cumulated in Form W-2 for PA Act 32</t>
  </si>
  <si>
    <t>TR: Update in layout for W-2 Magmedia for KY, ID, MT and Battlecreek</t>
  </si>
  <si>
    <t>TR: Box 18 displaying incorrect values for NY residents in Form W-2</t>
  </si>
  <si>
    <t>TAX: Restore wage type /5U3 functionality to count periods</t>
  </si>
  <si>
    <t>TAX: Function USTAX generates negative result.</t>
  </si>
  <si>
    <t>TAX: Incorrect YTD Pay Periods after frequency change</t>
  </si>
  <si>
    <t>TAX: Remittance Authority is incorrect (PA Act 32).</t>
  </si>
  <si>
    <t>TAX: SUI changes for Montana</t>
  </si>
  <si>
    <t>Payroll Reconciliation</t>
  </si>
  <si>
    <t>HRGXX: Checkman error correction</t>
  </si>
  <si>
    <t>RPCEMPW0 - EMP201 and EMP501 Employer Reconciliation</t>
  </si>
  <si>
    <t>Bringing Tax Reference Numbers to cluster tables ST and CST</t>
  </si>
  <si>
    <t>Corrections related to Annual tax calculation</t>
  </si>
  <si>
    <t>ETI: Number of months for calculation based on the number of qualifying period from 01.01.2014</t>
  </si>
  <si>
    <t>Negative values for tax reporting wagetypes /401 and /402</t>
  </si>
  <si>
    <t>Tax credit negative for employees terminated and rehired in same period</t>
  </si>
  <si>
    <t>PR NL: View V_T77PRNL_XML_V: Entry cannot be delimited</t>
  </si>
  <si>
    <t>0HR_PA_OS_1:  dump TSV_TNEW_PAGE_ALLOC_FAILED</t>
  </si>
  <si>
    <t>BW-BCT-PY</t>
  </si>
  <si>
    <t>Payroll Accounting</t>
  </si>
  <si>
    <t>Extractor 0HR_PY_PP_1 does not select correctly in full mode</t>
  </si>
  <si>
    <t>Email information is not read</t>
  </si>
  <si>
    <t>German Travel Expenses Act 2014:  Company-specific and legal</t>
  </si>
  <si>
    <t>Customer enhancement in IT 527 for special payment factors</t>
  </si>
  <si>
    <t>BL Entkopplung</t>
  </si>
  <si>
    <t>Infotype 3347 ("Release from Work A") creation without end d</t>
  </si>
  <si>
    <t>Infotyp 3347 (Freistellung A)  ungenaue Verprobung "geringüg</t>
  </si>
  <si>
    <t>IT0058 commuter allowance:  New field for commuter calculato</t>
  </si>
  <si>
    <t>Query for function code ELDA commented out in include MP0367</t>
  </si>
  <si>
    <t>HCM BR: Infotype 0021 - new subtype for brother/sister</t>
  </si>
  <si>
    <t>PA-PA-CA</t>
  </si>
  <si>
    <t>YE13: Business number displayed in Combo forms (FR.vers.)</t>
  </si>
  <si>
    <t>IT0006 CN 2028: Screen Control Configuration Lost After Edit</t>
  </si>
  <si>
    <t>Correction for PD Link Flag Issue, Inappropriate Invalid Dat</t>
  </si>
  <si>
    <t>Change Error Message to Warning Message for the Check of  In</t>
  </si>
  <si>
    <t>Correct Error in Class CL_CN_RM_DAO for Report Management Pl</t>
  </si>
  <si>
    <t>Infotype 0863 : Infotype 0001 appears twice during decree si</t>
  </si>
  <si>
    <t>TNM: RPCTNM9S_ASSIGN, no hours displayed at TN level</t>
  </si>
  <si>
    <t>TNM: 2483, CALL_METHOD_CONFLICT_TYPE runtime error</t>
  </si>
  <si>
    <t>TNM: "Provider ID" search-help runtime error</t>
  </si>
  <si>
    <t>HR-GB: IT65 Tax code source is not valid for RTI (5G348)</t>
  </si>
  <si>
    <t>PA-PA-GB: The tax code uplift report is not carrying out the</t>
  </si>
  <si>
    <t>Directory traversal in PA-PA-IT</t>
  </si>
  <si>
    <t>IT0559: Incorrect Screen Control for Fields</t>
  </si>
  <si>
    <t>Employee's Father or Mother maintained as Dependant Type 7 i</t>
  </si>
  <si>
    <t>Maximum Length Extended for Employee Name</t>
  </si>
  <si>
    <t>PA-PA-KZ</t>
  </si>
  <si>
    <t>Setting the validity period of the created record of infotyp</t>
  </si>
  <si>
    <t>PA-PA-PT</t>
  </si>
  <si>
    <t>HR-PT: Corrections for infotype decoupling classes.</t>
  </si>
  <si>
    <t>IT0899: Wrong Organization Code field validation</t>
  </si>
  <si>
    <t>Improvements of report “Check Legal Structure Consistency”</t>
  </si>
  <si>
    <t>FSS Direct Payments: output XML has no value or incorrect va</t>
  </si>
  <si>
    <t>Long action reason text is shown incorrectly: spaces  on 199</t>
  </si>
  <si>
    <t>Technical delivery of test data container for unit test of c</t>
  </si>
  <si>
    <t>Function module HR_CHANGE_QUOTAS_GEN_25 dump after implement</t>
  </si>
  <si>
    <t>NRS: Incorrect Multiple Variable Allowance</t>
  </si>
  <si>
    <t>No Digit Validity on Tax Reference/IC Number in IT0179</t>
  </si>
  <si>
    <t>Multiple Variable Allowance with Same PCL63 Setting Display</t>
  </si>
  <si>
    <t>NRS Reporting Correction for New Hired Employee</t>
  </si>
  <si>
    <t>T588M Infotype Screen Control Problem for MPV18700</t>
  </si>
  <si>
    <t>Applicable Operation Error for Thailand</t>
  </si>
  <si>
    <t>Domain PTW_NHIST Does Not Include Value 'P'</t>
  </si>
  <si>
    <t>BEN: HSA contribution Limit returning 'zero' for 1st  payrol</t>
  </si>
  <si>
    <t>PEP reduction for employee liable for PEP: Corrections and e</t>
  </si>
  <si>
    <t>CPS: Enhancement of the payroll function P0201</t>
  </si>
  <si>
    <t>Pension receipt notification:  Generating CSV notification f</t>
  </si>
  <si>
    <t>PE-IN</t>
  </si>
  <si>
    <t>Integration</t>
  </si>
  <si>
    <t>[AR] New Report for ART Calculation</t>
  </si>
  <si>
    <t>[AR] Header not shown in Libro Ley report</t>
  </si>
  <si>
    <t>[AR] Final Settlement using wrong period for frozen result</t>
  </si>
  <si>
    <t>PCALZ: Verarbeitungsstatus zu verwalten (T5A7B und T5A7C)</t>
  </si>
  <si>
    <t>IT0527: Vorbereitung Versteuerung von Abfertigungen</t>
  </si>
  <si>
    <t>IT0526: Entkopplungsklasse in SAP_HR neu anlegen</t>
  </si>
  <si>
    <t>Formalhinweis</t>
  </si>
  <si>
    <t>RPCALCA0: Pendlereuro perm. Jahresausgleich, LGart /49Q</t>
  </si>
  <si>
    <t>PCALZ: BAdI für Feststellung des Unternehmenswechsels</t>
  </si>
  <si>
    <t>Neuer Parameter für Operation ASTAV</t>
  </si>
  <si>
    <t>PCALZ: Änderung der Prüfvorschriften vom  Hinweis 1886365 zu</t>
  </si>
  <si>
    <t>JW 2014: Familienhospizkarenz und Familienhospizteilzeit</t>
  </si>
  <si>
    <t>RPCEKSA0: Inaktive Verwendungsgruppen und Namenswechsel</t>
  </si>
  <si>
    <t>RPCALCA0: P-Euro, perm. J.ausgl. bei untermonatigem Ein</t>
  </si>
  <si>
    <t>rpcalca0: Initialisierung der STAT_EXECUTE-Objekte</t>
  </si>
  <si>
    <t>PCALZ: LZ-SV-Teil: SZKZ fehlt im ELDA-Satz wenn nur BV  vorh</t>
  </si>
  <si>
    <t>Dummyhinweis wg. Checkman bzw. Assemblyproblemen</t>
  </si>
  <si>
    <t>Infotyp 3347 - Warnhinweis bei Anlage von Bildungskarenz</t>
  </si>
  <si>
    <t>Jobticket auf IT 0058 - Kennzeichnung und Andruck Lohnkont</t>
  </si>
  <si>
    <t>IT0367: im Feld Amtl. Beitrags. ist der aktuelle Wert nicht</t>
  </si>
  <si>
    <t>IT0058 Text im Dynpro 3000 bei Kürzungen falsch</t>
  </si>
  <si>
    <t>IT0526: Änderungen  wegen IBAN und Datenelement PB03_SBGB0</t>
  </si>
  <si>
    <t>Legal Changes Superannuation 2013 - DDIC Changes</t>
  </si>
  <si>
    <t>Performance Issue with Payroll Driver</t>
  </si>
  <si>
    <t>Leave Provisions posting incorrect when cost center changed</t>
  </si>
  <si>
    <t>Switch for the applicability of the Superannuation 2013 lega</t>
  </si>
  <si>
    <t>Retro over PIA period causes negative /A72 and /A42 generati</t>
  </si>
  <si>
    <t>32: Correction to Legal Change Superannuation 2013</t>
  </si>
  <si>
    <t>33: Correction to Superannuation Legal changes 2013</t>
  </si>
  <si>
    <t>Super amount calculated in each split is incorrect when ther</t>
  </si>
  <si>
    <t>PY-AU : Process Model changes for  RPLSUMQ0 and RPLDETQ1</t>
  </si>
  <si>
    <t>34: Correction to Superannuation  Legal Change 2013</t>
  </si>
  <si>
    <t>Termination Organiser does not delimit 220, when using featu</t>
  </si>
  <si>
    <t>RSAS wagetype generated, when no salary Sacrifice wagetype i</t>
  </si>
  <si>
    <t>PRE-DME programs excludes Wagetype Selcection</t>
  </si>
  <si>
    <t>35: Correction to Superannuation Legal changes 2013</t>
  </si>
  <si>
    <t>Change in Private Health Insurance Extra Tax</t>
  </si>
  <si>
    <t>Legal Change: New Tax Scales T1 and T2 for Actors, Variety A</t>
  </si>
  <si>
    <t>Payroll fn SUEEC generates incorrect split in mid period</t>
  </si>
  <si>
    <t>Leave loading legal change 2013</t>
  </si>
  <si>
    <t>RPCPBSQ0 dumps when incorrect 'application server filename'</t>
  </si>
  <si>
    <t>PS Termination Organiser: No leave payments displayed</t>
  </si>
  <si>
    <t>Wage types missing in CRT for XFY payments when a second ret</t>
  </si>
  <si>
    <t>Certificate 281.25 - Wrong Calculation when delta on delta</t>
  </si>
  <si>
    <t>BELCOTAX:  Zone 2.018 in fiches 281.10 and 281.20 not genera</t>
  </si>
  <si>
    <t>BELCOTAX:  Zone 2.102 generation error if leave date on last</t>
  </si>
  <si>
    <t>SOCIAL BALANCE: Employee detail section corrections and Payr</t>
  </si>
  <si>
    <t>Fiche 281.14 - Zone 2.099 incorrect printed</t>
  </si>
  <si>
    <t>Belcotax: XML download Zone 2.036 and Zone 2.018 declared wr</t>
  </si>
  <si>
    <t>BELCOTAX: Certificate 281.25 Declaration - Delivery of new r</t>
  </si>
  <si>
    <t>BELCOTAX:  Zones using evaluation class 14 values in case of</t>
  </si>
  <si>
    <t>BELCOTAX:  Zones 2.093 in fiches 281.10 and 281.20 not corre</t>
  </si>
  <si>
    <t>BELCOTAX: Leave date (2.056) not generated in case of shifte</t>
  </si>
  <si>
    <t>SOCIAL BALANCE: Employee Data by the end of the selected per</t>
  </si>
  <si>
    <t>New rates for factory shutdown fund 2014</t>
  </si>
  <si>
    <t>Social Insurance 2014 / Q1 Contribution Rates</t>
  </si>
  <si>
    <t>New Holiday Pay - Payroll Driver stops in calculation rule X</t>
  </si>
  <si>
    <t>DmfA/DmfAPPL - Legal Changes Q1/2014</t>
  </si>
  <si>
    <t>DEV - BSPLT - Align IT splits on SV splits (/30E Retro)</t>
  </si>
  <si>
    <t>Fiche 281.16 - Birthday's date in the wrong format</t>
  </si>
  <si>
    <t>DmfA/DmfAPPL Q1/2014 - Glossary Changes</t>
  </si>
  <si>
    <t>HBRSEF00: wrong error message when reading IT0009</t>
  </si>
  <si>
    <t>Income Declaration: Alimony on PLR in Frame 7</t>
  </si>
  <si>
    <t>DIRF and Income Declaration: Private Welfare on PLR</t>
  </si>
  <si>
    <t>DIRF: Earnings lower than the DIRF's limit</t>
  </si>
  <si>
    <t>DIRF: RIO record is generated with zero amount</t>
  </si>
  <si>
    <t>HBRCFER0: ABAP technical enhancement</t>
  </si>
  <si>
    <t>Exemption from social contribution for construction site</t>
  </si>
  <si>
    <t>eSocial - General events - Phase 2014/06</t>
  </si>
  <si>
    <t>eSocial - DDIC Phase 2014/06</t>
  </si>
  <si>
    <t>eSocial - Framework Phase 2014/06</t>
  </si>
  <si>
    <t>eSocial - Events S-2400 and S-2405 implementation - Phase 20</t>
  </si>
  <si>
    <t>eSocial - Event S-1300 - Eventos Periódicos - Pagamentos Div</t>
  </si>
  <si>
    <t>eSocial - Monitor of Events - Phase 2014/06</t>
  </si>
  <si>
    <t>TAX: QHC exemption annualized amount incorrect</t>
  </si>
  <si>
    <t>Errors in QHC Calculation effective 2014</t>
  </si>
  <si>
    <t>YE13: Footnote code 211 amounts to be split into cash and ki</t>
  </si>
  <si>
    <t>YE13: REL1 Certain Footnote codes not showing on form</t>
  </si>
  <si>
    <t>WHT VD: EMP-ACI: RPLQSTC0 (MFA), summarizing events II</t>
  </si>
  <si>
    <t>HR CH (CE): Wage statement, comment does not generate second</t>
  </si>
  <si>
    <t>HR CH (CE): FAK main contract, additional check for validity</t>
  </si>
  <si>
    <t>WHT VD: EMP-ACI: Negative amounts in LCs, (rule C6, C7)</t>
  </si>
  <si>
    <t>ELM 4.0 - AHV pay statement: Income from other periods</t>
  </si>
  <si>
    <t>HR CH (CE): FAK 'RPLFAKC1_CE': "Payment" list variant</t>
  </si>
  <si>
    <t>Annual payroll accounts: Program termination when displaying</t>
  </si>
  <si>
    <t>New withholding tax scales: Delimitation during import of sc</t>
  </si>
  <si>
    <t>HR CH: Family-related bonuses, 2013/2014, correction</t>
  </si>
  <si>
    <t>ELM 4.0: Incorrect AHV contribution for pensioners with allo</t>
  </si>
  <si>
    <t>Adjustment of Checkman errors (CL) (don't release it)</t>
  </si>
  <si>
    <t>[CL] Adjustment Off-cycle enablement for Payroll Chile</t>
  </si>
  <si>
    <t>[CL] Wrong labels in INE report output PDF</t>
  </si>
  <si>
    <t>[CL] General corrections for PREVIRED report</t>
  </si>
  <si>
    <t>[CL] Reliquidation is always calculated with IAS</t>
  </si>
  <si>
    <t>[CL] ISAPRE amounts are shown in PREVIRED when current Subpl</t>
  </si>
  <si>
    <t>[CL] HLACTRM0 cannot compensate negative vacation days</t>
  </si>
  <si>
    <t>[CL] Incorrect retroactive differences retrieval in Terminat</t>
  </si>
  <si>
    <t>[CL] CCAF includes wrong terminated employees</t>
  </si>
  <si>
    <t>[CL] Incorrect Family Allowances calculation</t>
  </si>
  <si>
    <t>Year End Bonus Taxation Incorrect When Monthly Salary Is 0</t>
  </si>
  <si>
    <t>Missing Content in Download File for China Individual Income</t>
  </si>
  <si>
    <t>Tax from interest and dividend on IIT report</t>
  </si>
  <si>
    <t>Add Option to Get Sick Leave Deduction Rate</t>
  </si>
  <si>
    <t>Get Organization Information from Latest Record of IT0001 in</t>
  </si>
  <si>
    <t>Error in Payroll Function P3533</t>
  </si>
  <si>
    <t>SEPA direct debit: Change to required execution date is not</t>
  </si>
  <si>
    <t>Infotype 0597: Time constraint Z is wrong</t>
  </si>
  <si>
    <t>SI: Composite SAP Note data exchange 1/2014</t>
  </si>
  <si>
    <t>Minimum leave remuneration for SRHC: Relevant hours company</t>
  </si>
  <si>
    <t>Leave with infotype 2006: Using the table T5DBF in payroll s</t>
  </si>
  <si>
    <t>Leave with infotype 0005: Vacation allowance too low (or neg</t>
  </si>
  <si>
    <t>MLR: Determination of hourly rates in the past for calculati</t>
  </si>
  <si>
    <t>Leave with infotype 2006: Error during creation of new recor</t>
  </si>
  <si>
    <t>DEUEV (UVMG): Corrections XXV</t>
  </si>
  <si>
    <t>DEUEV inbound notifications: Changes to data record DSKK</t>
  </si>
  <si>
    <t>PPO DEUEV: Corrections (11)</t>
  </si>
  <si>
    <t>DEUEV: Reporting persons without first name or last name</t>
  </si>
  <si>
    <t>ELStAM procedure: Corrections and improvements 11/2014</t>
  </si>
  <si>
    <t>ELStAM procedure: Improvements and corrections 10/2014</t>
  </si>
  <si>
    <t>ELStAM procedure: Incorrect registrations of all employees o</t>
  </si>
  <si>
    <t>ELStAM procedure: Improvements and corrections 12/2014</t>
  </si>
  <si>
    <t>ELStAM procedure: Clean-up report for the problem as of Marc</t>
  </si>
  <si>
    <t>EEL: Fictitious net calculation for part-time employees</t>
  </si>
  <si>
    <t>EEL: Corrections and enhancements (2/2014)</t>
  </si>
  <si>
    <t>Error when implementing PPO file for professionals pension s</t>
  </si>
  <si>
    <t>AAG: Fields in infotype 0700, subtype DBAU not filled correc</t>
  </si>
  <si>
    <t>BVV:  Notification report does not create notifications for</t>
  </si>
  <si>
    <t>BVV notifications: Runtime error OBJECTS_OBJREF_NOT_ASSIGNED</t>
  </si>
  <si>
    <t>PO: Corrections 02/2014</t>
  </si>
  <si>
    <t>Incorrect information message: "Check Shadow Cluster"</t>
  </si>
  <si>
    <t>PO: Cleanup of garnishment results XII</t>
  </si>
  <si>
    <t>Section 23c of the Code of Social Law (SGB) IV: Corrections</t>
  </si>
  <si>
    <t>Change of determination of addresses for notification proced</t>
  </si>
  <si>
    <t>New statement of contributions paid: Corrections I</t>
  </si>
  <si>
    <t>Challenged persons: Non-recurring payments during absences</t>
  </si>
  <si>
    <t>ETStmt: Special statement for 2014</t>
  </si>
  <si>
    <t>Calculation of structure equalization in case of a downgrade</t>
  </si>
  <si>
    <t>Contributions to health insurance/care insurance for pension</t>
  </si>
  <si>
    <t>Enhancing rule DOH4 by adding error message</t>
  </si>
  <si>
    <t>Pay scale level increase: Pay scale level not filled</t>
  </si>
  <si>
    <t>PY-DE-PS-NV</t>
  </si>
  <si>
    <t>Retroact.Pens.Insur.</t>
  </si>
  <si>
    <t>Considering reimbursements in accordance with Section 225 of</t>
  </si>
  <si>
    <t>Statement creation for imputations: Reduction according to s</t>
  </si>
  <si>
    <t>Salary-group-dependent constants for child-rearing bonuses a</t>
  </si>
  <si>
    <t>Public Services regulation, state of Hesse: 2nd DRModG XXII</t>
  </si>
  <si>
    <t>Fields in infotype 0780 cannot be hidden</t>
  </si>
  <si>
    <t>Error message when creating infotype IT 0786 for pension inf</t>
  </si>
  <si>
    <t>Pension equalization payment: '§ 10 paragraph 2 VersAusglG'</t>
  </si>
  <si>
    <t>Public Services regulation, state of Hesse: 2. DRModG XXIII</t>
  </si>
  <si>
    <t>Confirmed insurance policy number not recognized (after corr</t>
  </si>
  <si>
    <t>Administrative Änderungen (Checkman)</t>
  </si>
  <si>
    <t>Error during split assignment in notification program</t>
  </si>
  <si>
    <t>Notification program reverses/adjusts registration for the o</t>
  </si>
  <si>
    <t>Activation of subapplication ZVSZ in special cases</t>
  </si>
  <si>
    <t>WCA wage statement: Corrections IV</t>
  </si>
  <si>
    <t>Z4: Customer-spec. Determination of cross-border employees b</t>
  </si>
  <si>
    <t>Korrekturen Bescheinigungswesen 1/2014</t>
  </si>
  <si>
    <t>GARNT: Wage type /GM1 wrongly erased on retroactivity</t>
  </si>
  <si>
    <t>CONTRAT@: Employee rejected when the Tipo Llamamiento field</t>
  </si>
  <si>
    <t>BONIFICACIONES: Terrorism victims method for contracts keys</t>
  </si>
  <si>
    <t>Contributions Amounts 2014</t>
  </si>
  <si>
    <t>CRT2: Impossibility to define the exact period to report</t>
  </si>
  <si>
    <t>IRPF: Incorrect description of Subclv. perc. field in the in</t>
  </si>
  <si>
    <t>CRT2: Incorrect &amp;lt;FechaSuspensionExtincion&amp;gt; value in Certific</t>
  </si>
  <si>
    <t>TC: Performance improvement in CCC filter</t>
  </si>
  <si>
    <t>BONIFICACIONES: Firefighters bonification extended</t>
  </si>
  <si>
    <t>ERE: Incorrect unemployment contribution for employees</t>
  </si>
  <si>
    <t>TC: Reporting employee and company contributions separately</t>
  </si>
  <si>
    <t>190: Wrong format for model 345 when Pension Plan is activat</t>
  </si>
  <si>
    <t>190: Subkeys update to IRPF taxes for 2014</t>
  </si>
  <si>
    <t>CRA: Paid Wage Types Report</t>
  </si>
  <si>
    <t>TC: Wrong contribution base in case of temporary illness of</t>
  </si>
  <si>
    <t>TC: Doubled CD17 segment</t>
  </si>
  <si>
    <t>UTIL: General exception and log classes</t>
  </si>
  <si>
    <t>Artists Contribution Amounts for 2014</t>
  </si>
  <si>
    <t>Cret@: Transaction for the RPC_PAYES_CRETA_BASES Report</t>
  </si>
  <si>
    <t>Issue with Delimit function on V_T5E43, T5E44 and V_T5E50 vi</t>
  </si>
  <si>
    <t>RED 02/2014</t>
  </si>
  <si>
    <t>BONIFICACIONES: Wrong Unemployment Type for contract 401</t>
  </si>
  <si>
    <t>TC: Wrong EDTCA13 amount for partially-retired employees wit</t>
  </si>
  <si>
    <t>CRA: General Corrections to Paid Wage Types report</t>
  </si>
  <si>
    <t>HRFI: HFILTAX0 - wrong tax distribution</t>
  </si>
  <si>
    <t>HRFI: HFICDTA0 - Trade union reference shortened</t>
  </si>
  <si>
    <t>HRFI: HFILTUM0 - payee name is missing in the output.</t>
  </si>
  <si>
    <t>RPCALCF0: Error when calculate SFT</t>
  </si>
  <si>
    <t>Error in the dynamic computation of the threshold prorata if</t>
  </si>
  <si>
    <t>Creating and update Social Security values</t>
  </si>
  <si>
    <t>Adapt dynamic action for IT0002 to fill SSN and SSK</t>
  </si>
  <si>
    <t>N4DS V01X08: Error in S40.G10.05.012.006</t>
  </si>
  <si>
    <t>N4DS S45.G05.15.002.001: new tranches to consider</t>
  </si>
  <si>
    <t>N4DS - Field S65.G40.10.023.004 and S65.G40.10.023.005 are i</t>
  </si>
  <si>
    <t>N4DS: S45 and optional complementary health insurance</t>
  </si>
  <si>
    <t>N4DS: Wrong S40 is created or reason code for field S40.G01.</t>
  </si>
  <si>
    <t>Some bonuses declared in S40.G28.10 shall not be included in</t>
  </si>
  <si>
    <t>Program RPLN4EF0 does not extract all employees included in</t>
  </si>
  <si>
    <t>N4DS: wrong S45.G05.15 amounts in case of cluster split</t>
  </si>
  <si>
    <t>N4DS : Use improvement of infotype 0424 / subtype ATT regard</t>
  </si>
  <si>
    <t>Field S60.G05.00.004 is always filled regardless of the rece</t>
  </si>
  <si>
    <t>IT3340: fix for S60.G05* sections</t>
  </si>
  <si>
    <t>In case of complementary payment for year Y-1 in year Y, the</t>
  </si>
  <si>
    <t>N4DS V01X08: S60.G05.00 Inactivity period should not overlap</t>
  </si>
  <si>
    <t>N4DS S44.G40.05.003.001: missing qualifier field in reconcil</t>
  </si>
  <si>
    <t>Form 2483 for Vocational Trainings of year 2013</t>
  </si>
  <si>
    <t>RPLN4AF0 : Personal number in selection screen doesn't work</t>
  </si>
  <si>
    <t>N4DS: Missing reason codes for field of S40.G01.00 in case o</t>
  </si>
  <si>
    <t>AED: runtime error INTERVAL_NOT_WITHIN_COLLECTION</t>
  </si>
  <si>
    <t>Meal Vouchers: sort option in the selection screen not worki</t>
  </si>
  <si>
    <t>Additional manual step required for N4DS declaration</t>
  </si>
  <si>
    <t>Runtime error in report RPLBS1F0 with exception CONVT_NO_NUM</t>
  </si>
  <si>
    <t>2014 parameters for french payroll II</t>
  </si>
  <si>
    <t>CICE: amount in wage type PCI0 is wrong when CICE threshold</t>
  </si>
  <si>
    <t>All the SV splits in the same payroll periods are accumulate</t>
  </si>
  <si>
    <t>Errors in customizing of wage types /RS1 and /4CA</t>
  </si>
  <si>
    <t>Payroll France: retroactive introduction of an interim contr</t>
  </si>
  <si>
    <t>Correction of message 070 and 071  of class HRPAYFR_N4DS</t>
  </si>
  <si>
    <t>Simulation or activation of decrees ends with status PTEL(pa</t>
  </si>
  <si>
    <t>Maternity qualifying periods</t>
  </si>
  <si>
    <t>HR-GB: IT0065 tax code source is P9X, tax code is reverted</t>
  </si>
  <si>
    <t>PY-GB: PAE: Proposed AE Thresholds 2. for 2014/15</t>
  </si>
  <si>
    <t>PY-GB: DEA court Order correction</t>
  </si>
  <si>
    <t>PY-GB: EOY: Produce report for more than the last 6 years</t>
  </si>
  <si>
    <t>PY-GB: RTI: RTI/RTINI headers are displayed incorrectly</t>
  </si>
  <si>
    <t>RTI: Rehires/ change of tax reference and New RTI Net pay/ G</t>
  </si>
  <si>
    <t>RTI: SCON / SSP YTDs / P6 for Pensioners LNS / rehires</t>
  </si>
  <si>
    <t>PY-GB: PAE: Mass Opt-Out Report fail with date 00.00.0000</t>
  </si>
  <si>
    <t>PY-GB: PAE: Minimum Entitlement Check</t>
  </si>
  <si>
    <t>HR-GB: IT65 Starter Declaration field is cleared</t>
  </si>
  <si>
    <t>Exception condition CNTL_ERROR: RPCPENCONG0</t>
  </si>
  <si>
    <t>PY-GB: RPCP60G0 spool output in new spool</t>
  </si>
  <si>
    <t>PY-GB: Checkman corrections</t>
  </si>
  <si>
    <t>HR GB:RTI: FPS addition of Questions and Declaration</t>
  </si>
  <si>
    <t>PY-GB-PS: LGPS 2014: APP for Adoption/Maternity/Paternity</t>
  </si>
  <si>
    <t>PY-GB-PS: LGPS 2014: Pilot Bug Fixes II</t>
  </si>
  <si>
    <t>PY-GB-PS: LGPS 2014: APP for Sickness</t>
  </si>
  <si>
    <t>PY-GB-PS: LGPS 2014: Pilot Bug Fixes III</t>
  </si>
  <si>
    <t>PY-GB-PS: LGPS 2014: Pilot Bug Fixes IV</t>
  </si>
  <si>
    <t>HHKCTXG0 Does Not Simulate Regular Payroll Results When Ther</t>
  </si>
  <si>
    <t>ESS: Legal Form IR56E for Hong Kong</t>
  </si>
  <si>
    <t>Error When Reprinting Replacement IR56F/G for Inactive EE</t>
  </si>
  <si>
    <t>IR56B Control List: Incorrect Display Sequence of Total Empl</t>
  </si>
  <si>
    <t>IR56B: Negative Amount Are Cleared Before Adjustment</t>
  </si>
  <si>
    <t>IR56E Form Spelling Error</t>
  </si>
  <si>
    <t>IR56B Signature Underlines Not Align with Signature Field</t>
  </si>
  <si>
    <t>Dummy Note --- ID Checkman correction</t>
  </si>
  <si>
    <t>1721 A1 - Off-cycle payroll result is not included(force ret</t>
  </si>
  <si>
    <t>HIDCJAM0-Payroll area change in middle of payroll period.</t>
  </si>
  <si>
    <t>PY-IE: CSO report -Nat. Min. wage fields corrections</t>
  </si>
  <si>
    <t>PY-IE: Deactivating report HIEUDIR0</t>
  </si>
  <si>
    <t>PY-IE: Not generating P45P3/P46 after ERN change</t>
  </si>
  <si>
    <t>PY-IE: EOY, PRDable pay related corrections</t>
  </si>
  <si>
    <t>PY-IE: P45 XML rejects a leaver-rehire EE incorrectly</t>
  </si>
  <si>
    <t>HINCF160: Form 16 PAN Download and Email scenarios</t>
  </si>
  <si>
    <t>Exemption Under Sec 80 D : Error while updating Actual and p</t>
  </si>
  <si>
    <t>HINCF24Q: In case late fee is mentioned for a period same is</t>
  </si>
  <si>
    <t>PPF: Investment limit changes</t>
  </si>
  <si>
    <t>Length of Name &amp; Address Of Employer on Form 12BA</t>
  </si>
  <si>
    <t>RPCALCI0: T5ITP4 wrong raised error on TFR calculation</t>
  </si>
  <si>
    <t>F24: Validator rejects CBI File due to a wrong sort</t>
  </si>
  <si>
    <t>UNIEMENS: wrong value of   &amp;lt;GIORNO&amp;gt;&amp;lt;LAVORATO&amp;gt; in case of pro</t>
  </si>
  <si>
    <t>Missing object for 604 release of SAP note 1657368</t>
  </si>
  <si>
    <t>Wrong validation of city on infotype 0006</t>
  </si>
  <si>
    <t>RPCUEXI0 wrongly displaying fields in case of rehire in the</t>
  </si>
  <si>
    <t>Missing field in the PS0306 structure for 6.04 release</t>
  </si>
  <si>
    <t>HR-IT: ASPI Contribution Reimbursement 2014</t>
  </si>
  <si>
    <t>HR-IT: Table View V_T5ITUD_COPY does not work</t>
  </si>
  <si>
    <t>F24 report is wrongly considering sign for INPS fields</t>
  </si>
  <si>
    <t>CUD 2014 field IMPOFINICS wrongly created in the CUD structu</t>
  </si>
  <si>
    <t>CUD 2014 Corrections III</t>
  </si>
  <si>
    <t>Directory traversal in PY-IT</t>
  </si>
  <si>
    <t>HR-IT: IRPEF (Addiz. Regionale all'IRPEF) 2014</t>
  </si>
  <si>
    <t>/4N0 is positive during year end balancing</t>
  </si>
  <si>
    <t>RPCRTSJ0: Short dump for wage types with processing class 47</t>
  </si>
  <si>
    <t>HJPULA_GRTIMEOF: Incorrect B2 Data for PERMO Other Than 01</t>
  </si>
  <si>
    <t>Incorrect /3K1&amp;/3D1 during Retro over Shoyo Results</t>
  </si>
  <si>
    <t>RPCEADJ0: Prev Info incorrect with Multiple EE output</t>
  </si>
  <si>
    <t>PY-JP-RP-LI</t>
  </si>
  <si>
    <t>Lab. Ins. Statement</t>
  </si>
  <si>
    <t>LC2014: Report for Rate Change of General Contribution for A</t>
  </si>
  <si>
    <t>RPCNRPJ0: Retirement Allowance Data Missing When Using IT001</t>
  </si>
  <si>
    <t>Amounts maintained in IT3542 subtype 2 should not be accumul</t>
  </si>
  <si>
    <t>2014 New Employees' Payment Issue</t>
  </si>
  <si>
    <t>Correction for Negative Amount in HKRSEPR0 and Standard Dedu</t>
  </si>
  <si>
    <t>LC2014: New Calculation Logic of Special Deduction for YEA S</t>
  </si>
  <si>
    <t>LC 2014: Special deduction for YEA simulation tax method</t>
  </si>
  <si>
    <t>Enhancement: Printing Financial Institution description text</t>
  </si>
  <si>
    <t>YEA DME Error for Foreigner Tax Method and No Separation DME</t>
  </si>
  <si>
    <t>LC2014: New Form Format of YEA Receipt Form</t>
  </si>
  <si>
    <t>LC2014: Employment Insurance entitlement over 65 years old</t>
  </si>
  <si>
    <t>KO translation of item 61 &amp; 62 on page 2 of KR YEA receipt i</t>
  </si>
  <si>
    <t>Note text under Non-taxable Income title on Withholding earn</t>
  </si>
  <si>
    <t>PY-KW: Kuwaitization Report (HKWKWTRP)</t>
  </si>
  <si>
    <t>HR-KZ: Legal change in tax Form 200 since 2014</t>
  </si>
  <si>
    <t>HR-KZ: DME, Using Requested Execution Date for payments</t>
  </si>
  <si>
    <t>[MX] Payroll Operation for reading Minimum Daily Wage</t>
  </si>
  <si>
    <t>[MX] Internal reusable routines for México</t>
  </si>
  <si>
    <t>[MX] Missing Company code in BADI_MXRFC_PERIOD BAdI</t>
  </si>
  <si>
    <t>[MX] Documentation for MX Tax Reform 2014</t>
  </si>
  <si>
    <t>[MX] Incorrect generation of SDI records in retro</t>
  </si>
  <si>
    <t>[MX] HMXCAFL0 does not display preliminary information</t>
  </si>
  <si>
    <t>Correction for off-cycle tax calculation</t>
  </si>
  <si>
    <t>Correction for BIK code in EA form</t>
  </si>
  <si>
    <t>Enhancement for retrieving cross period records of T512W in</t>
  </si>
  <si>
    <t>Correction for the EA Summary form when Merging Employee Rec</t>
  </si>
  <si>
    <t>Correction in EA Form Splitted by Feature LTSPT</t>
  </si>
  <si>
    <t>Correction the inconsistency between "EA Summary Form" and "</t>
  </si>
  <si>
    <t>Correction for calculating CP8D monthly selection condition</t>
  </si>
  <si>
    <t>Correction for semi-monthly expat EPF calculation</t>
  </si>
  <si>
    <t>Adjustment for CP22A form section B and C</t>
  </si>
  <si>
    <t>Jaaropgave Werknemer: Report RPCJWN1 does not create the Ann</t>
  </si>
  <si>
    <t>WCR and WR for Terminated Legal Person</t>
  </si>
  <si>
    <t>Jaaropgave Werknemer: Annual statement prints the special in</t>
  </si>
  <si>
    <t>Payroll dumps with overflow in field lf_xboven in FM HR_NL_L</t>
  </si>
  <si>
    <t>Aangifte LH: Updates in Codes for Sector/Premiegroup 52</t>
  </si>
  <si>
    <t>Correction of documentation wage types /68*</t>
  </si>
  <si>
    <t>WCR: Final levy calculation for legal persons with final set</t>
  </si>
  <si>
    <t>HRNO: SPK - correction of issues - February 2014</t>
  </si>
  <si>
    <t>HRNO: Limit of reimbursed maternity days for HA</t>
  </si>
  <si>
    <t>EDAG - March 2014 [1/3] - Corrections &amp; improvements</t>
  </si>
  <si>
    <t>EDAG - March 2014 [2/3] - Corrections &amp; improvements</t>
  </si>
  <si>
    <t>HRNO: Incorrect tax calculation for tax tables 0100, 0101, 0</t>
  </si>
  <si>
    <t>HRNO: eTaxCard - Correction of issues - March 2014</t>
  </si>
  <si>
    <t>HRNO: Holiday Allowance for Reimbursable AP</t>
  </si>
  <si>
    <t>RPUTILV1 - March 2014 - Corrections &amp; improvements</t>
  </si>
  <si>
    <t>ACF - March 2014 - Corrections &amp; improvements</t>
  </si>
  <si>
    <t>EDAG - March 2014 [3/3] - Corrections &amp; improvements</t>
  </si>
  <si>
    <t>Subtype Missing in Overview Screen of IT3244</t>
  </si>
  <si>
    <t>EVE Attribute MOGED Returns Incorrect Value</t>
  </si>
  <si>
    <t>PC00_MUN_PSR : Report Execution Results in Error</t>
  </si>
  <si>
    <t>ESS: Add Additional Fields to Rental Subsidy Estimator PDF</t>
  </si>
  <si>
    <t>Rental Subsidy : System Does Not Stop Creating a Record on t</t>
  </si>
  <si>
    <t>System Does not  Allow More than 40 Characters of Text for F</t>
  </si>
  <si>
    <t>PC00_MUN_PSR does not instantiate the BADI implementation</t>
  </si>
  <si>
    <t>System does not save the value of field 'New Comer' in PA095</t>
  </si>
  <si>
    <t>Dependency Allowance : Government Grant</t>
  </si>
  <si>
    <t>Dependency Allowance  : Integration of Austrian Government G</t>
  </si>
  <si>
    <t>PY-NZ: Termination workbench displays incorrect value</t>
  </si>
  <si>
    <t>HR-PT: RPUPAV00 for Portugal (molga 19) Corrections</t>
  </si>
  <si>
    <t>RPCCESP0: Corrections 2013</t>
  </si>
  <si>
    <t>Single Report: Strikes in Azores being counted by Attach. E</t>
  </si>
  <si>
    <t>RPCALCP0: ADSE deduct. being applied for exempt employees</t>
  </si>
  <si>
    <t>Single report new absence process in the att. 0</t>
  </si>
  <si>
    <t>Localization of payroll functionalities for the Portuguese b</t>
  </si>
  <si>
    <t>IRS Surcharge 2014 - Corrections III</t>
  </si>
  <si>
    <t>RPCIIDP0: general corrections II</t>
  </si>
  <si>
    <t>Monthly Income Declaration: New income subcategories – Corre</t>
  </si>
  <si>
    <t>RPCOVRP0: overtime records not generated with WPBP splits</t>
  </si>
  <si>
    <t>Report RPCNRRP0 - retrocalculation values wrongly reported</t>
  </si>
  <si>
    <t>Single Report: Legal changes for version 2013</t>
  </si>
  <si>
    <t>SIOE: Corrections I - 2014</t>
  </si>
  <si>
    <t>Wrong employer compensation for CGA with four days week regi</t>
  </si>
  <si>
    <t>Wrong tables for the calculation of IRS categoy H</t>
  </si>
  <si>
    <t>Family Allowance: Corrections 2014</t>
  </si>
  <si>
    <t>CGA Correction package 2014 I</t>
  </si>
  <si>
    <t>Social Balance Public Sector 2013</t>
  </si>
  <si>
    <t>Issues in report HQAPPSIC0</t>
  </si>
  <si>
    <t>Checkman</t>
  </si>
  <si>
    <t>PY-QA: ID Number Validation for Dependents</t>
  </si>
  <si>
    <t>Integration of travel management module with RU HCM payroll</t>
  </si>
  <si>
    <t>HR-RU: Federal law 421-FZ at 28.12.2013 on the special asses</t>
  </si>
  <si>
    <t>HR-RU: Average calculation by current period with SPPE2 (or</t>
  </si>
  <si>
    <t>2-NDFL: XML-file with empty element &amp;lt;AdrMZRF&amp;gt; does not pass</t>
  </si>
  <si>
    <t>New Form RSV-1 in 2014 year</t>
  </si>
  <si>
    <t>LC RU HCM: New printed form layout for 4-FSS legal from for</t>
  </si>
  <si>
    <t>HCM-RU: DDIC objects for note 1993752</t>
  </si>
  <si>
    <t>Inheriting from class CL_HRPAYRU_SVWCC is impossible</t>
  </si>
  <si>
    <t>RPLSPPS2 - Alecta monthly insurance report in XML format</t>
  </si>
  <si>
    <t>HRSE: Alecta - /118 as paid principle correction</t>
  </si>
  <si>
    <t>HRSE: RPSINSS0 - Absences starting on same day, Reporting of</t>
  </si>
  <si>
    <t>HRSE: new record in VACS table - op. SUURL  quota 30</t>
  </si>
  <si>
    <t>HRSE: Wrong KLBEW for Sick Absence with prev day indicator</t>
  </si>
  <si>
    <t>HRSE: EC - separate report generated for each JUPER</t>
  </si>
  <si>
    <t>HRSE: Update tax limit /43L</t>
  </si>
  <si>
    <t>HRSE: Feature '23RDW' adjusted for more groups of Employees</t>
  </si>
  <si>
    <t>HRSE: Debt in period in which EE was hired</t>
  </si>
  <si>
    <t>HRSE: Security - File input directory traversal check</t>
  </si>
  <si>
    <t>HRSE:EC position text in other language</t>
  </si>
  <si>
    <t>DUMMY NOTE for CHECKMAN ERROR</t>
  </si>
  <si>
    <t>Correction for Missing Text in Customizing Table about IT336</t>
  </si>
  <si>
    <t>/309 Stabilize Solution Switch</t>
  </si>
  <si>
    <t>IR8A: Same sub-record should be combined into 1 records when</t>
  </si>
  <si>
    <t>IR21 Form 2014 New Layout(PDF Form)</t>
  </si>
  <si>
    <t>Correction to note 1970785 - IR8A report got dump in ESS</t>
  </si>
  <si>
    <t>Unable to generate MSO file for Retro when MSO delimit</t>
  </si>
  <si>
    <t>Middle month UEN number change leads to inccorect CPF calcul</t>
  </si>
  <si>
    <t>NRS Reporting Dump when Variable Allowance Length is more th</t>
  </si>
  <si>
    <t>TOW Projection incorrect for employee status change from EXE</t>
  </si>
  <si>
    <t>RPCCPFR0 CPF total contribution amount is not correct</t>
  </si>
  <si>
    <t>IR8A: ESS application bug fix</t>
  </si>
  <si>
    <t>Adjustment of Earnings Calculation Period in IR8A Depends on</t>
  </si>
  <si>
    <t>NRS Reporting XML Decmal Remove</t>
  </si>
  <si>
    <t>PY-SG: Report "Delete IR8A cluster results"(RPDELCR0) got du</t>
  </si>
  <si>
    <t>IR8S: Negative Value in Section A Additional Wages will be i</t>
  </si>
  <si>
    <t>IR8A: Inconsistant value of Appendix 8A Item 2 among the SAP</t>
  </si>
  <si>
    <t>ABAP Dump while running IR21 form after SP71</t>
  </si>
  <si>
    <t>Rounding Method Update for CPF Monthly Report (Pensionable)</t>
  </si>
  <si>
    <t>PY-TH:Unable to Generate 50 BIS if there is no SS and PF con</t>
  </si>
  <si>
    <t>Incorrect Minimum SS Calculation for Semi-Monthly Employees</t>
  </si>
  <si>
    <t>Report HTHCTX91: PIT91 Form Item 6 of Section A Missing</t>
  </si>
  <si>
    <t>PIT91 PDF Form Display Incorrect Overpaid Tax on First Page</t>
  </si>
  <si>
    <t>PIT91 sapscript form text missing and text highlights adjust</t>
  </si>
  <si>
    <t>TW Tax Certificate Report: Not Able to Re-print EWF Income</t>
  </si>
  <si>
    <t>Get personnel area/subarea from WPBP in report HTWLSHI0</t>
  </si>
  <si>
    <t>Sorting Sequence When Calculating NHI Premium for Family Mem</t>
  </si>
  <si>
    <t>HTWCTXM0: Incorrect Income When Retro Happens in the Same Ye</t>
  </si>
  <si>
    <t>LI/NHI/SNHI Report (HTWLCE00): Organizational Unit Display I</t>
  </si>
  <si>
    <t>USCLM: No further processing when payment outside of payroll</t>
  </si>
  <si>
    <t>BSI: Synchronize Payroll Tax Data - General Corrections</t>
  </si>
  <si>
    <t>BSI: Required TUB level for Synchronize Payroll Tax Data too</t>
  </si>
  <si>
    <t>BSI: Sync. Payroll Tax Data is generating duplicated tax aut</t>
  </si>
  <si>
    <t>VETS: Detailed list shows wrong employee category.</t>
  </si>
  <si>
    <t>TR: Complex Scenarios for Reporting Additional Medicare</t>
  </si>
  <si>
    <t>TR: Form W-2 PR with incorrect values in Boxes 7 and 11</t>
  </si>
  <si>
    <t>TR: Form 1099R has issues in Percentage of Total fields</t>
  </si>
  <si>
    <t>TR: Incorrect layout for Multiple Worksite Correction forms</t>
  </si>
  <si>
    <t>TR: SUI magnetic media for NM does not report WC Fees Due</t>
  </si>
  <si>
    <t>TR: Form 1099R with Distribution Code 2</t>
  </si>
  <si>
    <t>TR: Corrected W-2 run in background shows incorrect word COR</t>
  </si>
  <si>
    <t>TR: W-2c PR lines 6-24 show corrected amount when no correct</t>
  </si>
  <si>
    <t>TR: Form 941 for 2014</t>
  </si>
  <si>
    <t>Q1/2014: Functional changes for U.S. Tax Reporter.</t>
  </si>
  <si>
    <t>TAX: Base wages incorrect when EE has supplemental payment</t>
  </si>
  <si>
    <t>TAX: Tax types incorrectly accounted as out-of-state credit</t>
  </si>
  <si>
    <t>TAX: Changes to existing USTAX objects required for Foreign</t>
  </si>
  <si>
    <t>TAX: Foreign Earned Income withholding exemption.</t>
  </si>
  <si>
    <t>Wage type assignments missing in V_T51P1</t>
  </si>
  <si>
    <t>[VE] Days of social benefits in termination process</t>
  </si>
  <si>
    <t>[VE] Documentation:Customizing activities for conf.options</t>
  </si>
  <si>
    <t>Checkman Errors for ZA</t>
  </si>
  <si>
    <t>Difference of Zero carried forwarded with incorrect split va</t>
  </si>
  <si>
    <t>SARS Code 3906 Reported Incorrectly in Scenarios with Split</t>
  </si>
  <si>
    <t>Budget changes 2014 - 2015</t>
  </si>
  <si>
    <t>South Africa - COID Threshold changed : Tax Year 2015</t>
  </si>
  <si>
    <t>Medical Aid Tax Credit for Employees over 65 years old</t>
  </si>
  <si>
    <t>BC-BMT-OM</t>
  </si>
  <si>
    <t>Organizational Mgt</t>
  </si>
  <si>
    <t>Icon 'Cancel' in a PNP-report doesn't work</t>
  </si>
  <si>
    <t>LSO: Portal application with integration with Time Managemen</t>
  </si>
  <si>
    <t>BC-BMT-OM-ALE</t>
  </si>
  <si>
    <t>Distribution</t>
  </si>
  <si>
    <t>HRMD_A: Enhanced segments</t>
  </si>
  <si>
    <t>HR ALE inbound processing: Tracking of infotype changes</t>
  </si>
  <si>
    <t>0HR_PA_OS_1: field OCC_VAC_PERC percentage incorrect</t>
  </si>
  <si>
    <t>Time data extraction: New employees are not extracted (2)</t>
  </si>
  <si>
    <t>Employee Search InvalidUrlRuntime if e-mail contains space</t>
  </si>
  <si>
    <t>Check Message User controlled dynamic program unit call</t>
  </si>
  <si>
    <t>HRAUTH: CheckMan notes</t>
  </si>
  <si>
    <t>SAPDBPNP:  runtime analysis check</t>
  </si>
  <si>
    <t>HRBEN0003 is unable to stop Employee Participation in Plans</t>
  </si>
  <si>
    <t>Enrollment Tool using wrong dates when determining eligibili</t>
  </si>
  <si>
    <t>HRBEN0001 - Showing closed plans for future Validity date.</t>
  </si>
  <si>
    <t>BEN: Short dump in RPCALCU0 when processing saving plans</t>
  </si>
  <si>
    <t>Pre-deduction not considered for rehire in same period</t>
  </si>
  <si>
    <t>BENTAB Not Created When Infotype 0170 Start Date Moved</t>
  </si>
  <si>
    <t>PA-BN-CE</t>
  </si>
  <si>
    <t>Conc.Empl.-Benefits</t>
  </si>
  <si>
    <t>BEN: Benefit salary not being calculated in Concurrent Emplo</t>
  </si>
  <si>
    <t>HRCLM0001 transaction is including rejected Claims also whil</t>
  </si>
  <si>
    <t>‘No entry for program grouping' error is thrown while execut</t>
  </si>
  <si>
    <t>Error while calculating key dates for COBRA coverage continu</t>
  </si>
  <si>
    <t>PA-BN-ES</t>
  </si>
  <si>
    <t>Empl. Self-Service</t>
  </si>
  <si>
    <t>'No Entry for Benefit Area' error while enrolling into plans</t>
  </si>
  <si>
    <t>Long selection for a high number of single values in the log</t>
  </si>
  <si>
    <t>PD-PA Integration: Error 5A 297 ("Object P &amp;2 is locked by u</t>
  </si>
  <si>
    <t>PD-PA Integration: Short dump GETWA_NOT_ASSIGNED</t>
  </si>
  <si>
    <t>PPOME: IT1018: Incorrect message: Infotype 1018 is not allow</t>
  </si>
  <si>
    <t>Cost center: Performance problems when reading cost centers</t>
  </si>
  <si>
    <t>PPOME: Account assignment change of the IT1008 interval when</t>
  </si>
  <si>
    <t>PPOME/PP01: No check personnel area/personnel subarea: Highe</t>
  </si>
  <si>
    <t>Order number is not copied from cost distribution (IT0027)</t>
  </si>
  <si>
    <t>Correction report for removing inconsistencies in case of va</t>
  </si>
  <si>
    <t>RHSBES00: "Unterdeckung %" column header in German</t>
  </si>
  <si>
    <t>Error "Personnel number &amp; invalid" in activity allocation</t>
  </si>
  <si>
    <t>Partial vacancy: Incorrect name for report and function modu</t>
  </si>
  <si>
    <t>Correction report for the field FIKRS in IT 1018</t>
  </si>
  <si>
    <t>Reassigning persons with future data impossible</t>
  </si>
  <si>
    <t>IT0027  Deletion of a further line when deleting a selected</t>
  </si>
  <si>
    <t>WBS element is not copied from cost distribution (IT0027)</t>
  </si>
  <si>
    <t>Vacancy dialog box for limited contracts</t>
  </si>
  <si>
    <t>Funds center description is incorrect</t>
  </si>
  <si>
    <t>RHT750XADJUSTMENT endless loop</t>
  </si>
  <si>
    <t>Report RHVACADJUST bricht mit Kurzdump ab</t>
  </si>
  <si>
    <t>RHT750Xadjust: Wrong head in case of change</t>
  </si>
  <si>
    <t>System dump for more than 10 000 entries in Pa0105</t>
  </si>
  <si>
    <t>IT1007: Query of status only</t>
  </si>
  <si>
    <t>rhvacadjust: Performance correction</t>
  </si>
  <si>
    <t>PPOME: Change in sequence results in error message</t>
  </si>
  <si>
    <t>Postal Codes - Check for foreign address in IT0009, IT0011 &amp;</t>
  </si>
  <si>
    <t>Wrong possibility to enter postal code with more than 5 char</t>
  </si>
  <si>
    <t>PA-PA-CH</t>
  </si>
  <si>
    <t>ELM 4.0: Partial delivery in preparation for ELM 4.0 (maximu</t>
  </si>
  <si>
    <t>IT2001: Termination when copying related absences</t>
  </si>
  <si>
    <t>Infotype 0004; reference number, administrative office</t>
  </si>
  <si>
    <t>Garnishment info type IT0904 ready for HR Renewal</t>
  </si>
  <si>
    <t>IT0016: Inclusion of the contract type in pay scale periods</t>
  </si>
  <si>
    <t>SSOCIAL: Issue with P0061-BERKT field search help</t>
  </si>
  <si>
    <t>CP: Report RPUMCGE0 cannot print contracts massively</t>
  </si>
  <si>
    <t>HRFI: Garnishment RF reference number (IT0228)</t>
  </si>
  <si>
    <t>SWIFT code and Bank name in detail screen of infotype 0272 /</t>
  </si>
  <si>
    <t>DP AO HRTIM_MAT: Absence destruction for France country spec</t>
  </si>
  <si>
    <t>Proposed values for decrees with field name SUBTY maintained</t>
  </si>
  <si>
    <t>Frame "Autres" is not displayed around the additional fields</t>
  </si>
  <si>
    <t>PA-PA-GB:IT0442:Incorrect ObjectID increm. (more than 99)</t>
  </si>
  <si>
    <t>PA-PA-GB: SL2 incoming electronic form unable to update IT</t>
  </si>
  <si>
    <t>PA-PA-GB: IT65 Starter Declaration is required-5G357</t>
  </si>
  <si>
    <t>PA-PA-GB:IT0442:Unable to access the Car Database</t>
  </si>
  <si>
    <t>PA-PA-ID</t>
  </si>
  <si>
    <t>Add first name and last name in IT0002</t>
  </si>
  <si>
    <t>RPLSHOJ3: Incorrect display for Date of Acquisition</t>
  </si>
  <si>
    <t>RPLLIDJ3: Blank Page is Wrongly Output on LID Form</t>
  </si>
  <si>
    <t>IT0143: Life Insurance Company Names Not Checked for Acciden</t>
  </si>
  <si>
    <t>ESS YEA: Feature 22SPO is not considered</t>
  </si>
  <si>
    <t>LC2014: Leave Information and Statutory Forms for Maternity</t>
  </si>
  <si>
    <t>Area Menu for Defining Shukko Partners Does Not Work</t>
  </si>
  <si>
    <t>LC2014: IT0544 Changes for EI entitlement over 65 Years Old</t>
  </si>
  <si>
    <t>RPTZKMN2: New UWV Forms Q1/2014</t>
  </si>
  <si>
    <t>Pension Return NL - Achmea: Wrong WT assign. to indicator 20</t>
  </si>
  <si>
    <t>Standard texts are copied with the same identifier</t>
  </si>
  <si>
    <t>Deduction amount is not fully showed</t>
  </si>
  <si>
    <t>Corrections in 4-FSS printed form layout for 2014 year</t>
  </si>
  <si>
    <t>Garnishment Documents decoupling class clean up</t>
  </si>
  <si>
    <t>Garnishment Orders decoupling class clean up</t>
  </si>
  <si>
    <t>Correct N1992471 for Column Order</t>
  </si>
  <si>
    <t>NRS XML File Decimal Layout Correction</t>
  </si>
  <si>
    <t>NRS Rounding Issue in XML Output</t>
  </si>
  <si>
    <t>PA-PA-TH: Infotype 0002 Dump for Convert to Number Exception</t>
  </si>
  <si>
    <t>LC-TH: New Province in Thailand (Bueng kan)</t>
  </si>
  <si>
    <t>IT0077 - New options for Veteran and Disability Status</t>
  </si>
  <si>
    <t>IT0077 - New options for Disability Status</t>
  </si>
  <si>
    <t>IT1613: Validity of the Standard Occupational Code is not co</t>
  </si>
  <si>
    <t>BEN: Carryover for Health Care FSA</t>
  </si>
  <si>
    <t>BEN: Carryover for Health Care FSA (Payroll Integration)</t>
  </si>
  <si>
    <t>BEN: Carryover for Health Care FSA - Phase II</t>
  </si>
  <si>
    <t>BEN: Carryover for Health FSA - Consolidation</t>
  </si>
  <si>
    <t>Lock indicator missing in overview screen of IT0019</t>
  </si>
  <si>
    <t>PA40: Additional assignment: Reference Personnel Number chec</t>
  </si>
  <si>
    <t>SEPA mandate is not updated when the IBAN in infotype 0009 c</t>
  </si>
  <si>
    <t>PA30: Indirect valuation displays incorrect values in the ov</t>
  </si>
  <si>
    <t>NITF: Sequence of the update functions changed</t>
  </si>
  <si>
    <t>Payroll only includes SEPA mandates for the paying company c</t>
  </si>
  <si>
    <t>Infotype 0016: Contract end date of fixed-term work contract</t>
  </si>
  <si>
    <t>Error message PG230 when terminate an employee</t>
  </si>
  <si>
    <t>Match code on Personnel Area and Subarea does not work any m</t>
  </si>
  <si>
    <t>Formatted name of personal data doesn't get updated (PA0002)</t>
  </si>
  <si>
    <t>IT0105 Overview adds dash to phone # even when no extension</t>
  </si>
  <si>
    <t>Inconsistency with Employee Group/Subgroup Search Helps with</t>
  </si>
  <si>
    <t>PA41: Moving the leaving date assigns the following IT0001 r</t>
  </si>
  <si>
    <t>Infotype 0009: Message RP302 is raised erroneously</t>
  </si>
  <si>
    <t>Indirect valuation: Wage type amount incorrectly calculated</t>
  </si>
  <si>
    <t>Message PG210 is raised erroneously</t>
  </si>
  <si>
    <t>IT0001: Assignment to default position when performing leavi</t>
  </si>
  <si>
    <t>Person selection in RPUPAD00_SEPA_CHANGE_PAYMETH program doe</t>
  </si>
  <si>
    <t>Inconsistency with Personnel Area and Employee Subgroup F4 H</t>
  </si>
  <si>
    <t>IT0001: Change of position triggers message 5A323</t>
  </si>
  <si>
    <t>SEPA direct debit: Usability of SEPA mandate is not checked</t>
  </si>
  <si>
    <t>IT0008: Feature LGMST no longer taken into account when crea</t>
  </si>
  <si>
    <t>RPDASC00: Output is not correctly sorted</t>
  </si>
  <si>
    <t>Search Helps for Personnel Subarea and Employee Subgroup Do</t>
  </si>
  <si>
    <t>BAPI_PERSDATA_CREATE terminates with exception CX_HRPA_INVAL</t>
  </si>
  <si>
    <t>Pension administration: Employment periods can no longer be</t>
  </si>
  <si>
    <t>RPUDELPP/RPUDELPN: Long-term documents are not deleted from</t>
  </si>
  <si>
    <t>Function group PARA: Modules for comparing annual salaries c</t>
  </si>
  <si>
    <t>Runtime error ASSERTION_FAILED in CL_PD_TO_PA_INTEGRATION</t>
  </si>
  <si>
    <t>Infotype 0552: system triggers error message PG199 (II)</t>
  </si>
  <si>
    <t>Adding Exceptions to the method signature</t>
  </si>
  <si>
    <t>IT0001 Funds Center description is wrong</t>
  </si>
  <si>
    <t>Changes from SEPA mandates are not saved in the database</t>
  </si>
  <si>
    <t>Missing database update in the program RPUPAD00_SEPA_CHANGE_</t>
  </si>
  <si>
    <t>Runtime error MESSAGE_TYPE_X when user is deleted (SU01)</t>
  </si>
  <si>
    <t>SEPA direct debit: RPUPAD00_SEPA_UPDATE_MANDATES deletes unp</t>
  </si>
  <si>
    <t>PA70: Subtype texts displayed in wrong language</t>
  </si>
  <si>
    <t>Infotype record cannot be delimited for time constraint 1</t>
  </si>
  <si>
    <t>New Assignment: organizational assignment data is empty</t>
  </si>
  <si>
    <t>PA30: Subtype list for infotypes with wage types is incomple</t>
  </si>
  <si>
    <t>RPUAUD00 - WBS element wrongly displayed</t>
  </si>
  <si>
    <t>Integration PD to PA: Infotype 0001 is not updated</t>
  </si>
  <si>
    <t>Employee Group Does Not Show Text properly in PPOME And PP01</t>
  </si>
  <si>
    <t>PD-PA integration: Error message "Change too far in payroll</t>
  </si>
  <si>
    <t>HCMDP: Error message LRM_RULE_EXEC 310 ("No matching rule wa</t>
  </si>
  <si>
    <t>PA70 - IT0552: error HRSEN00003</t>
  </si>
  <si>
    <t>RP_PAD_CHECK_ORG_ASSIGN: Administrator nor determined correc</t>
  </si>
  <si>
    <t>PA_LDOC: Application log is not written</t>
  </si>
  <si>
    <t>PA20/PA30: incorrect infotype number gets selected</t>
  </si>
  <si>
    <t>HCMDP: Creation of IT3246 after initial run generates incorr</t>
  </si>
  <si>
    <t>Integration PD to PA: Org Unit gets cleared</t>
  </si>
  <si>
    <t>Error message (PG038) is not displayed in PA41 in certain sc</t>
  </si>
  <si>
    <t>Integration PD to PA: Incorrect cost center in infotype 0001</t>
  </si>
  <si>
    <t>Correction in report attributes</t>
  </si>
  <si>
    <t>Enable usage of OBJPS for infotype 0009 in new framework</t>
  </si>
  <si>
    <t>IT0001: Detail screen displayed in the dynamic action due to</t>
  </si>
  <si>
    <t>Employee Group Search Help - Listbox empty</t>
  </si>
  <si>
    <t>RPUAUD00: Archived long-term documents cannot be read from t</t>
  </si>
  <si>
    <t>HCMDP: Infotype 0003 is filled with a date that is too early</t>
  </si>
  <si>
    <t>HCMDP: Personnel numbers are not processed if 1 personnel nu</t>
  </si>
  <si>
    <t>Personnel Administration Customizing Guide (PBAC): Country c</t>
  </si>
  <si>
    <t>CE: Error message 00 058 or PG 301 for hiring action</t>
  </si>
  <si>
    <t>RPUSEN10: Runtime error ITAB_DUPLICATE_KEY_IDX_OP occurs dur</t>
  </si>
  <si>
    <t>HR Renewal correction and new decoupled classes</t>
  </si>
  <si>
    <t>Incorrect state in development plan after position change</t>
  </si>
  <si>
    <t>Transaction PPPM: Delete development plan from history</t>
  </si>
  <si>
    <t>PA-PD-PM</t>
  </si>
  <si>
    <t>Obj Setting and Appr</t>
  </si>
  <si>
    <t>Transaction PPPM: Delimited development plan items not found</t>
  </si>
  <si>
    <t>Pension equalization payment: Corrections/enhancements 1/201</t>
  </si>
  <si>
    <t>CPS: Minor corrections 1/2014</t>
  </si>
  <si>
    <t>CPS: Supplement IBAN for contribution reimbursement</t>
  </si>
  <si>
    <t>PA-PF-XX</t>
  </si>
  <si>
    <t>Pens.Fund: Gen.Parts</t>
  </si>
  <si>
    <t>RPUPENC0 and concurrent employment</t>
  </si>
  <si>
    <t>IT3293 not recognized during indirect financing</t>
  </si>
  <si>
    <t>PA-PM-TO</t>
  </si>
  <si>
    <t>Cross App Tools</t>
  </si>
  <si>
    <t>Job index: Problems when copying the infotype 0783</t>
  </si>
  <si>
    <t>Job index: Problems for infotype maintenance when starting m</t>
  </si>
  <si>
    <t>The field values specified in the user profile are ignored</t>
  </si>
  <si>
    <t>Runtime error when executing applicant reports</t>
  </si>
  <si>
    <t>PE-IN-BU</t>
  </si>
  <si>
    <t>Budget Management</t>
  </si>
  <si>
    <t>Not all budget units are considered in Budget Comparison</t>
  </si>
  <si>
    <t>PE-LSO-TM</t>
  </si>
  <si>
    <t>Training Management</t>
  </si>
  <si>
    <t>PE-LSO-TM-PR</t>
  </si>
  <si>
    <t>Course Preparation</t>
  </si>
  <si>
    <t>Infotype with time constraint 3 gets deleted:changing course</t>
  </si>
  <si>
    <t>PE-PR-RM</t>
  </si>
  <si>
    <t>Resource Management</t>
  </si>
  <si>
    <t>Incorrect error message displayed when no authorization to c</t>
  </si>
  <si>
    <t>RPTKOK00: Incorrect error message in relation to compensatio</t>
  </si>
  <si>
    <t>Operation HRS1Y entspricht nicht der Dokumentation</t>
  </si>
  <si>
    <t>PT66: New "Date" selection field displayed</t>
  </si>
  <si>
    <t>ATC Messages for SU22 Issues</t>
  </si>
  <si>
    <t>RPCALCXX: Dump: Collect_Overflow_Type_P</t>
  </si>
  <si>
    <t>RPTIME00: Errors in Validity Periods when Creating Cluster T</t>
  </si>
  <si>
    <t>PT66: Displaying archived cluster data</t>
  </si>
  <si>
    <t>RPCEDT00 doesn't print day for ZL-DATUM for MM-DD-YYYY</t>
  </si>
  <si>
    <t>PT-EV-TE</t>
  </si>
  <si>
    <t>Pair Formation</t>
  </si>
  <si>
    <t>V3S: Pair formation error</t>
  </si>
  <si>
    <t>PT-EV-WC</t>
  </si>
  <si>
    <t>Time Eval./Clock Tim</t>
  </si>
  <si>
    <t>PT60: Dump: Collect_Overflow_Type_P</t>
  </si>
  <si>
    <t>P2010_AF: Erweiterung um passendes CI-Include</t>
  </si>
  <si>
    <t>HRTIM_QUOT: Messages in the log</t>
  </si>
  <si>
    <t>PT40: Entering Time Administrator Absolutely Mandatory</t>
  </si>
  <si>
    <t>Entering full-day attendances</t>
  </si>
  <si>
    <t>HRTIM_ABS: Short dump "GETWA_NOT_ASSIGNED"</t>
  </si>
  <si>
    <t>IT0080: Recalculation of absence days and calendar days with</t>
  </si>
  <si>
    <t>HRTIM_ATT: Selection of infotype records in the preprocessin</t>
  </si>
  <si>
    <t>HRTIM_ABS/HRTIM_ATT: Missing BADI implementations</t>
  </si>
  <si>
    <t>Error message RP 432 when using CL_HRPT_LOGIC_IT0080</t>
  </si>
  <si>
    <t>HRTIM_ABS/HRTIM_ATT: Using the archiving subobject</t>
  </si>
  <si>
    <t>ESS LEA: Absence linked to an Infotype 0082 (illness trackin</t>
  </si>
  <si>
    <t>RBDAPP01: Inbound IDocs containing absence data reversals ar</t>
  </si>
  <si>
    <t>Archiving object HRTIM_QUOT: Attendance/absence quotas canno</t>
  </si>
  <si>
    <t>PA61: Error Message in List Entry for Attendance Quotas</t>
  </si>
  <si>
    <t>HR_GET_PRESENCE_QUOTA_DATA_TEC</t>
  </si>
  <si>
    <t>IT 3355: Short dump with batch input in the background</t>
  </si>
  <si>
    <t>PA61 list entry: copying entries</t>
  </si>
  <si>
    <t>PTMW: Error message "Absence &amp; not allowed for employee"</t>
  </si>
  <si>
    <t>ESS COR: T555I DATE information field not processed</t>
  </si>
  <si>
    <t>Correction of SAP Note 1809587 (customer_exit_on_data_change</t>
  </si>
  <si>
    <t>PP61: Sorting by job description column results in an ABAP o</t>
  </si>
  <si>
    <t>Display variants valid for all evaluation reports in shift a</t>
  </si>
  <si>
    <t>PP61: Error 00 055 "Fill in all required entry fields" After</t>
  </si>
  <si>
    <t>Enhanced Work Schedule Rule Finder Does Not Work Properly Wh</t>
  </si>
  <si>
    <t>Advanced search for WS rule: Performance improvements</t>
  </si>
  <si>
    <t>[AR] Diff. for /138 not carried over on Termination Adjust</t>
  </si>
  <si>
    <t>[AR] /3B3 and /3B2 amount not showing in SICOSS after term</t>
  </si>
  <si>
    <t>[AR] Dump in HARUTAX0 when processing large amounts</t>
  </si>
  <si>
    <t>[AR] Duplicated /418 after Adjust in September for DTAX</t>
  </si>
  <si>
    <t>[AR] Missing company information in HARCF649</t>
  </si>
  <si>
    <t>Checkman dummy</t>
  </si>
  <si>
    <t>Checkman: Fehler Prio 1 und 2 am 21.08.2013</t>
  </si>
  <si>
    <t>RPIBGAA0:  falsche Umstufung für Männer geb. vor 02.06.1953</t>
  </si>
  <si>
    <t>Diverse Fehler in PDF-Formularen</t>
  </si>
  <si>
    <t>ATZ Anmeldung: weitere Korrekturen</t>
  </si>
  <si>
    <t>rpcsvba2: Formulardruck bei E-Card Service problematisch</t>
  </si>
  <si>
    <t>PCALZ: Fehlende Prüfungen  für LZ SV  und LZ SV BVA in VC_T5</t>
  </si>
  <si>
    <t>rpcalca0: Message 126 fehlt oder fehlerhaft</t>
  </si>
  <si>
    <t>RPCSVBA2: HW 1961962  war nicht vollständig ausgeliefert</t>
  </si>
  <si>
    <t>rpcalca0: Schlüsselung /49V, /49T und /49R</t>
  </si>
  <si>
    <t>rpceksa0: Namensänderung beeinflusst Statistik</t>
  </si>
  <si>
    <t>Lohnzettelart 24</t>
  </si>
  <si>
    <t>IT0367 und IT0751: Entkopplungsklassen in SAP_HR neu anlegen</t>
  </si>
  <si>
    <t>Übersetzung / Dokufehler - Schemen / Zyklen - NICHT FREIGEBE</t>
  </si>
  <si>
    <t>RPCALCA0: Neues Include für Message Handler</t>
  </si>
  <si>
    <t>LC-PY-AT: Abgabenänderungsgesetz 2014</t>
  </si>
  <si>
    <t>RPIBGAA0: falsche Umstufung für  Beitragsgruppen D2X  und L1</t>
  </si>
  <si>
    <t>ANAB splittet WPBP</t>
  </si>
  <si>
    <t>ELDA-Abmeldung mit Grund 31 und 33 nicht erlaubt</t>
  </si>
  <si>
    <t>Super not calculated in second offcycle 'A' in the same pay</t>
  </si>
  <si>
    <t>Term org displays inflated values for mid period splits</t>
  </si>
  <si>
    <t>Non-enhanced superannuation : Retro Termination and Switch f</t>
  </si>
  <si>
    <t>HR AU: SuperStream Phase 1</t>
  </si>
  <si>
    <t>Payroll generated termination payments not adding to gross E</t>
  </si>
  <si>
    <t>ETP form not reprinted when the taxable income and tax free</t>
  </si>
  <si>
    <t>36: Correction to Superannuation Legal changes 2013</t>
  </si>
  <si>
    <t>Schema QLVP for SAP_HRCAU 604 changed by accident with SP 72</t>
  </si>
  <si>
    <t>Incorrect Super in case of regular payroll run for an employ</t>
  </si>
  <si>
    <t>Termination Organiser : IT 220 gets delimited inspite of unc</t>
  </si>
  <si>
    <t>Incorrect WC indicator in QSUP table in case of Offcycle</t>
  </si>
  <si>
    <t>37: Correction to Superannuation Legal changes 2013</t>
  </si>
  <si>
    <t>Payment summary listing report and IT0850 field length issue</t>
  </si>
  <si>
    <t>GCERTS Error while generating ATO file</t>
  </si>
  <si>
    <t>Short dump encountered in Utility Report RPCSUP0220_DLMT</t>
  </si>
  <si>
    <t>Incorrect values displayed in superannuation report (PC00_M1</t>
  </si>
  <si>
    <t>Incorrect Super in case of multiple  P0015  records of same</t>
  </si>
  <si>
    <t>Run time error "Overflow during arithmetic operation" in RPC</t>
  </si>
  <si>
    <t>For an employee over 65, Super not deducted in Pay Period af</t>
  </si>
  <si>
    <t>Incorrect values in WT /106 and WT /116 when negative leave</t>
  </si>
  <si>
    <t>Posting -' Error on C1/RT inconsistencies' on application of</t>
  </si>
  <si>
    <t>General corrections for Tax calculation</t>
  </si>
  <si>
    <t>V0TYP splits causing incorrect super in retro</t>
  </si>
  <si>
    <t>Issue while importing Average from the previous financial ye</t>
  </si>
  <si>
    <t>Issue in payroll operation QDRWT</t>
  </si>
  <si>
    <t>Incorrect extra tax calculated for bonus payments across fin</t>
  </si>
  <si>
    <t>DIMONA - Duplicate Prevention - Batch of changes</t>
  </si>
  <si>
    <t>RPTGENB0: Illnesses before and after "Recognized Partial Ill</t>
  </si>
  <si>
    <t>DmfA/DmfAPPL Q1/2014 - Special Contribution - Factory Shutdo</t>
  </si>
  <si>
    <t>Certificate 281.25 - Various enhancements and corrections</t>
  </si>
  <si>
    <t>BSPLT - Align IT splits on SV splits - Enhancements</t>
  </si>
  <si>
    <t>SEPA Enhancement for IMG</t>
  </si>
  <si>
    <t>Shift/Night Reduction - new evaluation wage type /40W</t>
  </si>
  <si>
    <t>BELCOTAX: Leave date (2.056) with errors in case of leave on</t>
  </si>
  <si>
    <t>BELCOTAX:  Error when using infotype 3207 after note 1982862</t>
  </si>
  <si>
    <t>Operation AMT, NUM or RTE with the operand = BEUWF</t>
  </si>
  <si>
    <t>Payroll Function BPF00 - Garnishment - Infotyp 0021 / Subtyp</t>
  </si>
  <si>
    <t>DmfA LC 2014 Q1 Parameter Values - Correction</t>
  </si>
  <si>
    <t>DmfA: No split when changing the local unit id (LOCUN)</t>
  </si>
  <si>
    <t>HBRRTER3: Invalid sequence number for field 67</t>
  </si>
  <si>
    <t>HBRRTER3: Negative values in provision and deduction fields</t>
  </si>
  <si>
    <t>HBRFICHA - incorrect Salary change</t>
  </si>
  <si>
    <t>HCM Objects - Error Message Enhancement</t>
  </si>
  <si>
    <t>eSocial - Corrections - Phase 2014/07</t>
  </si>
  <si>
    <t>eSocial - Events S-2600 and S-2620 - Remuneration - Phase 20</t>
  </si>
  <si>
    <t>eSocial: ABAP dictionary - Release 2014/08</t>
  </si>
  <si>
    <t>eSocial - S-1030 - Create switch to read PD information</t>
  </si>
  <si>
    <t>e-Social - Authorization objects in Monitor</t>
  </si>
  <si>
    <t>eSocial: Event Generator via Master Data</t>
  </si>
  <si>
    <t>Additional Corrections to QHC 2014</t>
  </si>
  <si>
    <t>YE13: Cancelled RL-1/RL-2 forms generating unnecessarily</t>
  </si>
  <si>
    <t>Correction to note 1971051</t>
  </si>
  <si>
    <t>HR CH (CE): Automatische Verteilung von Aufrechnungbasen (Ta</t>
  </si>
  <si>
    <t>HR CH (CE): WhT redesign, subapplication QST2 not required f</t>
  </si>
  <si>
    <t>HR-CH: Text 15 on the wage statement and the additional shee</t>
  </si>
  <si>
    <t>WHT VD: EMP-ACI: Quarterly summary during monthly notificati</t>
  </si>
  <si>
    <t>ELM 4.0: Partial delivery for preparation for ELM 4.0 (suppo</t>
  </si>
  <si>
    <t>HR CH (CE): FAK, reduction rule TZ6, mid-month entries/leavi</t>
  </si>
  <si>
    <t>ELM 4.0: Partial delivery for preparation for ELM 4.0 (BFA S</t>
  </si>
  <si>
    <t>ELM 4.0: Partial delivery for preparation for ELM 4.0 (Compa</t>
  </si>
  <si>
    <t>DME: Text key for data medium for pensioner</t>
  </si>
  <si>
    <t>Documentation: Search help filter for withholding tax scale</t>
  </si>
  <si>
    <t>HR CH (CE): Redesign, withholding tax liability for minors</t>
  </si>
  <si>
    <t>ELM 4.0: Partial delivery for preparation for ELM 4.0 (withh</t>
  </si>
  <si>
    <t>HR CH (CE): Speeding up wage type check (T7CCE*)</t>
  </si>
  <si>
    <t>ELM 4.0: Partial delivery for preparation for ELM 4.0 (DDIC</t>
  </si>
  <si>
    <t>HR CH (CE): Grouping reason and grouping value are missing i</t>
  </si>
  <si>
    <t>WhT Redesign/CE: Display of data imported from previous peri</t>
  </si>
  <si>
    <t>[CL] Enhancements for HCLCCRTA0 report - Form 1887</t>
  </si>
  <si>
    <t>[CL] Correction for Vacation Allowance severance</t>
  </si>
  <si>
    <t>[CL] Short dump in program HCLCDTA0</t>
  </si>
  <si>
    <t>LC: Yearly High Limit of Tax deduction for Disability Employ</t>
  </si>
  <si>
    <t>Add Total Amount Line in report HCNCTXD0</t>
  </si>
  <si>
    <t>Enhancement: Add New Feature to Get Social Average Salary du</t>
  </si>
  <si>
    <t>Enhancement of Report HCNCTXD0: Add Value for Evaluation Cla</t>
  </si>
  <si>
    <t>Cannot Save Layout for Output List of Report "Public Housing</t>
  </si>
  <si>
    <t>Adding Description Fields for Output List of Report "Public</t>
  </si>
  <si>
    <t>Clearing Negative Tax Base Amounts in Report HCNCTXM0</t>
  </si>
  <si>
    <t>Usage of a SEPA mandate is not reset for cancellation of SEP</t>
  </si>
  <si>
    <t>Person selection in the program RPUPADDE_SEPA_CHANGE_PAYMETH</t>
  </si>
  <si>
    <t>SEPA direct debit: Processing in RPCDTAD0 moved to an intern</t>
  </si>
  <si>
    <t>Missing entries in T5D0A for modifier 09, 39, 49</t>
  </si>
  <si>
    <t>B2A: Display of XML source code and export to Excel</t>
  </si>
  <si>
    <t>SI: Composite SAP Note data exchange 2/2014</t>
  </si>
  <si>
    <t>B2A: Runtime improvement</t>
  </si>
  <si>
    <t>DEUEV (UVMG): Corrections XXVI</t>
  </si>
  <si>
    <t>ELStAM procedure: Improvements and corrections 13/2014</t>
  </si>
  <si>
    <t>ELStAM: Improvements and corrections 14/2014</t>
  </si>
  <si>
    <t>ZMV: Changes when importing health insurance fund notificati</t>
  </si>
  <si>
    <t>AAG: Error check for reimbursement rate in the data module D</t>
  </si>
  <si>
    <t>Wage type indicators (due to the statement of earnings regul</t>
  </si>
  <si>
    <t>Payroll account: RPCKTOD0, March clause, and archiving</t>
  </si>
  <si>
    <t>Change during prohibited activities or during the maternity</t>
  </si>
  <si>
    <t>Prohibited activities: Mid-month SI ER contributions too hig</t>
  </si>
  <si>
    <t>PY-DE-IE</t>
  </si>
  <si>
    <t>Interf to Ext Pay Sy</t>
  </si>
  <si>
    <t>OTMD: New Legislative Fields, segment release</t>
  </si>
  <si>
    <t>Incorrect transfer amount for individual bank transfer of AV</t>
  </si>
  <si>
    <t>IT 0699: Check payment method when copying infotype</t>
  </si>
  <si>
    <t>PY-DE-NT-GN</t>
  </si>
  <si>
    <t>Guaranteed Net Amts</t>
  </si>
  <si>
    <t>Employee chamber contribution for multi-year guaranteed net</t>
  </si>
  <si>
    <t>PO: Documentation for the cleanup of garnishment results</t>
  </si>
  <si>
    <t>Runtime error LOAD_PROGRAM_NOT_FOUND when running program RP</t>
  </si>
  <si>
    <t>Changes concurrent employment and bonus calculation for §23c</t>
  </si>
  <si>
    <t>New statement of contributions paid: Corrections II</t>
  </si>
  <si>
    <t>ETStmt: Number of months pension payment without ongoing pen</t>
  </si>
  <si>
    <t>New report RPITXAD0 for correcting statement periods</t>
  </si>
  <si>
    <t>Check of federal state for the company office for employment</t>
  </si>
  <si>
    <t>Changes for source code that is not in productive use</t>
  </si>
  <si>
    <t>Pay scale level increase using DEPBS_NEU: Consideration of i</t>
  </si>
  <si>
    <t>Consideration of SP conversion amount in pension insurance i</t>
  </si>
  <si>
    <t>Updating IT 406 ("Pension Information") data records without</t>
  </si>
  <si>
    <t>GOP: Runtime error CONVT_NO_NUMBER in the report RPLBUZD0</t>
  </si>
  <si>
    <t>Collective agreement on flexible semiretirement: Tax exempti</t>
  </si>
  <si>
    <t>Personnel statistics: Determination of pay scale indicator f</t>
  </si>
  <si>
    <t>Pay scale level increase using DEPBS_NEU: Incorrect determin</t>
  </si>
  <si>
    <t>Variable remuneration above the income threshold</t>
  </si>
  <si>
    <t>No cumulation of non-recurring payments within a month</t>
  </si>
  <si>
    <t>Employment period calculation: Decimal days from capped high</t>
  </si>
  <si>
    <t>Public Services regulation, state of Hesse: 2. DRModG XXIV</t>
  </si>
  <si>
    <t>Public Services regulation, state of Hesse: 2. DRModG XXV</t>
  </si>
  <si>
    <t>Public Services regulation Bavaria: Calculation of reimburse</t>
  </si>
  <si>
    <t>§ 54 paragraph 4 BeamtVG with reduction of pension equalizat</t>
  </si>
  <si>
    <t>Pension splitting fields not considered in PWE</t>
  </si>
  <si>
    <t>Enhancement BAdI interface IF_EX_HRPBSDENV_POSTING to differ</t>
  </si>
  <si>
    <t>Requested execution date in supplementary pension transfer r</t>
  </si>
  <si>
    <t>Incorrect inflow principle when performing retroactive accou</t>
  </si>
  <si>
    <t>Notification program: Distribution of non-recurring payments</t>
  </si>
  <si>
    <t>RPTLEAD0: Correction for SAP Note 1944556 / cost center text</t>
  </si>
  <si>
    <t>Corrections for statements (international parts) 1/2014</t>
  </si>
  <si>
    <t>PEXTRAS: Wrong regular results after processing off-cycles</t>
  </si>
  <si>
    <t>IRPF: Wrong mortgage deduction due to regularization reasons</t>
  </si>
  <si>
    <t>CRET@: General corrections</t>
  </si>
  <si>
    <t>190: General Corrections I - 2014</t>
  </si>
  <si>
    <t>CALC: Incorrect rounding in prestaciones</t>
  </si>
  <si>
    <t>IGA: VND error message in cases of split</t>
  </si>
  <si>
    <t>CP: Contract Replacement - Permanent Contract</t>
  </si>
  <si>
    <t>190: Misplaced data in Deduction Certificate</t>
  </si>
  <si>
    <t>Contrat@: Error in field PORCENTAJE_REDUCCION</t>
  </si>
  <si>
    <t>PA: Missing field in 0021 infotype</t>
  </si>
  <si>
    <t>CALC: Wrong error message in EST00 Payroll funcion</t>
  </si>
  <si>
    <t>CRT2: Empty &amp;lt;FechaExtincion&amp;gt; XML element on PERE</t>
  </si>
  <si>
    <t>CRA: General Corrections to Paid Wage Types report (II)</t>
  </si>
  <si>
    <t>AFI: RED 03/2014 modifications in journey reduction communic</t>
  </si>
  <si>
    <t>LOPD:  Error message "The LOPD data have not been saved" dis</t>
  </si>
  <si>
    <t>BONIFICACIONES: RED 03/2014 Flat Rate bonification</t>
  </si>
  <si>
    <t>190: Wrong text in title of Employment Tax (IRPF) reports</t>
  </si>
  <si>
    <t>IGA: On/Off customizing flag for Article 87.5 warning</t>
  </si>
  <si>
    <t>ERE: New behavior for days type 2 and Z in ERE calendar</t>
  </si>
  <si>
    <t>CRA: Error when reporting values greater than 99.999,99 EUR</t>
  </si>
  <si>
    <t>FDI: Missing main CAC regime and sector in EMP segment</t>
  </si>
  <si>
    <t>Contrat@: Changes of April 2014</t>
  </si>
  <si>
    <t>TEMSE: Incorrect name of Report TemSe viewer</t>
  </si>
  <si>
    <t>HRFI: Feature ABKRS - wrong payroll area during reentry</t>
  </si>
  <si>
    <t>N4DS V01X08: Fill value of section S20.G10.05 with feature a</t>
  </si>
  <si>
    <t>N4DS: new codes for S48.G47.06.001 and S45.G05.20.001 for IT</t>
  </si>
  <si>
    <t>N4DS AED: wrong proratas due to absences</t>
  </si>
  <si>
    <t>DMMO: incorrect entry date</t>
  </si>
  <si>
    <t>IJSS: RPLBIJF0 - download balance précomptées/remboursées</t>
  </si>
  <si>
    <t>Wrong value of processing class 69 for wage types /RF5 and /</t>
  </si>
  <si>
    <t>RPUTIRF1: A semicolon is generated at the end of a line of t</t>
  </si>
  <si>
    <t>DUCS LSE contributions</t>
  </si>
  <si>
    <t>RPUTIRF1: the company name of the last employee is repeated</t>
  </si>
  <si>
    <t>SYST 1 - FRANCE - T5F42 enhanced for DSN contract attrib.</t>
  </si>
  <si>
    <t>DUCS: Problem when importing external data</t>
  </si>
  <si>
    <t>Complement PCS in IT0217</t>
  </si>
  <si>
    <t>N4DS S45.G05.15.002.001: misreported amount</t>
  </si>
  <si>
    <t>New data table type HRPAD99S_PA0185</t>
  </si>
  <si>
    <t>Add 2 new fields in table T5F1H and adapt view, report and i</t>
  </si>
  <si>
    <t>Seniority for discontinued periods as of November 2012</t>
  </si>
  <si>
    <t>Promotion process with new 'echelon'</t>
  </si>
  <si>
    <t>Reports RPLAVGF0PBS and RPIAVGF0PBS  do not consider the rec</t>
  </si>
  <si>
    <t>Simulation or activation of decrees ends with status PTEL</t>
  </si>
  <si>
    <t>PY-GB: CSD Court order arrears incorrect</t>
  </si>
  <si>
    <t>HR:GB RTI - FPS changes to FPS XML file, PENID and  BACS</t>
  </si>
  <si>
    <t>PY-GB: P60 Corrections Collection II</t>
  </si>
  <si>
    <t>PY-GB:P45:Reporting of HMRC Works Number on Form P45.</t>
  </si>
  <si>
    <t>RTI:  ME late new start, previous DTONI adjustment, IT0874 f</t>
  </si>
  <si>
    <t>PY-GB: P60 Corrections Collection III</t>
  </si>
  <si>
    <t>PY-GB:IT0442:'Tax year for calc.' dialog not always shown</t>
  </si>
  <si>
    <t>HR-GB: Tax Code Uplift program (RPUTCUG0) does not work in a</t>
  </si>
  <si>
    <t>PY-GB: FPS Number of Working Hours are displayed with the ol</t>
  </si>
  <si>
    <t>HR GB:RTI: FPS extract reply from Government Gateway</t>
  </si>
  <si>
    <t>HRGB:RTI-FPS Intra company transfers &amp; SCON validations</t>
  </si>
  <si>
    <t>PY-GB: Batch Update program for IT0071 doesnt work for CE Fr</t>
  </si>
  <si>
    <t>PY-GB: Reports not showing pernr in background</t>
  </si>
  <si>
    <t>HRGB: RTI EPS Final submission of the year</t>
  </si>
  <si>
    <t>PY-GB:IT0442:Unable to access the Car Database</t>
  </si>
  <si>
    <t>PY-GB: PAE: Employees born on a Leap Day (i.e. 29.02.YYYY)</t>
  </si>
  <si>
    <t>HRGB: RTI EYU Updates wrong periods in case of retro</t>
  </si>
  <si>
    <t>PY-GB-PS: LGPS 2014: Distribution of Employer's Costs  (XDEC</t>
  </si>
  <si>
    <t>PY-GB-PS: LGPS 2014: Pilot Bug Fixes V</t>
  </si>
  <si>
    <t>PY-GB-PS: LGPS 2014: APP: Removal of lump sum payments</t>
  </si>
  <si>
    <t>PY-GB-PS: LGPS 2014: Pensionable Pay: SxP across Tax Years I</t>
  </si>
  <si>
    <t>PY-GB-PS: LGPS 2014: Public Sector Pension Scheme Type (P007</t>
  </si>
  <si>
    <t>PY-GB: P45 rejection - IT0065 validation issue</t>
  </si>
  <si>
    <t>IR56B/F: Unnecessary Zero Displayed in Amount Paid by Overse</t>
  </si>
  <si>
    <t>Correction of HK tax report IR56B/IR56F/IR56G</t>
  </si>
  <si>
    <t>IR56F Passport Number Overlapped with Other Text</t>
  </si>
  <si>
    <t>IR56F cannot Generate Replacement Form after Correction Run</t>
  </si>
  <si>
    <t>For HK IR56G form Red Title 'LEAVING HONG KONG CASE'</t>
  </si>
  <si>
    <t>IR56E: Address of Employer Not Aligned</t>
  </si>
  <si>
    <t>IR56E Form Cannot Be Generated After Cross-Year Payroll Corr</t>
  </si>
  <si>
    <t>Negative Number Appears in Item 11 of IR56G Form or Item 13</t>
  </si>
  <si>
    <t>IR56G: Unnecessary Zero Displayed in Amount Paid by Oversea</t>
  </si>
  <si>
    <t>ID LC - Introduction of BPJS Health Insurance</t>
  </si>
  <si>
    <t>Infotype 0694 - Amount was expanded 100 times.</t>
  </si>
  <si>
    <t>Tax Form 1721-I: The Amount Format is Incorrect when the Amo</t>
  </si>
  <si>
    <t>HIDCJAM0-Payroll area change in middle of payroll period for</t>
  </si>
  <si>
    <t>Field 'NPWP Pemotong' should show the 'Company Tax ID' but n</t>
  </si>
  <si>
    <t>PY-IE: IETAX, Emergency tax periods with DTO</t>
  </si>
  <si>
    <t>PY-IE: PRD: "When Paid" solution II</t>
  </si>
  <si>
    <t>PY-IE: IEERN func. causing incorrect tax calculations</t>
  </si>
  <si>
    <t>PY-IE: IEPNS - Creates an empty PENS table</t>
  </si>
  <si>
    <t>PY-IE: P45 USC refund</t>
  </si>
  <si>
    <t>PY-IE: PRD: "When Paid" solution III</t>
  </si>
  <si>
    <t>PY-IE: P45P3/P46 not generated after ERN change v2</t>
  </si>
  <si>
    <t>PY-IE: ERN number length in P46 XML</t>
  </si>
  <si>
    <t>PY-IE: EOY, ERN change at start of the year</t>
  </si>
  <si>
    <t>PY-IE: EOY, Exclusion order flag in case the tax basis is X</t>
  </si>
  <si>
    <t>PY-IE: Incorrect commencement date on P45 after ERN change</t>
  </si>
  <si>
    <t>PY-IE: P30 corrections</t>
  </si>
  <si>
    <t>PY-IE: P46, The XML should contain records for 10 employees</t>
  </si>
  <si>
    <t>HINCALC0: New Parameter for NPS Contribution BAdI HR_IN_NPS_</t>
  </si>
  <si>
    <t>To Be Archived</t>
  </si>
  <si>
    <t>HINCF160: Short dump while executing Form 16 report</t>
  </si>
  <si>
    <t>Addition of Personnel Number parameter in BAdI HR_IN_ER_ADDR</t>
  </si>
  <si>
    <t>HINCF24Q: Inconsistent e-file for Q4</t>
  </si>
  <si>
    <t>Form 24Q : Error while validating the file for more than one</t>
  </si>
  <si>
    <t>Income Tax : Maximum upper limit has been changed to INR 9,9</t>
  </si>
  <si>
    <t>HINCF24Q: Issue with employee having zero tax liability</t>
  </si>
  <si>
    <t>PY-IT-PS: Corrections for F24_EP</t>
  </si>
  <si>
    <t>Incorrect merge of rules for PARTITA tag</t>
  </si>
  <si>
    <t>ICODE/IDETR - employee and spouse deductions are not correct</t>
  </si>
  <si>
    <t>F24: Error saving the table T5ITF24 (RPCF24I0_2008)</t>
  </si>
  <si>
    <t>Modello 770-2014</t>
  </si>
  <si>
    <t>HR-IT: ASPI Contribution Reimbursement 2014 - Corrections I</t>
  </si>
  <si>
    <t>Enhancement of Employment Insurance Wage Basis Calculation</t>
  </si>
  <si>
    <t>LC2014: Social Insurance Premium Exemption during Maternity</t>
  </si>
  <si>
    <t>Eligible Check on Earned Income for Woman Deduction</t>
  </si>
  <si>
    <t>Legal Changes of Donation and Standard Tax Credit</t>
  </si>
  <si>
    <t>Withholding Tax Receipt Display Issues</t>
  </si>
  <si>
    <t>Enhancements to YEA Receipt and Telephone Number for DME fil</t>
  </si>
  <si>
    <t>Correction for Separation Income Tax Less than 1,000 KRW</t>
  </si>
  <si>
    <t>Exemption Rate Checking for Young, Aged or Handicapped EE in</t>
  </si>
  <si>
    <t>Vacation after a sick leave in the same payroll period is no</t>
  </si>
  <si>
    <t>HCM Kazakhstan Localization, Wave 2</t>
  </si>
  <si>
    <t>[MX] Digital Fiscal Document (CFDi) - Loader and Viewer Repo</t>
  </si>
  <si>
    <t>[MX] Documentation for Digital Fiscal Document (CFDi)</t>
  </si>
  <si>
    <t>[MX] Incorrect saving funds payments on Termination off-cycl</t>
  </si>
  <si>
    <t>[MX] Enhancements for Digital Fiscal Document (CFDi) - 3</t>
  </si>
  <si>
    <t>[MX] LC MX State tax changed for Hidalgo State</t>
  </si>
  <si>
    <t>[MX] Supplementary taxes missing in HMXCIES0 for HGO state</t>
  </si>
  <si>
    <t>[MX] New additional tax for Campeche State</t>
  </si>
  <si>
    <t>[MX] Missing exception for include PCMAGMX3</t>
  </si>
  <si>
    <t>[MX] Update in the State Tax Table for Campeche 2014</t>
  </si>
  <si>
    <t>[MX] Enhancements for SERICA report</t>
  </si>
  <si>
    <t>Enhancement for List of Employees of Borang E Form</t>
  </si>
  <si>
    <t>Correction for normal TAX contribution calculation</t>
  </si>
  <si>
    <t>Correction for Section G Amount of ESS Application in EA For</t>
  </si>
  <si>
    <t>Correction for Borang A form amount field &amp;gt;= 10000000</t>
  </si>
  <si>
    <t>Correction for EA form PCB amount in ESS</t>
  </si>
  <si>
    <t>Abolish field 'Fee for Temporary Employment' on IT0198 subty</t>
  </si>
  <si>
    <t>Correction for AWS reporting about rehire case</t>
  </si>
  <si>
    <t>Work Cost Regulation Simulation Tool</t>
  </si>
  <si>
    <t>Split of white and green tax table with advantage rule</t>
  </si>
  <si>
    <t>YELC 2013/2014: Incorrect calculation of the wage return col</t>
  </si>
  <si>
    <t>New SI Reduction for Hiring Young Employees coming from a So</t>
  </si>
  <si>
    <t>Aangifte LH: Wage Return Extractor dumps with runtime error</t>
  </si>
  <si>
    <t>RPCNETN0 stops for long time ill employees</t>
  </si>
  <si>
    <t>SEPA Settings added to Payroll Netherlands Implementation Gu</t>
  </si>
  <si>
    <t>Too Strict Warning in Life-Course Savings Scheme II</t>
  </si>
  <si>
    <t>Retro Payslip not printed for option 'L'</t>
  </si>
  <si>
    <t>Aangifte LH: Begin date for sector risk group is not correct</t>
  </si>
  <si>
    <t>Jaaropgave WN: Employee Annual Statement ends with the runti</t>
  </si>
  <si>
    <t>Company car infotype does not generate a correct variable sp</t>
  </si>
  <si>
    <t>WCR: Issues in case of change of employer or ending Legal pe</t>
  </si>
  <si>
    <t>RPCLATN0: Correction for 4 Weekly Payroll</t>
  </si>
  <si>
    <t>HRNO: Reimbursement - new version of form NAV 08-20.12 and N</t>
  </si>
  <si>
    <t>HRNO: Reimbursement form NAV 08-30.01, error reading IT0001</t>
  </si>
  <si>
    <t>RPLATSV0: No output after sorting on name or postal code</t>
  </si>
  <si>
    <t>HRNO: Incorect processing of SCRT table in payroll run</t>
  </si>
  <si>
    <t>EDAG - April 2014 [1/2] - Corrections &amp; improvements</t>
  </si>
  <si>
    <t>EDAG - April 2014 [2/2] - Corrections &amp; improvements</t>
  </si>
  <si>
    <t>HRNO: eTaxCard - Correction of issues - March / April 2014 [</t>
  </si>
  <si>
    <t>HRNO: Reimbursement printing issuess</t>
  </si>
  <si>
    <t>RPUTILV1 - April 2014 - Corrections &amp; improvements</t>
  </si>
  <si>
    <t>RPUTILV2 - initial package P99CEE01</t>
  </si>
  <si>
    <t>HDA : Incorrect Splits for Non Removal allowance of Higher P</t>
  </si>
  <si>
    <t>ESS: Rental Subsidy Date and Warning Message Issue</t>
  </si>
  <si>
    <t>Rental Subsidy: Override Reimbursment Percentage for Scheme</t>
  </si>
  <si>
    <t>IT0962 : Default value for the field 'Dependent away'</t>
  </si>
  <si>
    <t>Education Grant: Incorrect Warning Message on Change in Duty</t>
  </si>
  <si>
    <t>RS simulator - Employees having no infotype 21 record presen</t>
  </si>
  <si>
    <t>IT 0962:The date on which Employee Made Payment to the  Brok</t>
  </si>
  <si>
    <t>Rental Subsidy : Rental Deduction Percentage cannot be Overr</t>
  </si>
  <si>
    <t>Rental Subsidy : Incorrect Values for the Field P0962-RSREA</t>
  </si>
  <si>
    <t>Runtime error while running payroll in Operation NZSPL</t>
  </si>
  <si>
    <t>PY-NZ:Problem in adjustment to KiwiSaver fund</t>
  </si>
  <si>
    <t>PY-NZ : Incorrect Processing of Gross Up Payments</t>
  </si>
  <si>
    <t>PY-NZ: HNZLSUP0 is not displaying correct value in retro col</t>
  </si>
  <si>
    <t>PY-NZ : Unable to delimit view V_T7NZTC</t>
  </si>
  <si>
    <t>PY-NZ: New EMS report Performance and other issues</t>
  </si>
  <si>
    <t>PY-NZ : Incorrect Annual Leave Accrual on Termination</t>
  </si>
  <si>
    <t>Payroll Philippines: Qualification Check for Maternity Benef</t>
  </si>
  <si>
    <t>Incorrect Amount in BIR2316 Report for Overtime Payment</t>
  </si>
  <si>
    <t>Vacation allowance payment in pre-retirement</t>
  </si>
  <si>
    <t>Description of wage type /4TE wrongly translated</t>
  </si>
  <si>
    <t>RPCSSRP0: multiple personnel numbers and part-time correctio</t>
  </si>
  <si>
    <t>VA24 adjustment in salary increase</t>
  </si>
  <si>
    <t>HR-PT: Change of ADSE rates</t>
  </si>
  <si>
    <t>Qatar Missing wage type documentation</t>
  </si>
  <si>
    <t>HR-RU: Consideration of RURT Data at Transfer of Results to</t>
  </si>
  <si>
    <t>New Form RSV-1 in 2014 year: Adobe, XML and Customizing</t>
  </si>
  <si>
    <t>Payroll rule RU17 proccessing of /841 Wage type</t>
  </si>
  <si>
    <t>Legal change of P-4 (NZ) print form according to Rosstat Ord</t>
  </si>
  <si>
    <t>HRULFNLC report  - selection of the FSS Application Type is</t>
  </si>
  <si>
    <t>FSSDP: Register of XML applications to FSS does not display</t>
  </si>
  <si>
    <t>4-FSS: Default file extension of XML-file</t>
  </si>
  <si>
    <t>RSV-1: cumulative updates 04.2014</t>
  </si>
  <si>
    <t>Incorrect distribution of HWC tax amounts by splits. Critica</t>
  </si>
  <si>
    <t>HRULNDFL: Xml is not downloaded in Russian language</t>
  </si>
  <si>
    <t>HR-RU: Proportional calculating of the additional pension in</t>
  </si>
  <si>
    <t>Order N BC-4-11/2189@ from 11.02.2014 "About filling 2-NDFL"</t>
  </si>
  <si>
    <t>HRSE: VACS set processing method</t>
  </si>
  <si>
    <t>HRSE: last day and whole month absence - correction</t>
  </si>
  <si>
    <t>HRSE: FORA - report SPP retro payment after termination</t>
  </si>
  <si>
    <t>HRSE: ATS - Specification number correction</t>
  </si>
  <si>
    <t>HRRXX: Alecta - /118 as paid principle correction</t>
  </si>
  <si>
    <t>HRSE: RPLTCES0 - Basic Pay calculation only for last date</t>
  </si>
  <si>
    <t>HRSE: Accruing Contract: set by PMESE feature</t>
  </si>
  <si>
    <t>HRSE: Alecta XML report file code page set to UTF-8</t>
  </si>
  <si>
    <t>HRSE: RPLSPPS2 DEP1 Monthly pay in "IN" when hired . Replace</t>
  </si>
  <si>
    <t>IR8A/IR8E/IR8S Form 2014 New Layout(PDF Form)</t>
  </si>
  <si>
    <t>IR8A: CPF refunded amount equals to excess amount, the IR8S</t>
  </si>
  <si>
    <t>Projection Salary for Withhold Money about Posting Overseas</t>
  </si>
  <si>
    <t>IR8E - ESS form text change</t>
  </si>
  <si>
    <t>CPF Monthly Report (RPCCPFR0)  Dump for Inactive Employee</t>
  </si>
  <si>
    <t>IR21 Form in ESS can't display</t>
  </si>
  <si>
    <t>IR8A: Some personal numbers are skipped wrongly by the logic</t>
  </si>
  <si>
    <t>The Absence Claim report RPCTGMLR0 Enhancement about CCL/SPL</t>
  </si>
  <si>
    <t>IR8A: Strike-through line for field 'Date of *Cessation/Over</t>
  </si>
  <si>
    <t>Rouding issue in calculation rule RCP3</t>
  </si>
  <si>
    <t>Overtime amount has a difference when re-calculating with 22</t>
  </si>
  <si>
    <t>Enhancement for Negative AW Retro</t>
  </si>
  <si>
    <t>Top-Up Method When CPF Converting from Pensionable to Non-Pe</t>
  </si>
  <si>
    <t>PY-TH: Tax Calculation with Previous Employment Contribution</t>
  </si>
  <si>
    <t>PY-TH: Tax Reports Calculate Incorrect Yeas of Service</t>
  </si>
  <si>
    <t>PY-TH: Social Security Allowance Incorrect for Semi-Monthly</t>
  </si>
  <si>
    <t>PY-TH: Tax Report Cannot Read Spaces from Thai Name</t>
  </si>
  <si>
    <t>Report HTHCSSS1 Cannot Split Correctly Based on Company Name</t>
  </si>
  <si>
    <t>Income Tax Form 1 Detailed Page Header Text Alignment Issue</t>
  </si>
  <si>
    <t>Refine Retro Calculation Logic for Employee Supplementary NH</t>
  </si>
  <si>
    <t>Enhance Payroll Results Filter Logic for Tax Certificate Rep</t>
  </si>
  <si>
    <t>Sort Function Not Working Properly in Report HTWLCE00</t>
  </si>
  <si>
    <t>Correction of Retrocalculation Logic for NHI Supplementary P</t>
  </si>
  <si>
    <t>USCLM: Display text pushbutton disabled in infotype 0909</t>
  </si>
  <si>
    <t>TXL: Tax Area field is cleared in IT0207 when TaxLocator pop</t>
  </si>
  <si>
    <t>BSI: Sync.Payroll Tax Data shows error message - New authori</t>
  </si>
  <si>
    <t>Dummy Note for PY-US-CL</t>
  </si>
  <si>
    <t>Performance Improvement for BSI eFormsFactory</t>
  </si>
  <si>
    <t>PY-US-IE: RPCEMDU0_CALL generates multiple CM segments</t>
  </si>
  <si>
    <t>GRN: Ad hoc query returns the wrong garnishment document</t>
  </si>
  <si>
    <t>GRN: RPCGRNU0 truncates the total amount of garnishment take</t>
  </si>
  <si>
    <t>AAP: Reports for Affirmative Action Plan not considering Eth</t>
  </si>
  <si>
    <t>RECON: RPCPRSU0 does not process all records</t>
  </si>
  <si>
    <t>CCR: Results not filtered properly by WBS Element</t>
  </si>
  <si>
    <t>NWH: Error "Undefined Benefits Information" raised during th</t>
  </si>
  <si>
    <t>3PR: Distribution of liabilities error</t>
  </si>
  <si>
    <t>3PR: No entry in table T51R5 for key RDATN xxx</t>
  </si>
  <si>
    <t>3PR: Short dump in include RPURMP08 when generating TemSe fi</t>
  </si>
  <si>
    <t>TR: Online W-2 Performance Enhancement</t>
  </si>
  <si>
    <t>TR: Electronic Confirmation Number for W-2/W-2c PR paper and</t>
  </si>
  <si>
    <t>TR: Error when trying to delete production runs in Tax Repor</t>
  </si>
  <si>
    <t>TR: Wrong value in line 7 of NY Combined Wages Report (Q4)</t>
  </si>
  <si>
    <t>TR: Form 941 PR for 2014</t>
  </si>
  <si>
    <t>TR: Form 945-X for 2014</t>
  </si>
  <si>
    <t>TR: Adjustments due to changes in SAP Code for new Tax Autho</t>
  </si>
  <si>
    <t>TAX: FEI withholding exemption generates a short dump during</t>
  </si>
  <si>
    <t>TAX:  WA Supp. pension taxes still not calculated with GUP r</t>
  </si>
  <si>
    <t>TAX: SUI changes for Montana do not work for tax type 39</t>
  </si>
  <si>
    <t>TAX: New Mexico Workers' Compensation Tax deducted during of</t>
  </si>
  <si>
    <t>TAX: No Additional Medicare wage types with Successor/Predec</t>
  </si>
  <si>
    <t>[VE] Tax Unit changes for 2014</t>
  </si>
  <si>
    <t>PY-XX: Klassen für int. Tabellen</t>
  </si>
  <si>
    <t>Correction View V_T5F99BX</t>
  </si>
  <si>
    <t>HLACTRM0: Termination log is not displayed</t>
  </si>
  <si>
    <t>Infotype 3331 : Improvements</t>
  </si>
  <si>
    <t>SEPA direct debit: Data is missing during call of the BAdI H</t>
  </si>
  <si>
    <t>Payroll driver with HR Form, but without log</t>
  </si>
  <si>
    <t>Payroll log - input table P0009 does not match IT0009</t>
  </si>
  <si>
    <t>Incorrect retroactive accounting periods in payroll simulati</t>
  </si>
  <si>
    <t>PYXX_READ_RGDIR_PAYRESULTS does not recognize archived data</t>
  </si>
  <si>
    <t>Deactivation of conversion reports for release 4.6C</t>
  </si>
  <si>
    <t>Pre-DME: Incorrect locking message in log for parallel run.</t>
  </si>
  <si>
    <t>Payee name is truncated</t>
  </si>
  <si>
    <t>Termination of the report RPRDTAD0</t>
  </si>
  <si>
    <t>Pre-DME - Payment Info in Detailed Log does not match BT</t>
  </si>
  <si>
    <t>HR-DME: Fields ZALDT and AUSFD are no longer equal</t>
  </si>
  <si>
    <t>DME: SEPA purpose code cannot be entered using RPCDCP00</t>
  </si>
  <si>
    <t>Archiving PA_PDOC: Functn modules missing for archive conv.</t>
  </si>
  <si>
    <t>RPCIPE00: Rückrechnung auf nicht gebuchte Ergebnisse</t>
  </si>
  <si>
    <t>H99_POST_PAYMENT/RPCIPE01 PM: Check replacement for at least</t>
  </si>
  <si>
    <t>Start date for payroll simulation</t>
  </si>
  <si>
    <t>checkman</t>
  </si>
  <si>
    <t>H99_REPLACEMENT_POSTING_FRAME: CHECKMAN corrections</t>
  </si>
  <si>
    <t>RPCIPE00: Retroactive accounting, country splits, document n</t>
  </si>
  <si>
    <t>RPCIPE00/RPCIPE01: No document for incorrect vendor or custo</t>
  </si>
  <si>
    <t>RPCIPE01: PPOIX not adjusted during reversal</t>
  </si>
  <si>
    <t>CODIST generated incorrectly during retroactive accounting</t>
  </si>
  <si>
    <t>RPCIPE01 PM: Displaying substitutions in a document</t>
  </si>
  <si>
    <t>RPCIPE01: Document without company code for vendor and Gener</t>
  </si>
  <si>
    <t>RPCIPE00: Additional document when changing cost center and</t>
  </si>
  <si>
    <t>RPCIPE00: Performance: COLLECT_EP without negative posting</t>
  </si>
  <si>
    <t>RPCIPE01: Posting index not evaluated when posting VOID</t>
  </si>
  <si>
    <t>RPCIPE01:  Balance in transaction currency in document with</t>
  </si>
  <si>
    <t>RPCIPE01: Error message when there are zero items</t>
  </si>
  <si>
    <t>RPCIPE00/H99_POST_PAYMENT: Falsche Kontierung bei Offcycle u</t>
  </si>
  <si>
    <t>RPCIPE00: Wage types from closing gap result not evaluated (</t>
  </si>
  <si>
    <t>RPCIPE00/RPCIPE01: Budget period in the log</t>
  </si>
  <si>
    <t>PY-XX-DT-NGL</t>
  </si>
  <si>
    <t>Posting with NEW GL</t>
  </si>
  <si>
    <t>RPCIPE00: Dump BAdI BADI_HRPP_COUNTRY_SPLIT not active</t>
  </si>
  <si>
    <t>PY-XX-DT-PM</t>
  </si>
  <si>
    <t>Posting payments</t>
  </si>
  <si>
    <t>RPCIPE01: Incorrect account assignment type in retroactive a</t>
  </si>
  <si>
    <t>Mailing address ended mid-month displayed on payslip</t>
  </si>
  <si>
    <t>New BT fields for SEPA direct debit in remuneration statemen</t>
  </si>
  <si>
    <t>Wrong Address of Personnel Area in case of splitted pay resu</t>
  </si>
  <si>
    <t>PE51 form does not show amounts</t>
  </si>
  <si>
    <t>ILM : Preprocessing HRPA_NTFTN results in long run</t>
  </si>
  <si>
    <t>H99CWTR0/ H99CWTR0_CE displays duplicate columns sometimes d</t>
  </si>
  <si>
    <t>HRFORMS: Unable to sort generated payroll form by pernr</t>
  </si>
  <si>
    <t>PY-XX-IT</t>
  </si>
  <si>
    <t>Interface Toolbox</t>
  </si>
  <si>
    <t>PU12: Generation of an interface results in syntax error</t>
  </si>
  <si>
    <t>Extend P2010 with the fourth parameter</t>
  </si>
  <si>
    <t>Cumulation with off-cycle results</t>
  </si>
  <si>
    <t>XMES does not output message in dialog box</t>
  </si>
  <si>
    <t>AMT, NUM, RTE: Partial period parameter KAX** returns incorr</t>
  </si>
  <si>
    <t>PE04: EXPRT Cluster ID descriptions (parm 2 KIND)</t>
  </si>
  <si>
    <t>payroll areas from PNPABKRS are ignored while executing payr</t>
  </si>
  <si>
    <t>Changed into the memory of the infotype 52 values are not re</t>
  </si>
  <si>
    <t>Error during converting currency in payroll function P0009</t>
  </si>
  <si>
    <t>Loan: Change, deletion, and delimitation lose regular paymen</t>
  </si>
  <si>
    <t>Records in AB table in wrong order.</t>
  </si>
  <si>
    <t>LOG: Method PREPARE_E3L not working correctly</t>
  </si>
  <si>
    <t>Performance Enhancement for HR Attributes</t>
  </si>
  <si>
    <t>Test Data Container - Tools to work with ECATT variants II</t>
  </si>
  <si>
    <t>Code injection vulnerability in PY-XX-RS</t>
  </si>
  <si>
    <t>Technical delivery of ReUse objects</t>
  </si>
  <si>
    <t>HCM Appl. log - Limited number of nodes  - Short Dump</t>
  </si>
  <si>
    <t>Table T5F99FMAP for mapping fields of legal reports</t>
  </si>
  <si>
    <t>SYST 1 - P99S - DAQ - DDIC to replace types on type groug</t>
  </si>
  <si>
    <t>H99_PRESORT_PERNR: Problem during personnel number selection</t>
  </si>
  <si>
    <t>Enable function module callback in Temse Viewer</t>
  </si>
  <si>
    <t>Enabling module pool MP322800 (Online Election) to support i</t>
  </si>
  <si>
    <t>PM: Improvement of display for personnel numbers/persons</t>
  </si>
  <si>
    <t>Archiving PA_CALC: Checks missing in test run</t>
  </si>
  <si>
    <t>Process Model: SAPFPAYM_SCHEDULE with error</t>
  </si>
  <si>
    <t>RPULCP00: Short dump DATA_OFFSET_TOO_LARGE</t>
  </si>
  <si>
    <t>Checkman RPUARBX0: Unsorted DB Content</t>
  </si>
  <si>
    <t>PUST - waiting point does not work</t>
  </si>
  <si>
    <t>Process Model: short dump DBIF_RSQL_INVALID_RSQL</t>
  </si>
  <si>
    <t>Short DUMP COMMIT_IN_OS_EVENT when you run PUST transaction</t>
  </si>
  <si>
    <t>Error when reading archived data in PC_PAYRESULT</t>
  </si>
  <si>
    <t>Process model call program SAPFPAYM instead of the recommend</t>
  </si>
  <si>
    <t>Program H99PMTYPC deletes all entries in view SWFDVEVTY1 fro</t>
  </si>
  <si>
    <t>Error message for value determination when you run archive p</t>
  </si>
  <si>
    <t>COID Report - Corrections</t>
  </si>
  <si>
    <t>IRP5 Changes Related to ETI, SIC Code and Postal Address Cha</t>
  </si>
  <si>
    <t>Incorrect carryforward of Kilometer claim and Bonus payments</t>
  </si>
  <si>
    <t>Wage Type Reporter - Wage Type Help Text Language</t>
  </si>
  <si>
    <t>XX-TRANSL-HU</t>
  </si>
  <si>
    <t>Translation HU</t>
  </si>
  <si>
    <t>Correction of translation of 'Birthday list'</t>
  </si>
  <si>
    <t>XX-TRANSL-NL</t>
  </si>
  <si>
    <t>Translation NL</t>
  </si>
  <si>
    <t>Translation of 'Distance in kilometers'</t>
  </si>
  <si>
    <t>F4-Search Help for Fund for  Cost Distribution does not work</t>
  </si>
  <si>
    <t>Travel expense type: Flat rate taxation by employer</t>
  </si>
  <si>
    <t>IT0136: Fehlende Verprobung Eingabe Empf.schl./Empfängerda</t>
  </si>
  <si>
    <t>RPCKSBA0_MAT Krankenstandsmeldung Abgleichreport: Komplexe Sachlage falsch bearbeitet</t>
  </si>
  <si>
    <t>RPCURLA1:  Urlaubsanspruch verdoppelt</t>
  </si>
  <si>
    <t>IT0367: Beitragsbeginn BV weiterhin eingabebereit beim Anzeigemodus</t>
  </si>
  <si>
    <t>IT0136:  Felder PROPIBAN und P0136-UEBNO können nicht allein ausgeblendet werden</t>
  </si>
  <si>
    <t>Dimona Student - Update not expected - Ext. Working places</t>
  </si>
  <si>
    <t>CP: Contract Printing does not display the city code</t>
  </si>
  <si>
    <t>TNM: transaction for maintaining T5F5Q data</t>
  </si>
  <si>
    <t>Issue with CL_1031_HRPAYIT_INAIL and PITNA type group</t>
  </si>
  <si>
    <t>RPLSHOJ3: Incorrect check for Date of Acquisition</t>
  </si>
  <si>
    <t>HJPULV_LINJ0: Can't update Minus Insurance Prem. Amount in YEA Scenario</t>
  </si>
  <si>
    <t>RPTZKMN2: UWV Form Ziekteaangifte Could be Printed in Wrong Language</t>
  </si>
  <si>
    <t>PA-PA-NO</t>
  </si>
  <si>
    <t>HRNO:Problem in creation  IT0006 with country other than NO</t>
  </si>
  <si>
    <t>HPHRALP0 - Sprecial characters in electronic document</t>
  </si>
  <si>
    <t>LC RU XML-format for 4-FSS report (2014)</t>
  </si>
  <si>
    <t>Masterdata buffer is not inizialized for ind. valuation</t>
  </si>
  <si>
    <t>HR-RU: Impossible to fill in table TAX with report HRUURU30</t>
  </si>
  <si>
    <t>Legal Change: Personal Data Protection Act Solution Phase 1 Release</t>
  </si>
  <si>
    <t>NRS Variable Allowance Output in Wrong Place</t>
  </si>
  <si>
    <t>NRS Variable Allowance Display Incorrect</t>
  </si>
  <si>
    <t>Incorrect Dynamic Action for IT0185 Sub Type - Employment Pass</t>
  </si>
  <si>
    <t>Employee Cluster Data not Deleted Completely in Report SAPTWDP0</t>
  </si>
  <si>
    <t>PA-PA-US: Missing entries from T513 due to usage of infotype 1610 (US Job Attributes)</t>
  </si>
  <si>
    <t>Pension receipt notification: ZE99 rejections because of &amp; in customer name</t>
  </si>
  <si>
    <t>PV7I: Warning Icon missing in French (FR) language</t>
  </si>
  <si>
    <t>PP61 - Termination due to info columns</t>
  </si>
  <si>
    <t>PP61: Slow performance when selecting a work center containing many employees</t>
  </si>
  <si>
    <t>PP67 terminates with DBIF_RSQL_INVALID_RSQL</t>
  </si>
  <si>
    <t>PP61 collision check: Empty dialog window when copying a partial-day absence</t>
  </si>
  <si>
    <t>PP61: Shift abbreviation changed via customer exit CUSTOMER_EXIT_ON_DATA_CHANGED is reset again</t>
  </si>
  <si>
    <t>PP61: Employees Missing in Data Entry Grid</t>
  </si>
  <si>
    <t>[AR] HARCSRV0: SAPscript form has values surpassing the table limits</t>
  </si>
  <si>
    <t>[AR] Manual eligibility for SAC deduc. in Final Settlement</t>
  </si>
  <si>
    <t>[AR] SAC is being considered twice for Income Tax</t>
  </si>
  <si>
    <t>[AR] Documentation: New Report for ART Calculation</t>
  </si>
  <si>
    <t>RPCKSBA0_MAT: Abgleich Abwesenheiten mit Vortageskennzeichen</t>
  </si>
  <si>
    <t>ASV00 Verdopplung der SV-Tage und SV-Tage in inaktiven Zeiträumen</t>
  </si>
  <si>
    <t>RAPY for FLAF and municipal tax deactivated by SAP Note 1919989</t>
  </si>
  <si>
    <t>HW 1919989 ignoriert FLAF-Befreiung für DN die über 60 Jahre alt sind</t>
  </si>
  <si>
    <t>RPCURLA1: Falsche Kostenstelle nach Hinweis 1897266</t>
  </si>
  <si>
    <t>Steuerbefreiung von Kommunalsteuer und FLAF  bei Rückrechnung Vorjahr</t>
  </si>
  <si>
    <t>RPCBETA1:  BAdI zur Korrektur von Buchungsdifferenzen</t>
  </si>
  <si>
    <t>RPCALCA0: Pensionistenabsetzbetrag bei untermonatigem Austritt</t>
  </si>
  <si>
    <t>Reporting nach Änderung der WPBP-Zeilen durch Rückrechnung Vorjahre (RRVJ)</t>
  </si>
  <si>
    <t>IT0526: Arbeits- und Entgeltbestätigung bei Lehrlingen während Entgeltfortzahlung</t>
  </si>
  <si>
    <t>Steuerliche Berücksichtigung  der DN-SV-Beiträge (laufendes Gehalt)</t>
  </si>
  <si>
    <t>RPCALCA0: Auslandsentsendung und mehrere Sonderzahlungen</t>
  </si>
  <si>
    <t>LC2014: Altersteilzeit: Index-Erhöhung 2014</t>
  </si>
  <si>
    <t>LC2014: AI contribution reduced as of July 1, 2014 to 1.3% and IE as of January 1, 2015 to 0.45</t>
  </si>
  <si>
    <t>Abgabenänderungsgesetz.2014: Falsche Höchstbemessungsgrenze bei 25 Dienstjahren</t>
  </si>
  <si>
    <t>IT0367: Beim Abmeldegrund 00 "sonstige Gründe" ist Pflichtfeld nicht pflegt</t>
  </si>
  <si>
    <t>Auslieferung der Lohnart /220 mit Hinweis 1969193</t>
  </si>
  <si>
    <t>RPISMRA0: Fehler im Selektionsbild und Batch-Input-Mappe</t>
  </si>
  <si>
    <t>RPTGENA0: Krankheit am Feiertag an einem arbeitsfreien Tag</t>
  </si>
  <si>
    <t>rpcalca0: Limitprüfung Kündigungsentschädigung lt. Abgabenänderungsgesetz  2014</t>
  </si>
  <si>
    <t>RPLEABA0: Beamte und Teilentgelt</t>
  </si>
  <si>
    <t>PY-AU: Exluded/non-excluded flag in leave payment tab does not get saved to IT0701 in term org</t>
  </si>
  <si>
    <t>Split ETP tax-free payments are not displayed on ETP summary</t>
  </si>
  <si>
    <t>38: Correction to Superannuation Legal changes 2013</t>
  </si>
  <si>
    <t>Incorrect Retro processing for RESC wagetype</t>
  </si>
  <si>
    <t>Incorrect values in WT /106 and /116 when negative leave loading XFY</t>
  </si>
  <si>
    <t>Issue: Incorrect page numbers in Lump Sum E report output and duplicate ETP forms when reprinted</t>
  </si>
  <si>
    <t>Split ETP payments are not reported on payment summary if given via override report</t>
  </si>
  <si>
    <t>Payroll abends when trying to read T511k for constant WICCP</t>
  </si>
  <si>
    <t>PY-AU-PS : LSL days calculated incorrectly in public sector termination workbench</t>
  </si>
  <si>
    <t>Employee Superannuation contribution calculated for Parttime PSS employee is incorrect</t>
  </si>
  <si>
    <t>39: Correction to Superannuation Legal changes 2013</t>
  </si>
  <si>
    <t>Public Sector: Incorrect /LLP during retrospective cross financial year leave loading</t>
  </si>
  <si>
    <t>Issue in importing the averages from the previous FY in case there are offcycle records in the current FY</t>
  </si>
  <si>
    <t>CRT Cumulation incorrect for split wage types in retro Across Financial Year payrolls</t>
  </si>
  <si>
    <t>General corrections for Tax calculation - 2</t>
  </si>
  <si>
    <t>SOCIAL BALANCE: Payroll Data read correction to consider 'Last Payroll Run' selection parameter</t>
  </si>
  <si>
    <t>Belcotax: XML download Zone 1.007, 2.007 and 8.007 should be equal if empty.</t>
  </si>
  <si>
    <t>DmfA: Deduction code 3102 wrongly generated</t>
  </si>
  <si>
    <t>SOCIAL BALANCE: Employee detail section error in case of WPBP splits</t>
  </si>
  <si>
    <t>DmfA: Structural reduction in case of dismissal</t>
  </si>
  <si>
    <t>DmfA: Local Unit ID in payroll cluster table SVEVL before 2014</t>
  </si>
  <si>
    <t>RPCDMFB0: refresh selection parameter global generation date</t>
  </si>
  <si>
    <t>Certificate 281.25 - Batch of changes</t>
  </si>
  <si>
    <t>Withholding tax calculation exceptional payments</t>
  </si>
  <si>
    <t>Dimona Student - Duplicate Prev. - Update instead of Cancel</t>
  </si>
  <si>
    <t>DMFA: Deduction code when split in SVEVL</t>
  </si>
  <si>
    <t>Period Parameter not passed to FM HR_BE_GET_PAYROLL_RESULTS</t>
  </si>
  <si>
    <t>HR Process Workbench - Dimona - Improvements</t>
  </si>
  <si>
    <t>Dismissal data not shown after installation of note 1943398</t>
  </si>
  <si>
    <t>BRISS: vac. differences in off-cycles after monthly payroll</t>
  </si>
  <si>
    <t>GRRF: Pre-notice amount not reported in AJUS payroll</t>
  </si>
  <si>
    <t>Enhancement of utility classes for HCM Brazil</t>
  </si>
  <si>
    <t>eSocial - Correction - Phase 2014/09</t>
  </si>
  <si>
    <t>HBRCALC0 - System is miscalculating the INSS percentage</t>
  </si>
  <si>
    <t>DIRF/Income Declaration - New value for evaluation class 07 (compl. aposentadoria)</t>
  </si>
  <si>
    <t>eSocial - Improvement for event S-1100 - Phase 2014/10</t>
  </si>
  <si>
    <t>eSocial - S-1300 event - Phase 2014/10</t>
  </si>
  <si>
    <t>eSocial - General improvements - 2014/10</t>
  </si>
  <si>
    <t>eSocial - 1200 Christmas Bonus and Termination Data - Phase 2014/10</t>
  </si>
  <si>
    <t>TAX: Correction to Note 1968122</t>
  </si>
  <si>
    <t>HR CH (CE): Withholding tax amount for a tax base amount of over 100,000 Swiss francs is incorrect, T5C2H_EXT</t>
  </si>
  <si>
    <t>LAW 2005: Missing wage statement when there is a mid-month change of legal person in December</t>
  </si>
  <si>
    <t>ISEL: RPLQSTC3, short dump LOAD_PROGRAM_NOT_FOUND (PAL log)</t>
  </si>
  <si>
    <t>ELM 4.0: Partial delivery for preparation for ELM 4.0 (support for version-dependent logic part IV)</t>
  </si>
  <si>
    <t>ELM 4.0: Partial delivery for preparation for ELM 4.0 (wage statement changes)</t>
  </si>
  <si>
    <t>ELM 4.0: Partial delivery in preparation for ELM 4.0 (work center)</t>
  </si>
  <si>
    <t>WHT percentage with neg. basis of &amp;lt;= -100,000 CHF incorrect</t>
  </si>
  <si>
    <t>ELM 4.0: Partial delivery for preparation for ELM 4.0 (religious denomination: conversion table)</t>
  </si>
  <si>
    <t>ELM 4.0: Partial delivery in preparation for ELM 4.0 (system documentation)</t>
  </si>
  <si>
    <t>ELM 4.0: Partial delivery for preparation for ELM 4.0 (OASI process: Entry and leaving notification)</t>
  </si>
  <si>
    <t>ELM 4.0: Partial delivery in preparation for ELM 4.0 (statistics,work center)</t>
  </si>
  <si>
    <t>HR CH: Withholding tax (redesign) - system documentation</t>
  </si>
  <si>
    <t>[CL] Payroll Area not considered for CLROC feature</t>
  </si>
  <si>
    <t>Excel Format Issues with Reports for Public Housing Funds, Social Insurance Contributions, and Income Taxes</t>
  </si>
  <si>
    <t>Tax Calculation for Interest, Dividends, and Bonuses</t>
  </si>
  <si>
    <t>Adding description fields to Social Insurance Contribution Data Report of China</t>
  </si>
  <si>
    <t>PY-CN: Off-Cycle Payroll Reads Infotype "Employee Remuneration Info" (2010)</t>
  </si>
  <si>
    <t>Some Wage Types Have Invalid Value 20 for Evaluation Class 01</t>
  </si>
  <si>
    <t>Report HCNCTXM0: Employees with Tax Base "Zero" Are Removed from Output List</t>
  </si>
  <si>
    <t>RPCNETD0: Customer-specific forms not taken into account</t>
  </si>
  <si>
    <t>SI: Minor correction</t>
  </si>
  <si>
    <t>Minimum leave remuneration: No transfer of previous employer entitlement to following year</t>
  </si>
  <si>
    <t>Leave with infotype 2006: Compensation for leave with infotype 0416 without storing wage type /BUE or /BUF</t>
  </si>
  <si>
    <t>IT 0190 master data maintenance: Memory effect for multiple infotype records and navigation from the overview screen (screen 3000)</t>
  </si>
  <si>
    <t>SFP: Zero notification for retroactively postponed leaving</t>
  </si>
  <si>
    <t>Runtime error in payroll subfunction DBAU TZRA</t>
  </si>
  <si>
    <t>SFP: Corrections for notification record ANMEL period of employment/parental leave</t>
  </si>
  <si>
    <t>DEUEV (German Data Entry Regulation): Corrections XVIII</t>
  </si>
  <si>
    <t>DEUEV: Version 2.53 of the general circular</t>
  </si>
  <si>
    <t>ELStAM: Process support for mass deregistration and mass registration</t>
  </si>
  <si>
    <t>ELStAM: Corrections and improvements 15/2014</t>
  </si>
  <si>
    <t>ELStAM: Information about the procedure notes</t>
  </si>
  <si>
    <t>ELStAM procedure: Improvements and corrections 16/2014</t>
  </si>
  <si>
    <t>ELStAM procedure: Corrections and improvements 17/2014</t>
  </si>
  <si>
    <t>ELStAM Procedure: User exit for own messages (18/ 2014)</t>
  </si>
  <si>
    <t>EEL data record Version 07: Preparations</t>
  </si>
  <si>
    <t>EEL: Corrections and enhancements (3/2014)</t>
  </si>
  <si>
    <t>AAG: Override type of lost time</t>
  </si>
  <si>
    <t>Remuneration statement: Identification of wage type /61U</t>
  </si>
  <si>
    <t>Processing of travel expense wage types using operation DAVM</t>
  </si>
  <si>
    <t>PO: Cleanup of garnishment results XIII</t>
  </si>
  <si>
    <t>PO: Cleanup of garnishment results XIV</t>
  </si>
  <si>
    <t>PO: Cleanup of garnishment results - saving analysis results</t>
  </si>
  <si>
    <t>PO: Cleanup of garnishment results - report for database table</t>
  </si>
  <si>
    <t>Garnishment can be delimited using PA20</t>
  </si>
  <si>
    <t>Function module CONVERSION_EXIT_PFSTA_INPUT</t>
  </si>
  <si>
    <t>Minimum remuneration calculation for SRHC</t>
  </si>
  <si>
    <t>GOP: Reversal causes repeat recalculations</t>
  </si>
  <si>
    <t>Personnel statistics: Changes for the reporting year 2014 (part 1)</t>
  </si>
  <si>
    <t>Deletion of schema DOAV</t>
  </si>
  <si>
    <t>TV-L KR: Factoring of ER contribution for trainees</t>
  </si>
  <si>
    <t>Error when using the reports RPLRZAD0 and RPLRZAB0 to update IT 406 records in the pension information procedure</t>
  </si>
  <si>
    <t>Public Services regulation, state of Hesse: 2. DRModG XXVI</t>
  </si>
  <si>
    <t>WebGUI: Printing multiple documents not possible</t>
  </si>
  <si>
    <t>WebGUI: Printing multiple documents under Linux</t>
  </si>
  <si>
    <t>No update when using BAdI HRPAY00_FED_STATE_SEN to restrict the selection help - 2</t>
  </si>
  <si>
    <t>Termination RPCDEPBSVANO_MASS_PRINT</t>
  </si>
  <si>
    <t>Corrections for notification program RPCZVMD2</t>
  </si>
  <si>
    <t>Administrative changes (CheckMan)</t>
  </si>
  <si>
    <t>Corrections for statements 2/2014</t>
  </si>
  <si>
    <t>RPUTMSE0: New field 'Provedor de nómina' in log after RED 10/2013</t>
  </si>
  <si>
    <t>TC: Wrong canarian bonification in L13 settlement</t>
  </si>
  <si>
    <t>CP: Contract Replacement - Fixed Term Contract</t>
  </si>
  <si>
    <t>CP: Contract Replacement - Training and Practices Contracts</t>
  </si>
  <si>
    <t>IRPF: Incorrect regularization reason for Ceuta or Melilla</t>
  </si>
  <si>
    <t>CRT2: General corrections for Procedimientos de ERE XML file</t>
  </si>
  <si>
    <t>PY: HR_ES_REBUILD_DIR2 issue when employee does not have payroll results</t>
  </si>
  <si>
    <t>CALC: Issues with absence "Baja fuera de plazo"</t>
  </si>
  <si>
    <t>190: Corrections to fields in Deduction Certificate</t>
  </si>
  <si>
    <t>CRETA: General corrections (version Beta) II</t>
  </si>
  <si>
    <t>TC: FAN file cannot be generated due to incorrect table reading</t>
  </si>
  <si>
    <t>CRT2: Wrong status PROCESADO PARCIALMENTE set in Procedimiento de ERE file</t>
  </si>
  <si>
    <t>CALC: Wrong number of days on M719 wage type</t>
  </si>
  <si>
    <t>CRA: Retrocalculations and corrections to files already sent</t>
  </si>
  <si>
    <t>CALC: Incorrect NIF for Bank Transfer wage types</t>
  </si>
  <si>
    <t>BONIFICACIONES: Flat Rate bonification correction</t>
  </si>
  <si>
    <t>CONTRAT@: Field Comm. Status in Infotype 0480 is not updated accordingly</t>
  </si>
  <si>
    <t>CRT2: Missing CCCs in TemSe node</t>
  </si>
  <si>
    <t>CRA: General Corrections to Paid Wage Types report (III)</t>
  </si>
  <si>
    <t>DELT@: Wrong Delt@ XML file</t>
  </si>
  <si>
    <t>CRT2: Corrections to HR_ES_CERTIFICA2_RESP_PERE transformation</t>
  </si>
  <si>
    <t>BONIFICACIONES: New methods 1109 and 1110 for contracts 109, 209 and 309</t>
  </si>
  <si>
    <t>HRFI: FIPAY - wrong results in retro</t>
  </si>
  <si>
    <t>HRFI: HFILTAX0 - Changes to Annual Tax Statement for year 2014</t>
  </si>
  <si>
    <t>BAdI HR_PAY_06_REF_PERIOD has been updated with the new field noind</t>
  </si>
  <si>
    <t>IJSS: incorrect compensated days (2)</t>
  </si>
  <si>
    <t>IJSS: illness longer than 6 months - new conditions</t>
  </si>
  <si>
    <t>DUCS: CICE previous year contributions incorrectly declared</t>
  </si>
  <si>
    <t>Special contracts: wrong calculation apprentice percentage</t>
  </si>
  <si>
    <t>N4DS: IT3340 missing code values (subtypes ASP2 CDF1 DRA2)</t>
  </si>
  <si>
    <t>RPUTIRF2: form of address and company branch grouping issues</t>
  </si>
  <si>
    <t>RPLASAF3: deduction of non-monthly bonuses from gross amount</t>
  </si>
  <si>
    <t>RPUF1HF0: Implement validation data for 4 fields - wage type, base value, constant of T511K, constant of T511P</t>
  </si>
  <si>
    <t>Enabling report RPCEDTF2  for HR process models</t>
  </si>
  <si>
    <t>RPUF1HF0: Update content of msg 809</t>
  </si>
  <si>
    <t>PY-GB: PAE: Re-assessment during retro II</t>
  </si>
  <si>
    <t>PY-GB: PAE: New Switch to minimise IT3297 Update</t>
  </si>
  <si>
    <t>PY-GB: Legal changes to the ASHE report for 2013/14</t>
  </si>
  <si>
    <t>PY-GB: Legal changes to the ASHE report for 2013/14 - DDIC</t>
  </si>
  <si>
    <t>PY-GB: P60 Correction Collection IV.</t>
  </si>
  <si>
    <t>RTI: SCON fix in 1989018 for SE and SCON for late new starts who were Auto Enrolled into D/ transfers in period 01 of the new tax year</t>
  </si>
  <si>
    <t>View cluster table entries for EYU 2013-14</t>
  </si>
  <si>
    <t>PY-GB:P46CAR:Issue with updation at locking payroll area</t>
  </si>
  <si>
    <t>HR GB:RTI: FPS Late leavers checks enhanced</t>
  </si>
  <si>
    <t>PY-GB: PAE: Duplicate message in the payroll log</t>
  </si>
  <si>
    <t>HRGB: RTI EYU updates pre-tax pension instead of net pension</t>
  </si>
  <si>
    <t>PY-GB: Court Order: Delimit doesn't work for CE Framework</t>
  </si>
  <si>
    <t>RTI : Transfers and TP values/ RTINI with 0s / incorrect hire date for a late</t>
  </si>
  <si>
    <t>PY-GB:Data element P08_EPCNP has incorrect text</t>
  </si>
  <si>
    <t>PY-GB: P60 flag update for RTI and RTINI records</t>
  </si>
  <si>
    <t>PY-GB:P11D:Company Car - Fuel withdrawn date missing in the XML file</t>
  </si>
  <si>
    <t>PY-GB: GPENS: Cumulation Duplication</t>
  </si>
  <si>
    <t>PY-GB:IT0442,P11D:Car unavailability and benef.calc. issue</t>
  </si>
  <si>
    <t>py-gb: P45 reject ME leaving on same time</t>
  </si>
  <si>
    <t>HR GB:RTI: FPS and EYU corrections</t>
  </si>
  <si>
    <t>PY-GB: WorksNo not displayed in ALV on second line in RTI reports if more than one NI Cat exists</t>
  </si>
  <si>
    <t>RTI: Late new start over the tax year with no IT0071</t>
  </si>
  <si>
    <t>PY-GB: P60 produced for employee who has no earnings</t>
  </si>
  <si>
    <t>PY-GB-PS: LGPS 2014: Pilot Bug Fixes VI</t>
  </si>
  <si>
    <t>PY-GB: P45 - Tax reference error mess. in live mode</t>
  </si>
  <si>
    <t>MPF Base Is Inconsistent with Actual Payment When Deduction Happens</t>
  </si>
  <si>
    <t>Cannot Generate IR56G Form for Employees with No Earnings</t>
  </si>
  <si>
    <t>Report HHKCTXB0: Error Message About R160Y and R160N Generated Incorrectly</t>
  </si>
  <si>
    <t>Employment Period Displayed Incorrectly for Former Employee in IR56B Form</t>
  </si>
  <si>
    <t>HIDCJAM0 - Jamsostek monthly report generated incorrectly.</t>
  </si>
  <si>
    <t>HR-IE: texts of Withhold USC - DDIC Elements</t>
  </si>
  <si>
    <t>HR-IE: infotypes start/end dates + texts of Withhold USC</t>
  </si>
  <si>
    <t>PY-IE: EHECS report, edit manually not works</t>
  </si>
  <si>
    <t>HINCREMS: Incorrect date in status report</t>
  </si>
  <si>
    <t>/4MI: Values Inconsistent in Payroll And Reported in Wrong Quarter While Using Correction Run</t>
  </si>
  <si>
    <t>Car perk should not get prorated  if employee joins in the middle of the month and loss of pay</t>
  </si>
  <si>
    <t>AFY: Issue with Previous employment details</t>
  </si>
  <si>
    <t>INBTD: Tax on Regular Bonus Payments Inconsistent</t>
  </si>
  <si>
    <t>Length of Name &amp; Address Of Employer on Form 12BA(SAP Script)</t>
  </si>
  <si>
    <t>HINCF24Q : Inconsistency in background processing with TAN based reporting</t>
  </si>
  <si>
    <t>HINCF160: Mailing Pan wise Downloaded Part-A &amp; Part-B of Form-16</t>
  </si>
  <si>
    <t>Form 24 Q : Date format is incorrect for "Salary and Tax details" ( ANNEXURE II ) when downloaded to Excel</t>
  </si>
  <si>
    <t>HINCF24Q: Inconsistency in e-file validation for Q4</t>
  </si>
  <si>
    <t>EDLI: Rounding to Nearest Rupee and Basis Limited to Maximum of INR 6500</t>
  </si>
  <si>
    <t>HINCF160: Change for Tax Credit and Surcharge</t>
  </si>
  <si>
    <t>Error message "No entry in table T511K for key 40 CRPRO" while running cross FY retro in 2014</t>
  </si>
  <si>
    <t>F24: Section INPS codes C10 and CXX are wrongly rounded</t>
  </si>
  <si>
    <t>HR-IT: New 'NMDIF' optional parameter on 'UNIE0' feature to control use of deferred period on UniEmens 1.2.6</t>
  </si>
  <si>
    <t>Wrong creation of /4XD by DETAS in case of retrocalculatio</t>
  </si>
  <si>
    <t>HR-IT: IRPEF - additional family deductions revision (con almeno quattro figli a carico)</t>
  </si>
  <si>
    <t>/TD9 "Saldo dell'imposta sulla rivalutazione TFR" wrongly calculated</t>
  </si>
  <si>
    <t>UniEmens: Wrong generation of statistical code NFOR in case of rehiring</t>
  </si>
  <si>
    <t>Autoliquidazione INAIL 2014</t>
  </si>
  <si>
    <t>Modello 730-2014</t>
  </si>
  <si>
    <t>Income-tax cut for lower-income earners: 80 Euros decree</t>
  </si>
  <si>
    <t>Performance Improvement on DB access in Payroll Japan</t>
  </si>
  <si>
    <t>Enhancement of RPCLIAJ0 and RPCLIAJ1 for Kijun-Gai Wage display</t>
  </si>
  <si>
    <t>LC2014: Health Insurance Dependent Declaration data files</t>
  </si>
  <si>
    <t>Enhancement of Shoyo Adjustment on Labor Insurance Wage and Exemption Amounts</t>
  </si>
  <si>
    <t>RPCEIAJ0: Nengo for Birthday display incorrect in PDF</t>
  </si>
  <si>
    <t>RPCWTSJ0: Incorrect amount display with Adjustments in IT0146</t>
  </si>
  <si>
    <t>Font Alignment for Japan PDF Forms</t>
  </si>
  <si>
    <t>RPCPRTJ0: Incorrect Numbers of Employees over 1000 in PDF</t>
  </si>
  <si>
    <t>Medical and Education Tax Credit</t>
  </si>
  <si>
    <t>Upper and Lower Limits of NP Monthly Compensation Increase</t>
  </si>
  <si>
    <t>LC2014: Transferred Amount When RP with NP Convertible</t>
  </si>
  <si>
    <t>Wage type Documentation for Payroll Kuwait</t>
  </si>
  <si>
    <t>Averages adjustment in case of several salary increases in one year</t>
  </si>
  <si>
    <t>Legal change in personnel taxation (GS #250 from 20.03.2014)</t>
  </si>
  <si>
    <t>Taxation corrections regarding privilege equal 55 minimum wages</t>
  </si>
  <si>
    <t>[MX] Enhancements for Digital Fiscal Document (CFDi) - 4</t>
  </si>
  <si>
    <t>[MX] Documentation updates</t>
  </si>
  <si>
    <t>[MX] Incorrect amount on retroactive ISSSTE</t>
  </si>
  <si>
    <t>Correction for semi-monthly tax calculation</t>
  </si>
  <si>
    <t>Activate MAS1G MAS1N in payroll operation OUTWP for MY</t>
  </si>
  <si>
    <t>Processing class adjustment in IMG: SPRO-&amp;gt;payroll-&amp;gt;payroll: Malaysia-&amp;gt;Wage Type Maintenance-&amp;gt;Check processing classes</t>
  </si>
  <si>
    <t>Name conversion correction for TAX deduction in IT0198</t>
  </si>
  <si>
    <t>Incorrect tax &amp; CVZ calculation when using conversion rules for over AOW age</t>
  </si>
  <si>
    <t>Payroll function NLSIR gives error in case of JUPER-split with terminating JUPER</t>
  </si>
  <si>
    <t>Crisis Tax: Change for 4 Weekly Payroll in Case of Manual Corrections</t>
  </si>
  <si>
    <t>Jaaropgave Werknemer - Correction in translation</t>
  </si>
  <si>
    <t>HRNO: Reimbursement - sickness AP days calculation [2/2]</t>
  </si>
  <si>
    <t>HRNO: SPK - correction of issues -  March / April 2014</t>
  </si>
  <si>
    <t>EDAG - May 2014 [1/4] - DDIC</t>
  </si>
  <si>
    <t>EDAG - May 2014 [2/4] - Post-DDIC</t>
  </si>
  <si>
    <t>EDAG - May 2014 [3/4] - Reports</t>
  </si>
  <si>
    <t>EDAG - May 2014 [4/4] - Customization</t>
  </si>
  <si>
    <t>HRNO: eTaxCard - Correction of issues - May 2014</t>
  </si>
  <si>
    <t>HRNO: SPK: Correction of system dump after SAP Note 1988237</t>
  </si>
  <si>
    <t>RPUTILV1 - May 2014 - Corrections &amp; improvements</t>
  </si>
  <si>
    <t>SST - May 2014 - correction of issues</t>
  </si>
  <si>
    <t>RPITIGVP - May 2014 - HANA DB check</t>
  </si>
  <si>
    <t>HRNO: Change in Basic amount</t>
  </si>
  <si>
    <t>Payroll Norway - Public Sector</t>
  </si>
  <si>
    <t>HRNO: SPK - correction of issues - May 2014</t>
  </si>
  <si>
    <t>Dependency Allowance  : Integration of Austrian Government Grant</t>
  </si>
  <si>
    <t>Arrival Date at Duty Station Must not be Extended by 30 days in case of Rental Deduction</t>
  </si>
  <si>
    <t>Reasonable Maximum Rent Level  for Schema B</t>
  </si>
  <si>
    <t>PY-NZ : Incorrect number of Public Holidays on termination</t>
  </si>
  <si>
    <t>PY-NZ: Incorrect adjustment of LVAWE using IT0312</t>
  </si>
  <si>
    <t>PY-NZ : Termination work bench not giving proper output</t>
  </si>
  <si>
    <t>PY-NZ : Duplicate WT/143 entries in CRT</t>
  </si>
  <si>
    <t>PY-NZ : Incorrect checking of Base Annual Salary in Exception Report</t>
  </si>
  <si>
    <t>PY-NZ : Leave Balance wage types are incorrect when there is compensated leave</t>
  </si>
  <si>
    <t>PY-NZ : Entries for view V_T7NZTC</t>
  </si>
  <si>
    <t>PY-NZ : PC00_M43_CTR1 is not delimiting WT in IT0014</t>
  </si>
  <si>
    <t>Incorrect Non-taxable Amount in Report HPHRTAX0</t>
  </si>
  <si>
    <t>Log in Payroll Function TAXCA Displays Incorrectly</t>
  </si>
  <si>
    <t>Payroll Driver does not Reject the Employee without IT0411</t>
  </si>
  <si>
    <t>Philippine Tax Method Reset</t>
  </si>
  <si>
    <t>HCM-PT: Generic BAdI for evaluation of company details</t>
  </si>
  <si>
    <t>RPCWARP0: wrong limitation of amounts due to SS basis</t>
  </si>
  <si>
    <t>Wrong determination of leave date</t>
  </si>
  <si>
    <t>Monthly Income Declaration: New income subcategories – Corrections II</t>
  </si>
  <si>
    <t>Rounding issues on /354 wage type generated by SSCV payroll rule</t>
  </si>
  <si>
    <t>Single Report: General Corrections for version 2013</t>
  </si>
  <si>
    <t>Incorrect payment of vacation allowance in twelfths in the hiring month</t>
  </si>
  <si>
    <t>Banking Employees: Parental Responsability is wrongly checked when running 0021 Infotype in background mode</t>
  </si>
  <si>
    <t>Business Function HCM_LOC_CI_61 might not activate payroll functionalities for the Portuguese banking sector</t>
  </si>
  <si>
    <t>CGA Correction Package II 2014</t>
  </si>
  <si>
    <t>Authorization Issues in Occupational Hazard Infotype 3307</t>
  </si>
  <si>
    <t>Incorrect forming of excess income tax if the status of tax resident changes</t>
  </si>
  <si>
    <t>FSSDP XML Register for Applications in case of illness of the employee after leaving the company</t>
  </si>
  <si>
    <t>RSV-1: cumulative updates 05.2014</t>
  </si>
  <si>
    <t>Wage Types of SI Exemptions for new SWC classes</t>
  </si>
  <si>
    <t>Number of Base Days in XML for FSSDP</t>
  </si>
  <si>
    <t>Federal law 55-FZ from 02.04.2014. New coefficient for calculation of the average wages – 29,3.</t>
  </si>
  <si>
    <t>HR-RU: Warning message about empty RUSTA table during advance off-cycle runs</t>
  </si>
  <si>
    <t>HRSE: RPLTCES0 - Change of PDF Form for Scanning purposes</t>
  </si>
  <si>
    <t>HRSE: RPLSPPS2 DEP1 Monthly pay in "IN" when hired . Replaces the "LO" event for such period.</t>
  </si>
  <si>
    <t>HRSE: SNAB incorrect processing</t>
  </si>
  <si>
    <t>HRSE: Vacation Eligibility- Macro changed to FM</t>
  </si>
  <si>
    <t>GPML/GPPL/SPL/GPAL Claim Form 2013 New Layout (PDF)</t>
  </si>
  <si>
    <t>Missing CPF contribution during conversion period from 3 year PR to CITIZEN</t>
  </si>
  <si>
    <t>Incorrect voluntary CPF in retro case</t>
  </si>
  <si>
    <t>IR8A: Round issue about voulntary countribution CPF posted oversea calculation in item d7</t>
  </si>
  <si>
    <t>CPF refund amount in negative AW retro process</t>
  </si>
  <si>
    <t>Incorrect shortfall when total wage is less than 1500</t>
  </si>
  <si>
    <t>M399 Manual Adjustment used for projection method</t>
  </si>
  <si>
    <t>IR21 Form:new feature for posting overseas</t>
  </si>
  <si>
    <t>Inconsistency between IR8A SAPScript and PDF layout</t>
  </si>
  <si>
    <t>Corrections to the Destruction Report for Singapore PDPA Solution</t>
  </si>
  <si>
    <t>Incorrect CPF Excess Generated due to Legal Entity Change</t>
  </si>
  <si>
    <t>PY-TH: Error in THREP Payroll Function</t>
  </si>
  <si>
    <t>Incorrect SS Contribution Calculated When Payroll Area Changed</t>
  </si>
  <si>
    <t>Add International Subschema XLON to Schema TH00</t>
  </si>
  <si>
    <t>List and Update New Pension Data for Employees Who Are Foreign Spouses with Report HTWLHI00</t>
  </si>
  <si>
    <t>Family Members Listed Incorrectly in the Form of Report HTWLCE00</t>
  </si>
  <si>
    <t>VET: Employee not processed is considered in Min.and Max.</t>
  </si>
  <si>
    <t>TR: Display authorization issue for infotype 3228</t>
  </si>
  <si>
    <t>TR: Form 941-X for 2014</t>
  </si>
  <si>
    <t>Online W-2: Multiple Forms W-2c/W-2c PR not being displayed</t>
  </si>
  <si>
    <t>TR: Form 941-X corrections for 2014</t>
  </si>
  <si>
    <t>TR: Incorrect sequence number retrieved by Online W-2 logic</t>
  </si>
  <si>
    <t>TR: Form 941-X PR for 2014</t>
  </si>
  <si>
    <t>TR: Manual employee selection not working properly for W-2c PR</t>
  </si>
  <si>
    <t>WTA: WT from IT2002 is not prorated correctly</t>
  </si>
  <si>
    <t>TAX: Taxes reciprocy is not being set correctly for work tax override</t>
  </si>
  <si>
    <t>TAX: UTPRI generates wrong differences in retro after note 1868200</t>
  </si>
  <si>
    <t>TAX: Supplemental wages overtaxed because pre-tax deduction not considered</t>
  </si>
  <si>
    <t>[VE] Incorrect ZBKON field in HVECDTA0 report</t>
  </si>
  <si>
    <t>Wrong element highlighted with warning message in IT0861</t>
  </si>
  <si>
    <t>Delimiting of Variable payment for each component</t>
  </si>
  <si>
    <t>IRP5: ETI SARS Code 3026 reporting 'Y' instead of 'X'</t>
  </si>
  <si>
    <t>Infotype 0006/3366 - Dump while recruiting a new employee</t>
  </si>
  <si>
    <t>Additional fields (infotype view 3366 fields) are displayed for each subtype on PA30 screen of Infotype 0006</t>
  </si>
  <si>
    <t>IRP5 - Employer SIC Code (2082) missing when submitting and Address SARS code for employees with foreign income</t>
  </si>
  <si>
    <t>'M' Asylum Seeker - Nature of Person</t>
  </si>
  <si>
    <t>BP for Manager Self-Service (HR)</t>
  </si>
  <si>
    <t>Obsolete escape method used</t>
  </si>
  <si>
    <t>IT0367: vom Abmeldegrund 00 kann man nicht auf einen anderen Abmeldegrund wechseln</t>
  </si>
  <si>
    <t>IT0367: Ergänzung der Abmeldegründe für Öffentlichen Dienst</t>
  </si>
  <si>
    <t>TemSe Viewer: TemSe files not created in background run</t>
  </si>
  <si>
    <t>Address Data: 8 character postal code system exit</t>
  </si>
  <si>
    <t>Change in infotype 0465 - Documents</t>
  </si>
  <si>
    <t>Usage management enablement of Report platform</t>
  </si>
  <si>
    <t>Enhancements to Report Management Platform</t>
  </si>
  <si>
    <t>PA-PA-GB:IT0070:Incorrect ObjectID incremen.(more than 99)</t>
  </si>
  <si>
    <t>PA-PA-GB:IT0442:'Tax Year for calculation' F4 help issue</t>
  </si>
  <si>
    <t>PA-PA-GB: 2 CSL record in the same period has not to be exists</t>
  </si>
  <si>
    <t>PA-PA-GB:Function Module for ObjectID inc.(more than 99)</t>
  </si>
  <si>
    <t>IT0559: No Entry in Table T591A for 0559 (PG301)</t>
  </si>
  <si>
    <t>2014LR: Enhancement on Medical Expense (0812) Infotype</t>
  </si>
  <si>
    <t>Add Field 'LOCAT' on Address (0006) Overview Screen</t>
  </si>
  <si>
    <t>KR Usage Enablement of YEA Forms on ESS</t>
  </si>
  <si>
    <t>IC number check</t>
  </si>
  <si>
    <t>EIR: Updated Version</t>
  </si>
  <si>
    <t>Improvements of report “Check Legal Structure Consistency” related to Ukraine localization</t>
  </si>
  <si>
    <t>HR-RU: Garnishment Documents infotype generates runtime error</t>
  </si>
  <si>
    <t>NRS: Incorrect Formula Code in Caps</t>
  </si>
  <si>
    <t>NRS Variable Allowance Incorrect during Off-cycle Retroactive</t>
  </si>
  <si>
    <t>Type of Family Record only Display 2 Digits in Overview Screen</t>
  </si>
  <si>
    <t>Data Protection: U.S. archiving objects incorrectly evaluate records during preprocessing</t>
  </si>
  <si>
    <t>Data Protection: preprocessing programs fails when determining start date</t>
  </si>
  <si>
    <t>PE-LSO-TM-DW</t>
  </si>
  <si>
    <t>Day-to-Day Activities</t>
  </si>
  <si>
    <t>Course Appraisals report does not consider appraisal switch</t>
  </si>
  <si>
    <t>PSV2: Create w/o Resources-Incorrect Object name displayed</t>
  </si>
  <si>
    <t>Material number is stored with incorrect format</t>
  </si>
  <si>
    <t>Report RHSTOR10: Problem with display/change of notes</t>
  </si>
  <si>
    <t>PE: Attendee list ignores the selection condition</t>
  </si>
  <si>
    <t>S_AHR_61016215:Error in report 'Bookings per Attendee Data'</t>
  </si>
  <si>
    <t>RHXTEILN - Participants not sorted using First Name</t>
  </si>
  <si>
    <t>[AR] ART License not getting valuated after end of month</t>
  </si>
  <si>
    <t>[AR] Missing totals per Personnel Subarea in Libro Ley</t>
  </si>
  <si>
    <t>[AR] Decree 1242/2013 updates for HARCIMPF 2014</t>
  </si>
  <si>
    <t>Weitere Verbesserungen zu PDF-Formulare</t>
  </si>
  <si>
    <t>rpcalca0: KE Limit lt. AbgÄ 2014, Korrektur</t>
  </si>
  <si>
    <t>SV: Ermittlung der SV-Nummer mit  HR_AT_CHECK_AUSVL_AUSVG fehlerhaft</t>
  </si>
  <si>
    <t>Funktion ADIST: Lohnarten /672 und /679 teilweise falsch ausgeliefert</t>
  </si>
  <si>
    <t>Struktur PS3205 des Infotyps 3205 enthält Struktur CI_P0527</t>
  </si>
  <si>
    <t>Super contribution are ignored for employees 65+ years and percentage maintained in IT0220</t>
  </si>
  <si>
    <t>Payment Summary:Multiple Issues</t>
  </si>
  <si>
    <t>WPBP splits are causing super to be incorrect on payments made through IT0015</t>
  </si>
  <si>
    <t>Incorrect pay period returned from Get_Period</t>
  </si>
  <si>
    <t>Thresholds &amp; limits for 2014-2015 tax year (Partial legal change)</t>
  </si>
  <si>
    <t>PS report throws an error when split override payments are given</t>
  </si>
  <si>
    <t>PY-AU : Changes in the calculation of /TTP wage type in ETP</t>
  </si>
  <si>
    <t>Incorrect Cost Center for Leave Provision reversal, when it is changed multiple times in same retro run</t>
  </si>
  <si>
    <t>Legal change 2014-2015: Tax witholding limit on Additional Payments</t>
  </si>
  <si>
    <t>Non Enhanced Superannuation: SGC Amount being reversed in a Retro over a terminated /Rehire Scenarios .</t>
  </si>
  <si>
    <t>Lump Sum E is incorrectly reported for Motor allowances and Split override is incorrectly processed</t>
  </si>
  <si>
    <t>Lump Sum E details report displaying incorrect total</t>
  </si>
  <si>
    <t>Legal changes to the Tax Offset (Tax Rebate) amounts for the year 2014-2015</t>
  </si>
  <si>
    <t>LC: Data structure Changes for APSED as per new guidelines</t>
  </si>
  <si>
    <t>Wage type /GFB is not restored in case of retro across finanical year</t>
  </si>
  <si>
    <t>Public Sector: Incorrect tax for leave loading payments from across financial year</t>
  </si>
  <si>
    <t>Issue for override of lump sum C payments</t>
  </si>
  <si>
    <t>BELCOTAX: Certificate 281.25 Declaration - Delivery of TemSe descriptions</t>
  </si>
  <si>
    <t>DECAVA : Capitalization with contribution Worker code 270 has employer contribution incorrect</t>
  </si>
  <si>
    <t>RPTGENB0: Personal calendar and guaranteed daily salary with incapacity relapse</t>
  </si>
  <si>
    <t>DmfA: Wrong rounding of target reduction</t>
  </si>
  <si>
    <t>New Holiday Pay solution - P0505 - Duration between Dates</t>
  </si>
  <si>
    <t>DmfA - XML fields not filled 2014Q1</t>
  </si>
  <si>
    <t>DmfA/DmfAPPL - Legal Changes Q2 / 2014</t>
  </si>
  <si>
    <t>DECAVA : The recognition period restructuring not used to decide the GROUP A, B, C</t>
  </si>
  <si>
    <t>Holiday Pay Calculation - Personnel Calculation Rule BH33</t>
  </si>
  <si>
    <t>Regularization of holiday certificates  (new P0505) -  Current employment Percentage and  remuneration not correct</t>
  </si>
  <si>
    <t>Holiday Pay Calculation - Wrong cummulation wagetypes assigned for wage type /VD0</t>
  </si>
  <si>
    <t>Payroll function BSV00 - Selection of Employee SI rate might be wrong</t>
  </si>
  <si>
    <t>MANAD: Account not displayed in K200 record</t>
  </si>
  <si>
    <t>BRPED: retrocalculate double vacation with compensation</t>
  </si>
  <si>
    <t>HBRMANAD - Changes to INSS and IRRF bases due to new validator version</t>
  </si>
  <si>
    <t>HBRMANAD: Incorrect CBO code for dismissed employees</t>
  </si>
  <si>
    <t>MANAD: Wrong INSS indicator in K300 record</t>
  </si>
  <si>
    <t>eSocial - Corrections - Phase 2014/11</t>
  </si>
  <si>
    <t>GPS - Regular payroll disregarded</t>
  </si>
  <si>
    <t>eSocial General Events - Phase 2014/12</t>
  </si>
  <si>
    <t>eSocial - Customizing - Phase 2014/12</t>
  </si>
  <si>
    <t>eSocial: S-1010 and S-2800 - Termination wage types - Phase 2014/12</t>
  </si>
  <si>
    <t>eSocial: classification of wage types as provison, deduction and information</t>
  </si>
  <si>
    <t>eSocial: Framework - Phase 2014/12</t>
  </si>
  <si>
    <t>eSocial: External Cockpit - Phase 2014/12</t>
  </si>
  <si>
    <t>ROE: Change of processing of ROE Printing Language in XML</t>
  </si>
  <si>
    <t>ELM 4.0: Partial delivery in preparation for ELM 4.0 (withholding tax data retrieval)</t>
  </si>
  <si>
    <t>ELM 4.0: Partial delivery in preparation for ELM 4.0 (work center processing)</t>
  </si>
  <si>
    <t>ELM 4.0: Partial delivery for preparation for ELM 4.0 (wage statement: awards detailed data)</t>
  </si>
  <si>
    <t>ELM 4.0: Partial delivery for preparation for ELM 4.0 (wage statement: barcode)</t>
  </si>
  <si>
    <t>ELM 4.0: Partial delivery for preparation for ELM 4.0 (person ID in process data)</t>
  </si>
  <si>
    <t>ELM 4.0: Partial delivery (3): RPLELMC1, withholding tax (ABAP Dictionary) - III</t>
  </si>
  <si>
    <t>ELM: Invalid values in the fields of the "Notification Context" section when displaying old notifications in B2A Manager</t>
  </si>
  <si>
    <t>ELM 4.0: Partial delivery for preparation for ELM 4.0 (support for monthly notifications part II)</t>
  </si>
  <si>
    <t>Checkman Feher im Abrechung Schweiz IMG</t>
  </si>
  <si>
    <t>ELM 4.0: Partial delivery in preparation for ELM 4.0 (plausibility municipality number + capacity utilization level)</t>
  </si>
  <si>
    <t>[CL] Reliquidation bonus processed by active periods</t>
  </si>
  <si>
    <t>[CL] Documentation Corrections</t>
  </si>
  <si>
    <t>[CL] Corrections update for Reliquidation Process</t>
  </si>
  <si>
    <t>Display Tax on Interest, Dividends, and Bonuses in Monthly Tax Reports</t>
  </si>
  <si>
    <t>Switch Period for Salary Information for Calculation of Corporate Pension Tax Exemptions</t>
  </si>
  <si>
    <t>MLR: Subapplication CIMU, cumulation wage type BTAL with /BUE and /BUF is incorrect</t>
  </si>
  <si>
    <t>Calculation of overtime incorrect for split in IT49</t>
  </si>
  <si>
    <t>DEUEV (UVMG): Corrections XXVII</t>
  </si>
  <si>
    <t>ELStAM: Improvements and corrections 19/2014</t>
  </si>
  <si>
    <t>ELStAM: Corrections and improvements 20/2014</t>
  </si>
  <si>
    <t>ELStAM procedure: Improvements and corrections 21/2014</t>
  </si>
  <si>
    <t>ELStAM: Improvements and corrections 22/2014</t>
  </si>
  <si>
    <t>AAG notification creation: Incorrect check for reimbursement rate DBBT</t>
  </si>
  <si>
    <t>EEL: Corrections 4/2014</t>
  </si>
  <si>
    <t>Remuneration statement: Minor corrections (01/2014)</t>
  </si>
  <si>
    <t>SEPA: Termination in payroll for individual bank transfer with reclamation</t>
  </si>
  <si>
    <t>Delivery of technical properties for the AVmG tables</t>
  </si>
  <si>
    <t>Guaranteed Net Amounts</t>
  </si>
  <si>
    <t>Employee chamber contribution for multi-year guaranteed net amounts</t>
  </si>
  <si>
    <t>PO: Cleanup of garnishment results XV</t>
  </si>
  <si>
    <t>Termination when running garnishment sessions</t>
  </si>
  <si>
    <t>Error in text of declaration made by a third-party debtor (PDF form)</t>
  </si>
  <si>
    <t>New statement of contributions paid: Corrections III</t>
  </si>
  <si>
    <t>Section 23c of the Code of Social Law (SGB) IV: Corrections XXV</t>
  </si>
  <si>
    <t>List width in RPCDTSD0</t>
  </si>
  <si>
    <t>Error when creating an outflow</t>
  </si>
  <si>
    <t>Data transfer: Job terminates with error message HRPAYDEAO 053</t>
  </si>
  <si>
    <t>Termination in report IT 0012: Correction statement period (RPITXAD0)</t>
  </si>
  <si>
    <t>Incorrect tax calculation for tax class 6 and subapplication STA6</t>
  </si>
  <si>
    <t>IT 0012: Correction of statement period (RPITXAD0)</t>
  </si>
  <si>
    <t>Collective agreement on flexible semiretirement: Ensuring that two amounts are exactly the same causes a problem with §3b wage types</t>
  </si>
  <si>
    <t>Personnel statistics: Changes for the reporting year 2014 (part 2)</t>
  </si>
  <si>
    <t>Regular reimbursements according to Sec. 10 of the treaty on sharing of pension costs (VersStaatsV) (18)</t>
  </si>
  <si>
    <t>Pension equalization payment: Error message when creating reduction of pension equalization payment</t>
  </si>
  <si>
    <t>Public Services regulation, state of Hesse: 2. DRModG XXVII</t>
  </si>
  <si>
    <t>§ 54 paragraph 4 BeamtVG with reduction of pension equalization payment for newer pension payment (2)</t>
  </si>
  <si>
    <t>Pension equalization payment: Adjustment §§ 37, 38 VersAusglG</t>
  </si>
  <si>
    <t>Public Services regulation, state of Hesse: 2. DRModG XXVIII</t>
  </si>
  <si>
    <t>Consideration of pension surcharge in upper limit for imputation of further pension payments</t>
  </si>
  <si>
    <t>Deviating basic pay cannot be saved</t>
  </si>
  <si>
    <t>Pay scale level determination for pension assessment information (4)</t>
  </si>
  <si>
    <t>Incorrect selection help for employment periods</t>
  </si>
  <si>
    <t>Notification periods overlap when performing retroactive change of employer</t>
  </si>
  <si>
    <t>Incorrect tax amount when carrying out notional net calculation</t>
  </si>
  <si>
    <t>Verdienstbescheinigungen 3.1 / 3.7 / 3.8: kleine Korrektur</t>
  </si>
  <si>
    <t>CALC: Wrong contribution base for Trainee scholars</t>
  </si>
  <si>
    <t>UTIL: New table T77PAYES_RELAP</t>
  </si>
  <si>
    <t>AFI: Incorrect processing for Exempt employees</t>
  </si>
  <si>
    <t>AFI: MB Actions with no VND generates empty FCT segment</t>
  </si>
  <si>
    <t>CRA: General corrections to Paid Wage Types report (IV)</t>
  </si>
  <si>
    <t>UTIL: Reader classes for T5E12, T5E08 and T5E01</t>
  </si>
  <si>
    <t>IT0016: Short dump when creating new record</t>
  </si>
  <si>
    <t>CRETA: General corrections (version Beta) III</t>
  </si>
  <si>
    <t>TC: Missing Fecha de control field in regular L02</t>
  </si>
  <si>
    <t>BONIFICACIONES: RED 03/2014 addition of new contracts</t>
  </si>
  <si>
    <t>TC: EDTCA02 for researchers with maternity in massive run</t>
  </si>
  <si>
    <t>SSOCIAL: Wrong unemployment contribution due locked record</t>
  </si>
  <si>
    <t>CRA: Usage framework for the Paid Wage Types report</t>
  </si>
  <si>
    <t>UTIL: Usage measurement utilitary class</t>
  </si>
  <si>
    <t>UTIL: Enhancements on LOG class</t>
  </si>
  <si>
    <t>HRFI: report HFILSEA0 revised - wrong results for some cases</t>
  </si>
  <si>
    <t>HRFI: HFILGAR0 is ignoring partial payroll periods</t>
  </si>
  <si>
    <t>HRFI: WT /TUP should be cumulated</t>
  </si>
  <si>
    <t>HRFI: HFICTAX0 - wrong handling of several off-cycles</t>
  </si>
  <si>
    <t>HRFI: HFILSEA0 - wrong handling of multiple off-cycle runs</t>
  </si>
  <si>
    <t>N4DS: Frais prof. S40.G40.10</t>
  </si>
  <si>
    <t>Employee is rejected in case of a productive AED of type "Cancel"</t>
  </si>
  <si>
    <t>DUCS: empty AT contributions are being generated</t>
  </si>
  <si>
    <t>RPLRPSF1: wrong display of history</t>
  </si>
  <si>
    <t>Incorrect salary for professional contract</t>
  </si>
  <si>
    <t>DSN: 1st intermediate delivery</t>
  </si>
  <si>
    <t>Increase the length of field QUALTX to 40 characters</t>
  </si>
  <si>
    <t>RPLDMOF0: DMMO statement and CDD (Remplacement) extensions</t>
  </si>
  <si>
    <t>RPCDTAF0: BT-ZWECK not correctly generated</t>
  </si>
  <si>
    <t>Documentation Update for Customizing Guide for Payroll France -&amp;gt; N4DS</t>
  </si>
  <si>
    <t>Documentation: Feature FSPEC available in Customzing for Payroll France</t>
  </si>
  <si>
    <t>RPUTIRF0, RPUTIRF1, RPUTIRF2: Sorting options for the output file</t>
  </si>
  <si>
    <t>PY-GB: RTI Documentation of the Reconciliation Report</t>
  </si>
  <si>
    <t>HRGB:RTI EYU for previous years</t>
  </si>
  <si>
    <t>PY-GB: CSL court order calculation in part period</t>
  </si>
  <si>
    <t>PY-GB: LGPS 2014: WHEN PAID v WHEN EARNED</t>
  </si>
  <si>
    <t>PY-GB:P11D:Rounding, Payroll Area Changing, Benefit issues</t>
  </si>
  <si>
    <t>HR GB:RTI: FPS ALV and structure update with fields Late reason , NI Scheme ID and Country description</t>
  </si>
  <si>
    <t>RTI: RGDIR already contains an entry with the same logical key - relevant for ME only</t>
  </si>
  <si>
    <t>PY-GB: Batch Update program doesnt work for CE Framework</t>
  </si>
  <si>
    <t>RTI: SSP YTD for ME, Hire date incorrectly reported LNS CG</t>
  </si>
  <si>
    <t>HR GB:RTI: FPS Re-hire during close gap</t>
  </si>
  <si>
    <t>HR GB:RTI: FPS Late leavers with multiple PAYE in a single run</t>
  </si>
  <si>
    <t>HR-GB: Incorrect output in Absence costs analysis report</t>
  </si>
  <si>
    <t>RTI: Retro over MPT</t>
  </si>
  <si>
    <t>HR-GB: Report RPLABSG0_SXP_OXP_COSTS extracts wrong result</t>
  </si>
  <si>
    <t>PY-GB:P11D:Benefit issues</t>
  </si>
  <si>
    <t>PY-GB: GTAX, Tax code for leavers across tax year without the P45 being issued</t>
  </si>
  <si>
    <t>PY-GB:P11D:Issues with negative contrib. &amp; EE exclud.TemSe</t>
  </si>
  <si>
    <t>PY-GB: New Court Order Local Authority DEA</t>
  </si>
  <si>
    <t>PY-GB-PS: LGPS 2014: APP: Averaging Period curtailed by ceasing employment</t>
  </si>
  <si>
    <t>PY-GB: P45 being issued for Death Cases incorrectly</t>
  </si>
  <si>
    <t>IR56F/G: Cannot Generate Additional Form When Correction Run Happens Across Fiscal Year</t>
  </si>
  <si>
    <t>Issues with MPF Bermuda Report When Employee Intercompany Transfer Has Happened</t>
  </si>
  <si>
    <t>Cannot Reprint IR56B Form If Employee Makes an Intercompany Transfer in Next Fiscal Year</t>
  </si>
  <si>
    <t>Sum of Leave Pay Should Be Added to Salary Item in IR56F/IR56G Forms If It Is Negative</t>
  </si>
  <si>
    <t>MPF Voluntary Contribution Rate Displayed Incorrectly in MPF Bermuda Report</t>
  </si>
  <si>
    <t>IR56G: Incorrect Withheld Amount in Additional Form</t>
  </si>
  <si>
    <t>PY-IE: IETAX, Tax infotype record issues</t>
  </si>
  <si>
    <t>PY-IE: ERN corrections; LPT corrections</t>
  </si>
  <si>
    <t>PY-IE: IEERN func. - incorrect ERN change check</t>
  </si>
  <si>
    <t>HINCF160: Section 80CCD Value Repeating For Employees on Form-16</t>
  </si>
  <si>
    <t>NPS: Employee's NPS relevant information of previous employment should be captured in the master data and payroll</t>
  </si>
  <si>
    <t>Form 24Q: Employee category is incorrect in ANNEXURE II  (Salary and Tax details)</t>
  </si>
  <si>
    <t>Illness Certificate Rectification</t>
  </si>
  <si>
    <t>HR-IT: CUD 2014 Authorization issue</t>
  </si>
  <si>
    <t>PY-IT: Contributo di Licenziamento - employee with less than worked 15 days</t>
  </si>
  <si>
    <t>Modello 770-2014: Correction Package I</t>
  </si>
  <si>
    <t>Income-tax cut for lower-income earners: 80 Euros decree - Corrections and Improvements</t>
  </si>
  <si>
    <t>Localization of Time Recording for Japan</t>
  </si>
  <si>
    <t>RPCEWGJ1: incorrect 0 Display in ABAP List</t>
  </si>
  <si>
    <t>Dictionary Object Generation for Time Recording Localization Japan</t>
  </si>
  <si>
    <t>LC2014: Revision of Santei/Geppen Form Data Specification</t>
  </si>
  <si>
    <t>Payroll error STOP: No rule in key J042A***** **</t>
  </si>
  <si>
    <t>Usage Measurement for JP Child Care and Nursing Leave</t>
  </si>
  <si>
    <t>PY-JP-NT-YE</t>
  </si>
  <si>
    <t>Year End Adjustment</t>
  </si>
  <si>
    <t>Re-YEA on Old Retro Payroll Results from Previous Releases</t>
  </si>
  <si>
    <t>Security Insurance and Pension Account Tax Credit</t>
  </si>
  <si>
    <t>Deferred Tax after RP with Refund Income Tax</t>
  </si>
  <si>
    <t>ER's Resident ID is Hidden for Keep by Issuer or Report by Issuer</t>
  </si>
  <si>
    <t>Form 200: Cumulative updates 06.2014</t>
  </si>
  <si>
    <t>[MX] Enhancements for Digital Fiscal Document (CFDi) - 5</t>
  </si>
  <si>
    <t>[MX] Payroll Operation MXMWA not being processed</t>
  </si>
  <si>
    <t>Legal change for Borang 2 2014</t>
  </si>
  <si>
    <t>Legal change - SOCSO Employer reference number adjustment</t>
  </si>
  <si>
    <t>WCR: Final Levy calculated can be different than Final Levy stored in database</t>
  </si>
  <si>
    <t>New Statutory Minimum Wages as of July 1st 2014</t>
  </si>
  <si>
    <t>Life-Course savings scheme does not issue the warning on the 3000,00 check</t>
  </si>
  <si>
    <t>Function NST00: warning message without text</t>
  </si>
  <si>
    <t>Aangifte LH: wrong calculation of indicator 74</t>
  </si>
  <si>
    <t>PY-NL Report RPULALN0 - Documentation</t>
  </si>
  <si>
    <t>Wage Return checks for confirmed WCR</t>
  </si>
  <si>
    <t>HRNO: Annual tax statement- wrong company</t>
  </si>
  <si>
    <t>EDAG - June 2014 [1/4] - DDIC</t>
  </si>
  <si>
    <t>EDAG - June 2014 [2/4] - Other objects</t>
  </si>
  <si>
    <t>EDAG - June 2014 [3/4] - Reports</t>
  </si>
  <si>
    <t>EDAG - June 2014 [4/4] - Customization</t>
  </si>
  <si>
    <t>HRNO: eTaxCard - Correction of issues - June 2014</t>
  </si>
  <si>
    <t>HRNO: Error in RPCATPV0 - 2100 Svalbard - 2312 Sokkel/utland</t>
  </si>
  <si>
    <t>RPUTILV1 - June 2014 - Corrections &amp; improvements</t>
  </si>
  <si>
    <t>ACF - June 2014 - Corrections &amp; improvements</t>
  </si>
  <si>
    <t>HRNO - Correction of SAP Note 2021520</t>
  </si>
  <si>
    <t>IT 0008 - WIGSI Accelerated increment next increase date</t>
  </si>
  <si>
    <t>Corrections to UNJSPF HR Interface - Dependent details</t>
  </si>
  <si>
    <t>ESS: Add Validity Fields in Application Details of Rental Subsidy Application</t>
  </si>
  <si>
    <t>Incorrect  Reimbursement rate incase of Force Majeure</t>
  </si>
  <si>
    <t>UNJSPF Common HR interface : Exit added to determine the pay scale information</t>
  </si>
  <si>
    <t>ESS: Remove Defaulting of Country Name in Address Creation</t>
  </si>
  <si>
    <t>PY-NZ : HNZLUPDSA0 Exception when updating a non default fund</t>
  </si>
  <si>
    <t>Add International Subschema XLON in Schema PH00</t>
  </si>
  <si>
    <t>Negative taxable Compensation Income in BIR2316 And Alphalist for MWE</t>
  </si>
  <si>
    <t>Restore back /111 to CRT in PHM2</t>
  </si>
  <si>
    <t>RPCWARP0: Wrong description of SS basis reduct. flag (KWARB)</t>
  </si>
  <si>
    <t>RPCSSRP0: corrections for part-time employees</t>
  </si>
  <si>
    <t>Wrong surcharge amount for employees with more than 22 days of vacation</t>
  </si>
  <si>
    <t>RPCWARP0: More than one TemSe file being generated for different policy numbers</t>
  </si>
  <si>
    <t>RPCSSRP0 - Difference between total contributions in list and electronic format.</t>
  </si>
  <si>
    <t>Employee Social Security contribution wrongly calculated when there is split in infotype 332</t>
  </si>
  <si>
    <t>RPCOVRP0: Short dump in case of WPBP splits</t>
  </si>
  <si>
    <t>Family Allowance: Corrections 2014 II</t>
  </si>
  <si>
    <t>Social Balance: additional changes for version 2013</t>
  </si>
  <si>
    <t>Law 30/2014 - ADSE change of employee contribution rate</t>
  </si>
  <si>
    <t>PY-QA - Leave Passage for Qatari nationals</t>
  </si>
  <si>
    <t>HR-RU: Global pay increase is not reflected on vacation compensation if NEWAV option is ON</t>
  </si>
  <si>
    <t>HCM-RU: Usage Enablement for FSS Direct Payments and Special Assesment of Working Conditions</t>
  </si>
  <si>
    <t>Incorrect rounding during NDFL calculation</t>
  </si>
  <si>
    <t>Bonus in average for vacations is not included</t>
  </si>
  <si>
    <t>HR-RU: DME program HRUCDTA0 does not reject pernr in case of blank payment method</t>
  </si>
  <si>
    <t>HR-RU: Sickness Certificates Register generates a dump message</t>
  </si>
  <si>
    <t>HRSE: LO event after fire -&amp;gt;Last pension plan</t>
  </si>
  <si>
    <t>Additional Fund should be prorated according to the CPF guideline</t>
  </si>
  <si>
    <t>PY-SG: Incorrect ow/aw flow-off generated if payroll retro to a period with wpbp splits</t>
  </si>
  <si>
    <t>PY-SG: negative CPF amount is dropped from monthly report for voluntary CPF employees</t>
  </si>
  <si>
    <t>IR8A:Correction to note 199252 - exception occured: CONVT_NO_NUMBER</t>
  </si>
  <si>
    <t>PY-SG: Incorrect CPF &amp; SDF computation during payroll correction run</t>
  </si>
  <si>
    <t>Improvements for the ALV  Output of the SG PDPA Destruction Report</t>
  </si>
  <si>
    <t>IR8A/E: System can not display the IR8E form when using ESS Java edition</t>
  </si>
  <si>
    <t>MediSave (MSO) Functionality Enhancements</t>
  </si>
  <si>
    <t>PY-SG-PS:  RCP3 correction to assign WPBP split for CPF wagetypes</t>
  </si>
  <si>
    <t>SS Details Report Total Contribution in Word Overlap Issue</t>
  </si>
  <si>
    <t>Report HTWLSHI0 Displays Incorrect Amounts in Detail ALV If TWD Is Not Maintained in View V_CURX</t>
  </si>
  <si>
    <t>Family Dependents Not Displayed in LI/NHI Certificate If Payroll Period Not Aligned with Calendar Month</t>
  </si>
  <si>
    <t>Specifications of Evaluation Class 06 for /Z30, /Z31, and /Z32 Are Incorrect</t>
  </si>
  <si>
    <t>PY-UA</t>
  </si>
  <si>
    <t>Ukraine</t>
  </si>
  <si>
    <t>HR-UA: Technical Delivery for Off-Cycle Calculation upon Termination and for Processing of Compensation of Vacation Quotas</t>
  </si>
  <si>
    <t>USCLM: Bundled corrections for overpayments</t>
  </si>
  <si>
    <t>GARN: Drill down incorrect after sorting record list</t>
  </si>
  <si>
    <t>US-PS: Error messages when maintaining Absence Donation (0613) infotype subtype 0003</t>
  </si>
  <si>
    <t>NWH: New Hire Reporting legal compliance for 2014.</t>
  </si>
  <si>
    <t>TR: Electronic Confirmation Number for W-2/W-2c PR reading logic update</t>
  </si>
  <si>
    <t>TR: Form 941 Line 9 is not reporting correctly</t>
  </si>
  <si>
    <t>TR: Wage Listing for KS showing invalid SSN and no employee name is visible</t>
  </si>
  <si>
    <t>TR: Incorrect values reported in record RS of MMREF-1 file for Indiana</t>
  </si>
  <si>
    <t>Q2/2014: Functional changes for U.S. Tax Reporter.</t>
  </si>
  <si>
    <t>TAX: Retrocalculation issues for California and New Jersey Supplemental Wages</t>
  </si>
  <si>
    <t>TAX: /Nxx and /Qxx not storing the corresponding tax type amounts</t>
  </si>
  <si>
    <t>SITE function calculation phase out</t>
  </si>
  <si>
    <t>Variable Payment: Error on Executing Payroll for Multiple Employees</t>
  </si>
  <si>
    <t>ETI in EMP201/501</t>
  </si>
  <si>
    <t>Gross up generates negative non RF components (/113) and not considered for UIF (/102)</t>
  </si>
  <si>
    <t>Municipality Fields : Table T5W2MC and View V_T5W2MC</t>
  </si>
  <si>
    <t>EHS-IHS-REP</t>
  </si>
  <si>
    <t>Report REHS_IAREP_DATA_DETERMINE: Internal system error</t>
  </si>
  <si>
    <t>HRWPC_RFC_EP_READ_PHOTO_URI  not reading URL</t>
  </si>
  <si>
    <t>PREC: amount of the company specific deduction if reimbursement amount is higher than tax free amount</t>
  </si>
  <si>
    <t>IT0136: nicht zu speichern wenn "Überweisungsangaben fehlen" aktiviert ist</t>
  </si>
  <si>
    <t>Error in process of extra fields on IT0100 (Social Insurance Belgium)</t>
  </si>
  <si>
    <t>eSocial - General Corrections - Phase 2014/14</t>
  </si>
  <si>
    <t>Fix for "DB Commit failed" error in HRI</t>
  </si>
  <si>
    <t>HR-GB: IT65 Tax Code Source: Pensioner Trivial Commutation</t>
  </si>
  <si>
    <t>PA-PA-GB: Court order delimitation check II.</t>
  </si>
  <si>
    <t>IT0319 amount is saved incorrectly</t>
  </si>
  <si>
    <t>HR-IT: RPUPAV00 not creating secondary infotype for IT0021</t>
  </si>
  <si>
    <t>Wrong city validation in IT0006 infotype due to date format</t>
  </si>
  <si>
    <t>LC2014: Contribution Limit Increase of Corporate Type DC Pension Plans</t>
  </si>
  <si>
    <t>Long-term Aggregare Investment Securities and Interest Payment on Housing Rental Loan without a Lump-sum Pay</t>
  </si>
  <si>
    <t>Enhancement to IT0881 on ESS and HR Renewal</t>
  </si>
  <si>
    <t>IT0002 Caption of First Name Wrongly Displayed</t>
  </si>
  <si>
    <t>[MX] New configuration option for IMSS Affiliation Number validation</t>
  </si>
  <si>
    <t>Layout changes for actual UWV Form Ziekteaangifte</t>
  </si>
  <si>
    <t>HRNO:  DAT Distribution absence tool - Create Function group HR_PADNO_DAT</t>
  </si>
  <si>
    <t>Error in NAV no. field</t>
  </si>
  <si>
    <t>CTC Information Enhancement</t>
  </si>
  <si>
    <t>BIR2316 BADI</t>
  </si>
  <si>
    <t>Corrections for report “Check Legal Structure Consistency”</t>
  </si>
  <si>
    <t>RU: printing of Archived Group Orders from IT0298</t>
  </si>
  <si>
    <t>FSSDP reports errors: GETWA_NOT_ASSIGNED or  DAQ structure generation error</t>
  </si>
  <si>
    <t>HRULRSV1: Issues with processing of seniority data</t>
  </si>
  <si>
    <t>Incorrect value of &amp;lt;BASE_AVG_SAL&amp;gt;  in xml file of 'XML Register for FSS Applications' report</t>
  </si>
  <si>
    <t>HR-RU: "Length is too large error" in SZVK report</t>
  </si>
  <si>
    <t>Legal Change: Declaration of Casino Visits and Casino Pass Purchase</t>
  </si>
  <si>
    <t>Wage Type Reporter for Singapore</t>
  </si>
  <si>
    <t>IR8A Approve Date Enhancement</t>
  </si>
  <si>
    <t>Legal Hold : Enhancements to US Archiving objects</t>
  </si>
  <si>
    <t>BEN: Carryover for Health FSA - Country code verification</t>
  </si>
  <si>
    <t>PA-PA-VE</t>
  </si>
  <si>
    <t>[VE] Infotype 0006 House Number length change</t>
  </si>
  <si>
    <t>Pension receipt notification: Corrections and enhancements for MZ01 / MI01 (1/2014)</t>
  </si>
  <si>
    <t>PEP reduction for employee liable for PEP: Corrections and enhancements 2/2014</t>
  </si>
  <si>
    <t>Pension equalization payment: Corrections/enhancements 2/2014</t>
  </si>
  <si>
    <t>Pension receipt notification: Correction notification instead of repeated initial notification</t>
  </si>
  <si>
    <t>PP61: MTABS partial-day presences/absences - error in availabilities</t>
  </si>
  <si>
    <t>PP6A / PP6B: No inclusion of daily work schedule variant for availabilities</t>
  </si>
  <si>
    <t>PP61: Partial-day records deleted incorrectly</t>
  </si>
  <si>
    <t>PP61: When you exit the daily view, a dump occurs</t>
  </si>
  <si>
    <t>RHDOCCPL: Performance Improvement</t>
  </si>
  <si>
    <t>[AR] Issues displaying data in SICORE in off cycle</t>
  </si>
  <si>
    <t>[AR] Part Time Employees generating extra withholdings</t>
  </si>
  <si>
    <t>[AR] Maternity field precision on SICOSS</t>
  </si>
  <si>
    <t>[AR] SICOSS V37</t>
  </si>
  <si>
    <t>[AR] HARCDGI0 - Field remuneration 5 is filled with zero when employee has another employer</t>
  </si>
  <si>
    <t>rpcalca0: Limitierung der Vergleichszahlung lt. Abgabenänderungsgesetz 2014</t>
  </si>
  <si>
    <t>rpcalca0: Freiwillige und Gesetzliche Abfertigung (IT0527)</t>
  </si>
  <si>
    <t>rpcalca0: Versteuerung ges. Abfertigung</t>
  </si>
  <si>
    <t>rpcalca0: Anwendung der Zwölftelregelung lt. Abgabenänderungsgesetz falsch</t>
  </si>
  <si>
    <t>BADI HRAT_INFT0527_RA: BCD_ZERODIVIDE in der Defaultimplementierung</t>
  </si>
  <si>
    <t>Abrechnungssimulation: dump wenn kein Abrechnungsergebnis im Cluster für die Personalnummer vorliegt</t>
  </si>
  <si>
    <t>Bescheinigungswesen Formular Anmeldung ATZ ab 1.1.2013</t>
  </si>
  <si>
    <t>rpcalca0: Erzeugung einer weiteren Lohnart für den Pendlereuro</t>
  </si>
  <si>
    <t>rpcalca0: Lohnart zur Kennzeichnung Sozialplanzahlung lt. Übergangsregelung</t>
  </si>
  <si>
    <t>rpcalca0: Rechenregel AJ3E verursacht Division durch 0</t>
  </si>
  <si>
    <t>PCALZ: Adresse des Dienstgebers ist auf den Formularen unvollständig</t>
  </si>
  <si>
    <t>Bescheinigungswesen im Bereichsmenü ergänzt</t>
  </si>
  <si>
    <t>Run time error "Overflow during arithmetic operation" in RPCSUPQ0 : Follow up on note 2005032</t>
  </si>
  <si>
    <t>Infotype 27 is not created when RPCOSTQ0 is executed</t>
  </si>
  <si>
    <t>40: Correction to Superannuation Legal changes 2013</t>
  </si>
  <si>
    <t>Date of birth field zero if death payments are given</t>
  </si>
  <si>
    <t>PY-AU: Invalidity tax free ETP wage types being created when employee is older than retirement age</t>
  </si>
  <si>
    <t>Follow up of note 2025460 : PS report throws an error when split override payments are given</t>
  </si>
  <si>
    <t>PY-AU: Negative values generated for WIC in termination organizer</t>
  </si>
  <si>
    <t>Superannuation : Using Modal wage type for Inflow/Outflow</t>
  </si>
  <si>
    <t>Time driver does not throw an error if infotype 41 is not maintained for an employee</t>
  </si>
  <si>
    <t>Payment Sumary: ETP paydate issue and error in generation report</t>
  </si>
  <si>
    <t>Runtime error when Employee Declaration details for ATO is run</t>
  </si>
  <si>
    <t>Employee declaration details to ATO report generates ouput only for one employee</t>
  </si>
  <si>
    <t>Issue in CHKPR in case of retro on off-cycle payroll run</t>
  </si>
  <si>
    <t>Issue in Payroll operation subroutine 'CHKPR' after applying SAP Note: 2038463</t>
  </si>
  <si>
    <t>DMFA Special Social Contribution empty in case of worker code change</t>
  </si>
  <si>
    <t>Decava - Social Welfare Amount not declared when 0</t>
  </si>
  <si>
    <t>DMFA: Student contribution rounding errors</t>
  </si>
  <si>
    <t>Follow-up on Special Contribution - Factory Shutdown Fund</t>
  </si>
  <si>
    <t>Social Insurance Target Group Reduction MENTORS</t>
  </si>
  <si>
    <t>DmfA: Miu calculation in case of dismissal allowances</t>
  </si>
  <si>
    <t>DMFA Structural reduction big amounts</t>
  </si>
  <si>
    <t>HBRDEPD0: Incorrect document agreement description</t>
  </si>
  <si>
    <t>HBRRTER3: Entry in T7BRB1 table not found</t>
  </si>
  <si>
    <t>HBRCEDT0: Wage type text truncate if higher than 23</t>
  </si>
  <si>
    <t>Registered partner dependent with wrong eligibily check</t>
  </si>
  <si>
    <t>eSocial - Corrections - Phase 2014/13</t>
  </si>
  <si>
    <t>HomologNet: incorrect DTMovimentacao</t>
  </si>
  <si>
    <t>eSocial - Employee registration number</t>
  </si>
  <si>
    <t>eSocial: ABAP dictionary - Release 2014/14</t>
  </si>
  <si>
    <t>CPP: CPP/QPP calculation issues</t>
  </si>
  <si>
    <t>ELM 4.0: Partial delivery (2): ABAP-based transmitter for ELM 4.0</t>
  </si>
  <si>
    <t>HR CH (CE): Remuneration statement can be called from payroll account</t>
  </si>
  <si>
    <t>ELM 4.0: Partial delivery for preparation for ELM 4.0 (wage statement, standard comment for child benefits)</t>
  </si>
  <si>
    <t>ELM 4.0: Partial delivery (2): Corrections for BFS, FAK, UVG</t>
  </si>
  <si>
    <t>[CL] Payroll Journal report (HCLCLJN0)</t>
  </si>
  <si>
    <t>[CL] Pay Book not displaying correct amount when it has Off-cycles in the period</t>
  </si>
  <si>
    <t>[CL] Incorrect average calculation for Maternity leave</t>
  </si>
  <si>
    <t>[CL] Reference Date causing INE Form to not being generated</t>
  </si>
  <si>
    <t>Service Year Used in Tax Calculation for Severance Payments Must Not Exceed 12</t>
  </si>
  <si>
    <t>HCNCAVG0: Recalculation Difference Is Ignored with 'In-View Payroll Periods'</t>
  </si>
  <si>
    <t>Data About Interest, Dividends, and Bonuses Is Missing from Individual Income Tax Return</t>
  </si>
  <si>
    <t>Certification request ITSG: Form HR_DE_SV_ZERTR has been adjusted</t>
  </si>
  <si>
    <t>SI: Composite SAP Note data exchange 3/2014</t>
  </si>
  <si>
    <t>ZfA/RBM: Limiting the number of files for each B2A process</t>
  </si>
  <si>
    <t>Leave with infotype 2006: Complete leave compensation in the month of leaving causes a termination in payroll</t>
  </si>
  <si>
    <t>DEUEV (UVMG): Corrections XXVIII</t>
  </si>
  <si>
    <t>ELStAM: Improvements and corrections 23/2014</t>
  </si>
  <si>
    <t>ELStAM: Corrections and improvements 24/2014</t>
  </si>
  <si>
    <t>AAG: "Last Working Day" field in infotype 0700, subtype DBBT</t>
  </si>
  <si>
    <t>EEL: Corrections 5/2014</t>
  </si>
  <si>
    <t>RPUSVND0_FLAG: Differentiating between the statement of contributions paid and the paying office statement of contributions paid</t>
  </si>
  <si>
    <t>Remuneration conversion in the notional calculations for maternity pay supplement</t>
  </si>
  <si>
    <t>Termination of RPCALCD0 when changing pay scale type in month of assessment basis</t>
  </si>
  <si>
    <t>Deactivating the calculation of the adjustment amount</t>
  </si>
  <si>
    <t>Correction for deactivating the calculation of prohibited activities</t>
  </si>
  <si>
    <t>Correction for deactivating the calculation of prohibited activities after you implement SAP Note 1974941</t>
  </si>
  <si>
    <t>Garnishment PO: Repayment calculation for retroactive accounting</t>
  </si>
  <si>
    <t>Short dump due to missing authorization for cluster DV</t>
  </si>
  <si>
    <t>Correction for concurrent employment in the slide zone</t>
  </si>
  <si>
    <t>Report RPUSVDD0 and report RPUBVDD0 terminate</t>
  </si>
  <si>
    <t>View cluster V_T5D11: Unable to copy health insurance funds</t>
  </si>
  <si>
    <t>Flexi: Correction for time-based reading of a wage type for determining the meaning of the value credit</t>
  </si>
  <si>
    <t>Data provision: Wage type filter/improvement of report logs</t>
  </si>
  <si>
    <t>ETStmt: Customer text not added to PDF form</t>
  </si>
  <si>
    <t>IT 0012: Checking the statement period</t>
  </si>
  <si>
    <t>Tax calculation: Statement period has an incorrect start date</t>
  </si>
  <si>
    <t>TVöD Federal: Higher grouping in equal pay scale as of March 01, 2014</t>
  </si>
  <si>
    <t>Pension information procedure: Incorrect update of change data for inquiry status/cession status</t>
  </si>
  <si>
    <t>Guarantee amount: Minimum amount of standard pay increase not considered</t>
  </si>
  <si>
    <t>Function DOUKA ORT returns incorrect results or terminates</t>
  </si>
  <si>
    <t>ASP: Consideration of earlier employment relationships in assessment basis</t>
  </si>
  <si>
    <t>Pay scale level increase using DEPBS_NEU: Endless loop for absence end date 31.12.9999</t>
  </si>
  <si>
    <t>Pay scale level increase using DEPBS_NEU: Incorrect calculation of periods in specific cases</t>
  </si>
  <si>
    <t>Enhanced standard pay increase: Wage type does not occur IL and DP</t>
  </si>
  <si>
    <t>Public Services regulation, state of Hesse: 2. DRModG XXX (KEZ in upper limit 58 HBeamtVG)</t>
  </si>
  <si>
    <t>§ 20 paragraph 1 BeamtVG: Calculating the widow percentage</t>
  </si>
  <si>
    <t>Treaty on the sharing of pension costs (26)</t>
  </si>
  <si>
    <t>Use of parameter for mass printing in payroll (2)</t>
  </si>
  <si>
    <t>Infotype 0326: Formal adjustment to Customizing for subtypes</t>
  </si>
  <si>
    <t>Missing field "Contribution to HI/CI" on PWE tab pages</t>
  </si>
  <si>
    <t>Manual pension payment with imputation using infotype 0326 subtype 3: Duplicate amount special payment in statement</t>
  </si>
  <si>
    <t>No comparison calculation capping periods of tertiary education section 12 paragraph 1a (DEneuG) for manual definition of pension percentage</t>
  </si>
  <si>
    <t>Pension equalization payment: Dynamic modification of reduction amount for payment adjustment using event 13</t>
  </si>
  <si>
    <t>Monthly correction of birth date for the VBL</t>
  </si>
  <si>
    <t>Annual report: Record without remuneration but with an individually taxed period</t>
  </si>
  <si>
    <t>ERE: Incorrect contribution for employees with payroll split in February</t>
  </si>
  <si>
    <t>CRETA: Bases File</t>
  </si>
  <si>
    <t>AFI: Journey reduction correction</t>
  </si>
  <si>
    <t>CALC: Part time with unpaid absence has empty DAT segment</t>
  </si>
  <si>
    <t>TEMSE: Short dump with CX_SY_CONVERSION_CODEPAGE error</t>
  </si>
  <si>
    <t>IRPF: Wrong ext. of work activity for EE under age of 65</t>
  </si>
  <si>
    <t>CALC: Issue in rounding control for training contract split</t>
  </si>
  <si>
    <t>Contrat@: April/2014 Missing error codes and elements</t>
  </si>
  <si>
    <t>CRA: General corrections to Paid Wage Types report (V)</t>
  </si>
  <si>
    <t>FDI: Wrong CCC in case of CCC change during leave</t>
  </si>
  <si>
    <t>TC: Error in quota of training contract with maternity</t>
  </si>
  <si>
    <t>CP: Contract Correction - Fixed Term and Permanent Contracts</t>
  </si>
  <si>
    <t>CRETA: General Corrections I (Version 1)</t>
  </si>
  <si>
    <t>FDI: Overtime Hours Contribution Change</t>
  </si>
  <si>
    <t>CRA:  General corrections to Paid Wage Types report (VI)</t>
  </si>
  <si>
    <t>UTIL: Enhancement on V_T77PAYES_RELAP new entry validation</t>
  </si>
  <si>
    <t>HRFI: KELA - Wrong Absence Concatenating</t>
  </si>
  <si>
    <t>HRFI: HFILTUM0 is ignoring partial payroll periods; Selection screen handling changed</t>
  </si>
  <si>
    <t>HRFI: HFISTWC0 - Changes in White Collar Statistics 2014</t>
  </si>
  <si>
    <t>HRFI: PC Rule FI50 contains mixed calculation TASOLL - TKAX</t>
  </si>
  <si>
    <t>HRFI: Add PCC '+' value to domain P44_LINEB for eLetter</t>
  </si>
  <si>
    <t>N4DS V01X08: a value of S40.G10.06.001.001 is filled by IT0185</t>
  </si>
  <si>
    <t>RPLA35F0: Changing Data Type and Length of cumulated absence field</t>
  </si>
  <si>
    <t>RPLABSF0: upgrade to ALV tree and grid</t>
  </si>
  <si>
    <t>AED: S48.G10.00 019 negative value is not allowed</t>
  </si>
  <si>
    <t>DMMO: Switch for deactivate the reading of infotype 0041 that was introduced by note 1874375</t>
  </si>
  <si>
    <t>N4DS: Field S60.G05.00.004 is filled for CNRACL or FSPOEIE.</t>
  </si>
  <si>
    <t>No more exemption on Pôle-Emploi contribution for employees over 65</t>
  </si>
  <si>
    <t>N4DS V01X09: S40.G30.40</t>
  </si>
  <si>
    <t>RPL4CRF0: dump if file version not supported</t>
  </si>
  <si>
    <t>Infotype 0424: Overview screen (3000) value of 'Absence Category' not properly displayed.</t>
  </si>
  <si>
    <t>N4DS V01X09: Field S40.G30.35.004.001 is deleted</t>
  </si>
  <si>
    <t>N4DS V01X09: Field S40.G40.00.073.001 is deleted</t>
  </si>
  <si>
    <t>RPLRPSF1: correction of note 2010636 for displaying history</t>
  </si>
  <si>
    <t>N4DS V01X09: Changes in the conditions for opening the rights to the health insurance for section S65.G40.10</t>
  </si>
  <si>
    <t>N4DS/IT3340: note 1972828 follow-up</t>
  </si>
  <si>
    <t>N4DS V01X09: New code 230 for field S40.G28.15.001</t>
  </si>
  <si>
    <t>N4DS V01X09: New code 67 allowed for field S40.G30.03.001</t>
  </si>
  <si>
    <t>N4DS V1X09: Label change for fields S80.G62.00.001 and S80.G62.00.002</t>
  </si>
  <si>
    <t>DSN : preliminary delivery related to infotype 16 (Contract element)</t>
  </si>
  <si>
    <t>IT3340:  fix to support S40.G30.03, S40.G28.15 and S40.G30.35 version V01X09</t>
  </si>
  <si>
    <t>N4DS V01X09: update of infotype 3340 subtype because of the deletion of field S40.G40.00.073.001</t>
  </si>
  <si>
    <t>N4DS Documentation of Customizing activity Define condition at wage type group level</t>
  </si>
  <si>
    <t>N4DS V01X09: Field S48.G55.00.007 is deleted</t>
  </si>
  <si>
    <t>N4DS V01X09: new version class for DNAC</t>
  </si>
  <si>
    <t>N4DS V01X09: S40.G30.06 - values 37 and 51 no longer allowed</t>
  </si>
  <si>
    <t>N4DS V01X09: S60.G05.00.001 - new code 605</t>
  </si>
  <si>
    <t>New forms of work contract</t>
  </si>
  <si>
    <t>RPIAVEF0PBS: Promotion simulation with future exit decree</t>
  </si>
  <si>
    <t>RPLAVGF0PBS: dependency of results on number of personnel numbers</t>
  </si>
  <si>
    <t>PY-GB: PAE: Arrears Payroll: Pension Scheme Membership handled incorrectly</t>
  </si>
  <si>
    <t>HR-GB: New payslip conversion for LGPS2014 - Pension Gross</t>
  </si>
  <si>
    <t>PY-GB: P60 Correction Collection V.</t>
  </si>
  <si>
    <t>PY-GB: PAE: Missing check on IT3297 when set TPEMC = "Y"</t>
  </si>
  <si>
    <t>HR-GB: FPS not taking account of name format</t>
  </si>
  <si>
    <t>PY-GB: P60 Correction Collection V. DDIC note</t>
  </si>
  <si>
    <t>PY-GB:P11D:Email body,FuelType,Neg.Amount,AccountOfficeRef</t>
  </si>
  <si>
    <t>PY-GB-PS: ME NI - NI Arrears not transferred to new primary</t>
  </si>
  <si>
    <t>PY-GB: Drilldown report does not work correctly if more Controlling Area is selected</t>
  </si>
  <si>
    <t>PY-GB: PAE: irrelevant notice is not ignored</t>
  </si>
  <si>
    <t>PY-GB: RPPCUPG0: update IT0071 with the table values</t>
  </si>
  <si>
    <t>PY-GB: Get address data, common function</t>
  </si>
  <si>
    <t>RTI: New Tax code source PTC / No NICAT reported as RTINI is blank</t>
  </si>
  <si>
    <t>HR-GB: Absence Spells report incorrect when part-day leave</t>
  </si>
  <si>
    <t>PY-GB:P11D:Negative 'Cost to you','Amnt made good'-&amp;gt; W msg</t>
  </si>
  <si>
    <t>PY-GB: RPPCUPG0: update IT0071 with the table values II.</t>
  </si>
  <si>
    <t>PY-GB: Removing New GL Wagetypes from RT and CRT</t>
  </si>
  <si>
    <t>PY-GB:P11D:Incorrect 'PeriodEnd' value in IRenvel. XML tag</t>
  </si>
  <si>
    <t>PY-GB: FPS address, ADDRS feature handling</t>
  </si>
  <si>
    <t>PY-GB: RPPCUPG0: IT0071 record is showing wrong EE/ER's rates</t>
  </si>
  <si>
    <t>PY-GB: PAE: TUPE and Re-Hires: Bugfix when Tupe field is "000".</t>
  </si>
  <si>
    <t>PY-GB:P46:ABAP dump during CE Framework</t>
  </si>
  <si>
    <t>PY-GB-PS: LGPS 2014: WHEN PAID v WHEN EARNED II</t>
  </si>
  <si>
    <t>HR-GB: School Workforce Census - CBDS Level 2 field is filled incorrectly</t>
  </si>
  <si>
    <t>HR-GB: Runtime Error GETWA_NOT_ASSIGNED in program SAPL0PGPBS_ALL</t>
  </si>
  <si>
    <t>PY-GB: HESA 2013/14 - Extraction</t>
  </si>
  <si>
    <t>PY-GB: HESA 2013/14 - Extraction -- DDIC</t>
  </si>
  <si>
    <t>PY-GB: HESA 2014/15 - Master Data changes</t>
  </si>
  <si>
    <t>PY-GB: HESA 2014/15 - Master Data changes -- DDIC</t>
  </si>
  <si>
    <t>PY-GB-PS: LGPS 2014: Pension Contributions: New BADi to change wagetypes</t>
  </si>
  <si>
    <t>PY-GB: P45's rejecting with invalid post code</t>
  </si>
  <si>
    <t>IR56F/G: Generating Replacement Form When Income Decreases in the Same Fiscal Year</t>
  </si>
  <si>
    <t>XML File Downloaded from HHKCTXB0 Has No Line Break When Opened in Windows Notepad</t>
  </si>
  <si>
    <t>Previous Submission Date Missing from IR56G Additional Form</t>
  </si>
  <si>
    <t>Repeated Records Displayed in MPF HSBC Report for Terminated Employees</t>
  </si>
  <si>
    <t>IR56F Additional Form: Income Amount Is Incorrect</t>
  </si>
  <si>
    <t>MPF Contribution Displayed Incorrectly in Bermuda Report for Employee Who Enrolls in MPF Scheme After Entry Date</t>
  </si>
  <si>
    <t>IR56B: Download Content of All Generated Forms to a Local Excel File</t>
  </si>
  <si>
    <t>HIDCJAM0-Error message 'No payroll result for xxxxxx Period'</t>
  </si>
  <si>
    <t>PY-IE: IENDD func. - IT0041 01 date check</t>
  </si>
  <si>
    <t>PY-IE: Employer PRSIable pay in retro scenarios</t>
  </si>
  <si>
    <t>PY-IE: CSO report, leaver not reported</t>
  </si>
  <si>
    <t>PY-IE: P45 supplementary for more years</t>
  </si>
  <si>
    <t>HINCESI0: Missing header text in the ALV display</t>
  </si>
  <si>
    <t>Loan: Disbursement % Not Appearing in Disbursement Schedule Screen</t>
  </si>
  <si>
    <t>HINCF24C: Runtime error in utility program</t>
  </si>
  <si>
    <t>Car perk : Getting prorated in case employee joins the company in the middle of the month</t>
  </si>
  <si>
    <t>Telangana Professional Tax</t>
  </si>
  <si>
    <t>PY-IN: Union Budget Changes for Year 2014</t>
  </si>
  <si>
    <t>HINCLWF1: LWF Form A for Delhi</t>
  </si>
  <si>
    <t>HR-IT: ASO Events Calculation and UniEmens reporting</t>
  </si>
  <si>
    <t>Cud 2014 issues in case of transfer from companies of the same group without changing CID</t>
  </si>
  <si>
    <t>Modello 770-2014: Correction Package II</t>
  </si>
  <si>
    <t>PY-IT: Issue with selection of Customer wage type for ASPI reimbursement</t>
  </si>
  <si>
    <t>Income-tax cut for lower-income earners: 80 Euros decree - Correction Package I</t>
  </si>
  <si>
    <t>New value constant INFLA (ISTAT coeficient)</t>
  </si>
  <si>
    <t>Dump DATASET_NOT_OPEN when running RPIMALI0 report</t>
  </si>
  <si>
    <t>Modello 770-2013 is generating the box 37 wrong</t>
  </si>
  <si>
    <t>Dump ITAB_DUPLICATE_KEY in case of same certificate for two employees</t>
  </si>
  <si>
    <t>Modello 730-2014: Error message SG806 when uploading a file from PC</t>
  </si>
  <si>
    <t>/1H5 Gets Duplicated during Retro across Previous Years</t>
  </si>
  <si>
    <t>RPCECKJ0: 'Difference 2' Amount not display with YEA correction</t>
  </si>
  <si>
    <t>RPCPRTJ0: Employee not output when Pers. Area selected</t>
  </si>
  <si>
    <t>RPCEADJ0: Data File submission check incorrect for EE without YEA</t>
  </si>
  <si>
    <t>RPCRTXJ0: Enhancement on Data File Specification</t>
  </si>
  <si>
    <t>Enhancement of PDF Forms for Japanese SI</t>
  </si>
  <si>
    <t>YEA results Not Output for Multiple Employees</t>
  </si>
  <si>
    <t>Refine Donation Deduction and Tax Credit Calculation</t>
  </si>
  <si>
    <t>YEA Receipt Issues after SAP Note 2008309</t>
  </si>
  <si>
    <t>Skip Carry-over Donation from Last Year Payroll Result when Retro YEA and Disable Carry-over Donation</t>
  </si>
  <si>
    <t>Employment Insurance Premium for Long-term Unpaid Leave</t>
  </si>
  <si>
    <t>2014LR: New NSTT Option for Simple Tax Table Tax Method</t>
  </si>
  <si>
    <t>Correction for Doubled Exempted Tax for Foreigner or Young Employee</t>
  </si>
  <si>
    <t>KR YEA Receipt Issue for House Saving Amounts</t>
  </si>
  <si>
    <t>Correction of dump error in HKRSEPR0</t>
  </si>
  <si>
    <t>Form 200: Message "No payroll data for employee" for employees with off-cycle runs</t>
  </si>
  <si>
    <t>Payroll function KZBT set empty field BANKN in table BT</t>
  </si>
  <si>
    <t>Calculation of working days for compensation of unused absence quota on a day before non-working day</t>
  </si>
  <si>
    <t>[MX] New wage types for overtime days</t>
  </si>
  <si>
    <t>[MX] Wrong amounts in HMXCIES0 after state tax table updates</t>
  </si>
  <si>
    <t>[MX] New BAdI for HMXCDAN0 report</t>
  </si>
  <si>
    <t>[MX] HMXCIES0 not considering customized payroll periods</t>
  </si>
  <si>
    <t>[MX] Considering split as change on retroactive ISSSTE</t>
  </si>
  <si>
    <t>Malaysia Address Format Standardization</t>
  </si>
  <si>
    <t>new BADI  to adjust EA form PCB amount</t>
  </si>
  <si>
    <t>Malaysia Goods and Services Tax (GST) Wage Types</t>
  </si>
  <si>
    <t>Correction for evaluation class reading logic in CP22A</t>
  </si>
  <si>
    <t>Arithmetic overflow error during payroll tax calculation</t>
  </si>
  <si>
    <t>Submission date for EA form</t>
  </si>
  <si>
    <t>Enhancement for feature 14WEA and 14WP2</t>
  </si>
  <si>
    <t>Correction for CP22A in company change scenario</t>
  </si>
  <si>
    <t>Adjustment for employer reference number in SOCSO 8B program selection screen</t>
  </si>
  <si>
    <t>New SI Reduction for Hiring Young Employees coming from a Social Benefit Situation II</t>
  </si>
  <si>
    <t>PY-NL - Jaaropgave Werknemer: Translation-independent forms for the Annual Statement Employee</t>
  </si>
  <si>
    <t>EDAG - July 2014 [1/4] - DDIC</t>
  </si>
  <si>
    <t>EDAG - July 2014 [2/4] - Other objects</t>
  </si>
  <si>
    <t>EDAG - July 2014 [3/4] - Reports</t>
  </si>
  <si>
    <t>EDAG - July 2014 [4/4] - Customization</t>
  </si>
  <si>
    <t>HRNO: Reimbursement issues June/July 2014</t>
  </si>
  <si>
    <t>HRNO:  Norwegian annual tax statement show wrong amount</t>
  </si>
  <si>
    <t>ACF - Workaround for submission in Altinn 14.2</t>
  </si>
  <si>
    <t>RPUTILV1 - July 2014 - Corrections &amp; improvements</t>
  </si>
  <si>
    <t>HRNO: Changes in ERC rules and zone assignment for some municipalities (effective from 01.07.2014)</t>
  </si>
  <si>
    <t>HRNO: SPK - correction of issues - June 2014</t>
  </si>
  <si>
    <t>HRNO: SPK correction of 'CHECK SUM' after unicode conversion 'UTF-8'</t>
  </si>
  <si>
    <t>HRNO: SPK - correction of issues - July 2014</t>
  </si>
  <si>
    <t>System does not show the message when an employee is  not eligible for an entitlement  while updating an infotype record</t>
  </si>
  <si>
    <t>WIGSI - LWOP, Contract validation and EG restriction</t>
  </si>
  <si>
    <t>Rental Subsidy : System Incorrectly Determines Arrival Date At Duty Station</t>
  </si>
  <si>
    <t>WIGSI Processing - Due to Contract Validation, Next Increment date is not processed correctly</t>
  </si>
  <si>
    <t>PY-NZ : Process Model changes for NZ reports</t>
  </si>
  <si>
    <t>PY-NZ : Leave liability report not displaying proper output</t>
  </si>
  <si>
    <t>PY-NZ : Error in Advance Pay module</t>
  </si>
  <si>
    <t>PY-NZ: HNZLEMS2 issues</t>
  </si>
  <si>
    <t>Populate MWE wages for reporting when retro get the ORT result</t>
  </si>
  <si>
    <t>PT: Time Evaluation Report (RPTIME00) corrections I</t>
  </si>
  <si>
    <t>Annual Income Declaration 2014: corrections II</t>
  </si>
  <si>
    <t>RPCIIDP0: general corrections III</t>
  </si>
  <si>
    <t>RPCMIDP0: adaptation to AT recommendations and improvements</t>
  </si>
  <si>
    <t>RPCMIDP0: General Corrections</t>
  </si>
  <si>
    <t>Vacation Allowance number of days wrongly changed in retrocalculation</t>
  </si>
  <si>
    <t>New option for dates calculation in operation GNPT</t>
  </si>
  <si>
    <t>ADSE Law 30/2014 Corrections I</t>
  </si>
  <si>
    <t>synchronization issue in V_T5PPBSRM view for 6.04 release</t>
  </si>
  <si>
    <t>HR-RU: Incorrect call of RUEF rule in RUE0 of SAP_HR 600-608 releases</t>
  </si>
  <si>
    <t>Tax base for income tax from the previous employer</t>
  </si>
  <si>
    <t>HR-RU: HWC classes and RUSTA table filling without OM objects</t>
  </si>
  <si>
    <t>RSV-1: HWC 27-1 and 27-2 processing</t>
  </si>
  <si>
    <t>Valuation of a sick leave when another absence with different modifier MODIF A occured in the same month</t>
  </si>
  <si>
    <t>FSSDP: Error in PAB with evaluation of absences calculated in off-cycle</t>
  </si>
  <si>
    <t>Bonus in average for vacations is not included during off-cycle run in the month of vacation</t>
  </si>
  <si>
    <t>HRSE: RPIABSS0_NEW - Correction of checking previous absence category 'P'</t>
  </si>
  <si>
    <t>HRSE: Alecta-neg.amnt report 0, txt file IN report non 0</t>
  </si>
  <si>
    <t>HRCE: Quota accrual - Q40 is not reduced by Q42</t>
  </si>
  <si>
    <t>HRSE: Conversion of Alecta 'CO' event</t>
  </si>
  <si>
    <t>PY-SG: Schema RLK0 changes for Legal Entity Transfer</t>
  </si>
  <si>
    <t>Late informed conversion to PR</t>
  </si>
  <si>
    <t>IR8A Report Enhancements</t>
  </si>
  <si>
    <t>IR21: Form layout bug fix - Stock Options and Employer Address</t>
  </si>
  <si>
    <t>PY-SG: SDL Liability for employees joining and termination in same month</t>
  </si>
  <si>
    <t>IR8S: System can not display the IR8S form in ESS</t>
  </si>
  <si>
    <t>Retro CPF differences from previous year are not reported in CPF monthly report</t>
  </si>
  <si>
    <t>PY-SG: Incorrect start date for 2nd/3rd year SPR status</t>
  </si>
  <si>
    <t>SDF amount rounding issue for 'DISKETTE' and 'CPFPAL-Internet (File transfer)'</t>
  </si>
  <si>
    <t>PY-SG: FWL retro flow offs from previous months missed after payroll correction run.</t>
  </si>
  <si>
    <t>PY-SG: correction to Note 2023450 for RLM0</t>
  </si>
  <si>
    <t>IR8A/E: Designation can not be read correctly in some case.</t>
  </si>
  <si>
    <t>Continuous SPL was displayed incorrectly in report RPCTGMLR0</t>
  </si>
  <si>
    <t>Issue with RCP3 when there is SV split</t>
  </si>
  <si>
    <t>Correction to the dump issue when run pension simulation report</t>
  </si>
  <si>
    <t>/399 Amount is Double in CAW with Off-cycle Payroll</t>
  </si>
  <si>
    <t>CPF Exceeds Limit when Converting from Pensionable to Non-pensionable</t>
  </si>
  <si>
    <t>SS Contribution Calculation for More Than 60 Years Employees</t>
  </si>
  <si>
    <t>HTHCTX91 Report: English PDF Form Enhancement</t>
  </si>
  <si>
    <t>PY-TH: Capping for Children Allowance and Disabled Dependent Allowance</t>
  </si>
  <si>
    <t>Report HTHCTX5B: Tax Amount Displays Incorrectly</t>
  </si>
  <si>
    <t>Report HTHCTXF1 Shows Wrong Submitted Month for Semi-monthly</t>
  </si>
  <si>
    <t>SAP Note 1961528 Missing Entries in Table V_T7THTE</t>
  </si>
  <si>
    <t>PY-TH: SSO 1-10 Detialed Form Address Data Improvements</t>
  </si>
  <si>
    <t>PY-TH: Previous Employment Income Doubling at CRT Table</t>
  </si>
  <si>
    <t>PY-TH : PIT91 Attachment Page Generation for Terminated Employee</t>
  </si>
  <si>
    <t>Company Name does not Show in Social Security Detailed Form Cover Page</t>
  </si>
  <si>
    <t>SS Contribution Calculation Issue for Semi-monthly Retro Case</t>
  </si>
  <si>
    <t>Report HTHCSSS1 Display Incorrect SS Amount for Semi-Monthly</t>
  </si>
  <si>
    <t>HTWCTXM0: EWC Name and Tax Withholder Name Are Incorrect in EWF Forms When Tax Form Selection Is Blank</t>
  </si>
  <si>
    <t>USCLM: Entries recovered earlier are reappearing</t>
  </si>
  <si>
    <t>USCLM: Infotype 0909 ENDDA incorrect for out-of-sequence bonus</t>
  </si>
  <si>
    <t>GARN: RPUGRNU_CHECK_CUSTOMIZING error message BAdI not implemented.</t>
  </si>
  <si>
    <t>BSI: Sync. Payroll Tax Data generates a short dump when running in productive mode</t>
  </si>
  <si>
    <t>Upgrade to BSI TaxFactory SaaS 10.0</t>
  </si>
  <si>
    <t>TR: SUI form for Tennessee does not display rate correctly</t>
  </si>
  <si>
    <t>TR: Tax Reporter does not support different PDF forms for paper and online copies</t>
  </si>
  <si>
    <t>TAX: Adjustments in assumed hours for WA EE Worker's Compensation Tax</t>
  </si>
  <si>
    <t>TAX: Payroll Driver generates a short dump after note 1887384</t>
  </si>
  <si>
    <t>Runtime error for mid month terminated employees in tax procedure 1 and 2 , Errors related to MA credit and Bursary</t>
  </si>
  <si>
    <t>ETI Payroll Functionality Changes</t>
  </si>
  <si>
    <t>XX-TRANSL-EN</t>
  </si>
  <si>
    <t>Translation from German into English</t>
  </si>
  <si>
    <t>Correction of Translation of 'im Haushalt' in Table T577S</t>
  </si>
  <si>
    <t>Issue in Job search</t>
  </si>
  <si>
    <t>Gemeinsame Versteuerung - Fehlermeldung ohne Bezug auf PERNR</t>
  </si>
  <si>
    <t>IT0044: Geschäftsführer und Kammerumlage</t>
  </si>
  <si>
    <t>Employer statement: "EE Notice Period" and "ER Notice Period" default values from IT0016 interchanged in IT0600</t>
  </si>
  <si>
    <t>SSOCIAL: Search Help for P0061-BERKT showing wrong text</t>
  </si>
  <si>
    <t>ABAP source code improvements in TNM search help function module exits</t>
  </si>
  <si>
    <t>PA-PA-GB: IT0071 Screen fields cannot be hidden in V_T588M</t>
  </si>
  <si>
    <t>PA-PA-HK</t>
  </si>
  <si>
    <t>Maintain text Menu Item Is Grayed Out in Infotype 0351</t>
  </si>
  <si>
    <t>Infotype 0156 displaying Italian texts even if logged in English language</t>
  </si>
  <si>
    <t>HJPUCP_BRCAL: Incorrect Results if No Sub-plan Defined</t>
  </si>
  <si>
    <t>Decoupling Class Enhancement for Infotype 0888 JP</t>
  </si>
  <si>
    <t>IT0888/IT0889: Incorrect Error Message for Plan SI Modifier Check</t>
  </si>
  <si>
    <t>HJPUCP_STCHK: Incorrect parameters for BAdI Method set_part_data</t>
  </si>
  <si>
    <t>LC2014: New Entitlement Reasons for EI and WCI</t>
  </si>
  <si>
    <t>RPILAJN1: Convert Organizational Assignment at a given date, action type and reason</t>
  </si>
  <si>
    <t>RPTZKMN2: New UWV Forms for Own Risk Bearer</t>
  </si>
  <si>
    <t>Dump TABLE_ILLEGAL_STATEMENT in Class CL_HRPADRU_DATA_FORMAT</t>
  </si>
  <si>
    <t>HR-RU: Dynamic type conflict in Sickness Certificate infotype</t>
  </si>
  <si>
    <t>4-FSS from incorrectly shows results about external job-sharing employees</t>
  </si>
  <si>
    <t>HR-CIS: Manager data in Personnel Orders is displayed incorrectly</t>
  </si>
  <si>
    <t>Technical delivery of search help HRPADRUOKIN definition</t>
  </si>
  <si>
    <t>HR-RU: SZVK xml file doesn't pass validation in CheckXml</t>
  </si>
  <si>
    <t>File reading error message in the lod of KLADR loading report HRUUKLADRLOAD</t>
  </si>
  <si>
    <t>Infotype 3330: Previous duplicate sertificates selection</t>
  </si>
  <si>
    <t>Data Protection: Destroying Singapore Personnel Master Data</t>
  </si>
  <si>
    <t>Enhancement for Singapore Police Service Rank</t>
  </si>
  <si>
    <t>Text in Infotype 0755(Declaration of Non-Indebtedness) can't display correctly</t>
  </si>
  <si>
    <t>The minimum unit of SPL/GPPL/CCL is half-day</t>
  </si>
  <si>
    <t>IT0077: Elements touch or overlap on screen MP007700_CE</t>
  </si>
  <si>
    <t>BEN: Carryover for Health FSA - ESS FSA Claims preparation</t>
  </si>
  <si>
    <t>LSO_PVCT: Authorisation not checked when delimiting objects</t>
  </si>
  <si>
    <t>Incorrect German (DE) text displayed for the word 'Essential Bookings'</t>
  </si>
  <si>
    <t>SPAU: Hinweis 1963975 wird nach Support Package Einspielung nicht als "obsolet" gekennzeichnet</t>
  </si>
  <si>
    <t>PP61: The fields Service Type/Service Category are not populated from IT0027 when a substitution or attendance is created</t>
  </si>
  <si>
    <t>PP61: BAdI for Modifying the Content of the Hourly Balance Line</t>
  </si>
  <si>
    <t>[AR] Missing ART contributions by ART in "Listado Obra Social"</t>
  </si>
  <si>
    <t>RRVJ: Vergleichszahlung und Reisekosten verursacht fehlerhafte Lohnzettel Finanz</t>
  </si>
  <si>
    <t>RRVJ: SV-Beiträge aus dem Vorjahr  (Steuerliche Behandlung bei Rückerstattung und Nachforderung)</t>
  </si>
  <si>
    <t>Beitragsnachweisung für geringfügig Beschäftigte: Ergänzung zu Hinweis 2015318</t>
  </si>
  <si>
    <t>SV: Verrechnungsgruppe C14 für geringfügig Beschäftigte</t>
  </si>
  <si>
    <t>Gemeinsame Versteuerung: Abtretung an Träger der nicht zum Hauptverband gehört</t>
  </si>
  <si>
    <t>RPCSVBA2: Auflösungsabgabe N80 fehlt im PDF</t>
  </si>
  <si>
    <t>KSB: Anzeige der Sätze im B2A Manager funktioniert nicht richtig</t>
  </si>
  <si>
    <t>rpcalca0: SV-Beiträge für Kündigungsentschädigung gemäß Abgabenänderungsgesetz 2014</t>
  </si>
  <si>
    <t>rpcalca0: Seiteneffekt durch Hinweis 2041835</t>
  </si>
  <si>
    <t>Funktion ADIST: Weitere Lohnarten in V_T596I abgrenzen</t>
  </si>
  <si>
    <t>Lohnzettelart 24: Gültigkeitsbeginn der /99x  Lohnarten</t>
  </si>
  <si>
    <t>Abgabenänderungsgesetz 2014:  Aufteilung der SV-Beiträge auf mehrere Zahlungen</t>
  </si>
  <si>
    <t>RPCSVBA2PBS: V_T596X falscher Eintrag für Nachtschwerarbeitsbeitrag</t>
  </si>
  <si>
    <t>RPLSUMQ0 incorrect YTD Amount paid</t>
  </si>
  <si>
    <t>Leave Provision not calcuated</t>
  </si>
  <si>
    <t>PY-AU : Selection of correct Quota type selection group</t>
  </si>
  <si>
    <t>Issue:IT0849 can hold only 15 wagetypes in 'Allowances' and 'Deductions' tab</t>
  </si>
  <si>
    <t>Payroll Area change QSUEA brings forward data incorrectly.</t>
  </si>
  <si>
    <t>No RESC wage type formation During Offcycle Correction Runs</t>
  </si>
  <si>
    <t>SGC Contributions even after Quarterly Earnings Exceeded Quarterly Ceiling</t>
  </si>
  <si>
    <t>Incorrect Retro Processing for RESC Wage Type</t>
  </si>
  <si>
    <t>Foreign PS does not show latest address</t>
  </si>
  <si>
    <t>Error while maintaining entries in income tax withholding variations</t>
  </si>
  <si>
    <t>Change in processing class for wage type /E11 and wage type /ELS</t>
  </si>
  <si>
    <t>CE: Incorrect tax on backpayment when the second assignment is casual employee</t>
  </si>
  <si>
    <t>DmfA Reason for Career Interruption IT0107 I</t>
  </si>
  <si>
    <t>DmfA Update: Local Unit ID change missing</t>
  </si>
  <si>
    <t>Educational Leave calculation for part time employees not correct</t>
  </si>
  <si>
    <t>DmfA - Contribution Worker Code 827 - Employer Category 083 - Emloyee Worker Code 015</t>
  </si>
  <si>
    <t>DmfA takes infotype 0442 into account although it is locked</t>
  </si>
  <si>
    <t>BELCOTAX-FINPROF: Retroactive company change</t>
  </si>
  <si>
    <t>BELCOTAX: Preparation for Year 2015</t>
  </si>
  <si>
    <t>Complemantory Indemnity Payments - End date proposal for infotype 3270</t>
  </si>
  <si>
    <t>Holiday Pay - LC - December Calculation since 01.01.2014</t>
  </si>
  <si>
    <t>DmfA reduction  3500 - Decreased Working Time</t>
  </si>
  <si>
    <t>Additional Holidays Regulation KB/AR 19.6.2012</t>
  </si>
  <si>
    <t>Determination of wage type /40O (Tax base for overtime reduction)</t>
  </si>
  <si>
    <t>BELGIUM - Payroll Context OO and other new ABAP functionalities available now for Belgium</t>
  </si>
  <si>
    <t>DMFA Reason for Career Interruption IT0107 II</t>
  </si>
  <si>
    <t>HBRSEGDE: Termination paid by AJUS payroll</t>
  </si>
  <si>
    <t>Férias coletivas: Include of field Faixa etária</t>
  </si>
  <si>
    <t>CAGED: changed rules for declaration</t>
  </si>
  <si>
    <t>CAGED: DDIC objects of changed rules for declaration</t>
  </si>
  <si>
    <t>HBRSEGDE - Generation of Unemployment Insurance for Young Apprentice employees</t>
  </si>
  <si>
    <t>eSocial - Corrections - Phase 2014/15</t>
  </si>
  <si>
    <t>eSocial : Corrections due to updated layout - Phase 2014/16</t>
  </si>
  <si>
    <t>Payroll Driver: Code Enhancements in BRIR payroll function</t>
  </si>
  <si>
    <t>eSocial: Calculation of event deadlines - Phase 2014/16</t>
  </si>
  <si>
    <t>eSocial: ABAP dictionary - Phase 2014/16</t>
  </si>
  <si>
    <t>YE13: T4-Box 24 &amp; 26 and RL-1 Box 07 - Actual Earnings</t>
  </si>
  <si>
    <t>CE : When-paid cumulation incorrect for CRT_PERSON</t>
  </si>
  <si>
    <t>CSB : Incorrect sign in case of multiple payroll area</t>
  </si>
  <si>
    <t>Incorrect cumulation of wagetype /1QC</t>
  </si>
  <si>
    <t>WHT VD: EMP-ACI: Invalid start date in LC notifications for mid-month entry</t>
  </si>
  <si>
    <t>HR-CH: IMG documentation for WHT commissions updated</t>
  </si>
  <si>
    <t>ELM: Incomplete XML for missing values for required entry fields</t>
  </si>
  <si>
    <t>ELM 4.0: Partial delivery (2): Wage agreement (BFS)</t>
  </si>
  <si>
    <t>ELM 4.0: Partial delivery (2): WHT (adjustment extractor, various corrections)</t>
  </si>
  <si>
    <t>ELM 4.0: Partial delivery (2): Various corrections I</t>
  </si>
  <si>
    <t>ISEL: Canton Geneva XML v2.00, legal change</t>
  </si>
  <si>
    <t>ELM 4.0: Partial delivery (2): ELM data procurement</t>
  </si>
  <si>
    <t>ELM 4.0: Partial delivery (2): FAK paper list (Totals)</t>
  </si>
  <si>
    <t>[CL] Renta Inponible CCAF not being filled in PREVIRED when current subplan is not FONASA</t>
  </si>
  <si>
    <t>[CL] Payroll Function CLRTR not reading previous pay result</t>
  </si>
  <si>
    <t>[CL] Incorrect fields in HCLCINE0 report</t>
  </si>
  <si>
    <t>HCNCTAX0: Header Text for Output List Is Displayed Incorrectly</t>
  </si>
  <si>
    <t>HCNCAVG0: Average Salary Is Calculated Incorrectly When Payroll Splits Exist</t>
  </si>
  <si>
    <t>Report HCNCCBR0: F4 Help for Field "Contribution group" Is Missing</t>
  </si>
  <si>
    <t>SI: Composite SAP Note data exchange 4/2014</t>
  </si>
  <si>
    <t>Expenses: Tax exemption for additional expenses for meals in case of return to the same construction site on a daily and weekly basis</t>
  </si>
  <si>
    <t>DEUEV: Corrections XX</t>
  </si>
  <si>
    <t>DEUEV (German Data Entry Regulation): Version 2.54 of the general circular</t>
  </si>
  <si>
    <t>Program termination for AI minimum remuneration calculation</t>
  </si>
  <si>
    <t>ELStAM Procedure: Improvements and corrections 25/2014</t>
  </si>
  <si>
    <t>ELStAM procedure: Improvements and corrections 26/2014</t>
  </si>
  <si>
    <t>ELStAM procedure: Improvements and corrections 28/2014</t>
  </si>
  <si>
    <t>EEL: Corrections 6/2014</t>
  </si>
  <si>
    <t>EEL: Corrections 7/2014</t>
  </si>
  <si>
    <t>Remuneration statement: Additional AVmG wage types</t>
  </si>
  <si>
    <t>Prohibited activities and earliest personal retroactive accounting</t>
  </si>
  <si>
    <t>IBAN: Warning message when an authorization is missing</t>
  </si>
  <si>
    <t>Warning message for retroactive accounting and collective bank transfer</t>
  </si>
  <si>
    <t>PO: Cleanup of garnishment results XVI</t>
  </si>
  <si>
    <t>PO: Incorrect selection for query used to display cleaned garnishment results</t>
  </si>
  <si>
    <t>Check of new garnishment numbers incorrect</t>
  </si>
  <si>
    <t>Non-recurring payment during unpaid leave after parental leave for persons with voluntary insurance</t>
  </si>
  <si>
    <t>Peparatory delivery for year-end legal change for social insurance 2014/2015</t>
  </si>
  <si>
    <t>Section 23c of the Code of Social Law (SGB) IV: Corrections XXVI</t>
  </si>
  <si>
    <t>Change of determination of addresses for notification procedure 2</t>
  </si>
  <si>
    <t>IT 0012: Resetting statement periods (RPITXAD0)</t>
  </si>
  <si>
    <t>Social insurance contribution deduction: Missing PERNR when you call the BAdI HRPAYDE_PV_ZUSCHLAG</t>
  </si>
  <si>
    <t>Hospital statistics: Updating exceptions</t>
  </si>
  <si>
    <t>Infotype 0406: Predefinition of the field "Cession Status" with value 0</t>
  </si>
  <si>
    <t>TVöD collective agreement negotiations 2014: One-time flat-rate payment 2014/2015 (VKA)</t>
  </si>
  <si>
    <t>Collective agreement on flexible semiretirement: Error in tax calculation §3b after SAP Note 2017272</t>
  </si>
  <si>
    <t>ASP: Consideration of irregular payments may be unreduced</t>
  </si>
  <si>
    <t>Personnel statistics: Distributed reporting</t>
  </si>
  <si>
    <t>Personnel statistics: Error when reading table P01T_AGS</t>
  </si>
  <si>
    <t>IT0509: Enhancement for HR Renewal 2.0</t>
  </si>
  <si>
    <t>Pay scale level increase using DEPBS_NEU: Warning if there is infotype 0052</t>
  </si>
  <si>
    <t>Pension recipient statistics EF15 (municipality ID of place of residence)</t>
  </si>
  <si>
    <t>Pay scale level increase using DEPBS_NEU: Termination when switching from trainee to employee</t>
  </si>
  <si>
    <t>Factoring CFS for trainees: Error for multiple splits</t>
  </si>
  <si>
    <t>Administrative changes for packages</t>
  </si>
  <si>
    <t>Public Services regulation, state of Hesse: 2. DRModG XXXI</t>
  </si>
  <si>
    <t>Payroll terminates in the function DOZV KON: System documentation</t>
  </si>
  <si>
    <t>Notification program for supplementary pensions (SP) may not create registration if insurance number is incomplete</t>
  </si>
  <si>
    <t>WCA wage statement: Corrections V</t>
  </si>
  <si>
    <t>Earnings survey: Corrections (12)</t>
  </si>
  <si>
    <t>CALC: Contribution of non-taken vacation (VND) based on the minimum limit</t>
  </si>
  <si>
    <t>CALC: Wrong number of days on O3CH wage type for PSS on PSE</t>
  </si>
  <si>
    <t>DELT@: Unexpected CCC tag for initial values</t>
  </si>
  <si>
    <t>CALC: Wrong Prorate Discount calculation due to WPBP split</t>
  </si>
  <si>
    <t>TC: Wrong canarian bonification distribution</t>
  </si>
  <si>
    <t>190: Irregular incomes has incorrect reduction amount</t>
  </si>
  <si>
    <t>BONIFICACIONES: Reduction 0054 reported as bonification</t>
  </si>
  <si>
    <t>IRPF: Wrong employment tax deduction percentage for contracts &amp;lt; 1 year</t>
  </si>
  <si>
    <t>BONIFICACIONES: Wrong Unemployment Type for contract 501 and 502 with bonification method 1101</t>
  </si>
  <si>
    <t>TC: Artists with duplicated DAT segment</t>
  </si>
  <si>
    <t>DELT@: Incorrect &amp;lt;descripcion&amp;gt; and &amp;lt;textoagente&amp;gt; XML tags for employees with errors</t>
  </si>
  <si>
    <t>CALC: Error in payroll execution for employees with more than 20 wage types in IT0008</t>
  </si>
  <si>
    <t>BONIFICACIONES: Wrong Unemployment Type for employees with 33% over disability</t>
  </si>
  <si>
    <t>LOPD: RPULORE0 not considering the username field when compressing data</t>
  </si>
  <si>
    <t>AFI: New OTD segment</t>
  </si>
  <si>
    <t>CRETA: General Corrections II (Version 1)</t>
  </si>
  <si>
    <t>UTIL: Enhancements for retrieving CCC regimen</t>
  </si>
  <si>
    <t>IRPF: Wrong error message in IRPF functions</t>
  </si>
  <si>
    <t>CRA: Sending Indicativo B for Concepts not sent before</t>
  </si>
  <si>
    <t>IRPF: Wrong calculation for employees with ancestors with exact 65 years</t>
  </si>
  <si>
    <t>CRETA: General Corrections III (Version 1)</t>
  </si>
  <si>
    <t>CP: Fixed Term contract title is incorrect</t>
  </si>
  <si>
    <t>CRA: Corrections to Usage framework for the Paid Wage Types report</t>
  </si>
  <si>
    <t>RED 06/2014: New bonification methods and value in PES_RELLAB domain</t>
  </si>
  <si>
    <t>UTIL: Short dump in CL_HRPAYES_LOG</t>
  </si>
  <si>
    <t>IRPF: Wrong tax deduction percentage due to note 2036603</t>
  </si>
  <si>
    <t>PA: Required installation for IT0016 framework enhancement</t>
  </si>
  <si>
    <t>HRFI: HFILSEA0 start date of employment is incorrect</t>
  </si>
  <si>
    <t>HRFI: FIGAR displays opposite values in payroll processing log</t>
  </si>
  <si>
    <t>DUCS: CICE empty line on ALV / missing SIRET</t>
  </si>
  <si>
    <t>RPLASAF3: Paper form for report Wage Statement - Industrial Accident or Occupational Illness[1/2]</t>
  </si>
  <si>
    <t>IJSS: RPLBIJF0 - download / ALV correction</t>
  </si>
  <si>
    <t>N4DS V01X09: S48.G10.02 and S48.G55.15.001</t>
  </si>
  <si>
    <t>N4DS V01X09: Section S48.G55.10 is deleted</t>
  </si>
  <si>
    <t>Inactivity period overlapping two activity periods with different receiving organizations should be split</t>
  </si>
  <si>
    <t>Update of type group PFRDS</t>
  </si>
  <si>
    <t>RPL4CRF0: V01X09 update</t>
  </si>
  <si>
    <t>N4DS V01X09: S40.G30.40 part II</t>
  </si>
  <si>
    <t>In case of complementary payment, the thresholds of a newly introduced contribution might be equal to 0</t>
  </si>
  <si>
    <t>N4DS with section S65.G40.00 is requested for companies stopping their activities in 2015 within a time limit of 60 days</t>
  </si>
  <si>
    <t>RPLASAF3: Paper form for report Wage Statement - Industrial Accident or Occupational Illness[2/2]</t>
  </si>
  <si>
    <t>PFRAB: Change absence type of RPLASAF3</t>
  </si>
  <si>
    <t>N4DS: correction in case of portability between 2 years and radiation</t>
  </si>
  <si>
    <t>DUCS: CICE - COPLAT, Field Declaration Reference Period</t>
  </si>
  <si>
    <t>HR_FR_ASA_2014A: Quality improvement.</t>
  </si>
  <si>
    <t>DSN: DDIC Objects for Note 2035316 (IT0016 part II)</t>
  </si>
  <si>
    <t>DUCS report RPLDUCF0 does not generate declaration when an employee is moved from a payroll area with shifted payroll to payroll area not relevant for payroll run.</t>
  </si>
  <si>
    <t>Missing implementation of method MODIFY_S65_G40_00 of default class CL_EXM_IM_HRPAYFR_N4DS_CUST of badi HRPAYFR_N4DS_CUST</t>
  </si>
  <si>
    <t>PY-GB: National Fraud Initiative 2012</t>
  </si>
  <si>
    <t>PY-GB:PEN:Pensions Results Report - Active scheme checking</t>
  </si>
  <si>
    <t>PY-GB: P60 Correction Collection VI.</t>
  </si>
  <si>
    <t>RTI: RTI YTD and TP values are equal for leavers</t>
  </si>
  <si>
    <t>PY-GB: IT0071 record is showing wrong Reference field values</t>
  </si>
  <si>
    <t>PY-GB: Part week SMP payments due to Sickness during the MPP</t>
  </si>
  <si>
    <t>HR-GB: NFI payroll report changes: Unique Property Reference Number (UPRN)</t>
  </si>
  <si>
    <t>PY-GB: P60 email and postal address read with actual date</t>
  </si>
  <si>
    <t>PY-GB:P11D:Incorrect benefit reading at Payr.Area changing</t>
  </si>
  <si>
    <t>PY-GB: Employer's Pensionable Pay Solution: De-activation via a newfield in T5G30</t>
  </si>
  <si>
    <t>PY-GB: GPENS: Employer's Pensionable Pay solution not underpinned by actual pay in some scenarios</t>
  </si>
  <si>
    <t>PY-GB: Foreign Tax Paid amounts in the P45 and the Reconciliation reports</t>
  </si>
  <si>
    <t>PY-GB-PS: ME XDEC : Er's Pension Costs not costed on non-primaries</t>
  </si>
  <si>
    <t>PY-GB: HESA 2014/15 - Master Data changes - Enhancements</t>
  </si>
  <si>
    <t>PY-GB: HESA 2014/15 - Master Data changes - Enhancements -- DDIC</t>
  </si>
  <si>
    <t>PY-GB: HESA 2014/15 - Master Data changes - Defaulting of fields on infotypes 0615 and 0617</t>
  </si>
  <si>
    <t>PY-GB-PS: Payroll Function GBLGP: Assessments: Ad Hoc Payments</t>
  </si>
  <si>
    <t>PY-IE: P45 Emergency tax basis flag missing</t>
  </si>
  <si>
    <t>LWF contribution is not getting  generated for separated employees</t>
  </si>
  <si>
    <t>HINCREMT: Inconsistency While Disbursing for Multiple Employees</t>
  </si>
  <si>
    <t>F24 not considering the incapienza payment correctly</t>
  </si>
  <si>
    <t>CUD 2014: issue with box 13 for fired employees</t>
  </si>
  <si>
    <t>UniEmens TAG GIORNO LAVORATO filled with S</t>
  </si>
  <si>
    <t>770 2014 - Wrong setting for box 111 section DD</t>
  </si>
  <si>
    <t>Illness Certificates: replicated certificates showing in the LOG</t>
  </si>
  <si>
    <t>New BAdI method HANDLE_INIZIO for Certificato di malattia</t>
  </si>
  <si>
    <t>F24: Wrong identifier generation when running in productive mode</t>
  </si>
  <si>
    <t>ITCAF generating wrong Wage types when running payroll for more than one employee</t>
  </si>
  <si>
    <t>Illness Certificates: Issue with cluster view of two or more employees with the same certificate</t>
  </si>
  <si>
    <t>Caricamento Automatico Giustificativi di Malattia: Correction Package I</t>
  </si>
  <si>
    <t>PY-IT-PS</t>
  </si>
  <si>
    <t>HR-IT: UniEmens 2.0 Public Sector - Correction Package II</t>
  </si>
  <si>
    <t>Labor Insurance Statement</t>
  </si>
  <si>
    <t>RPCLIAJ1: Incorrect Kijun-gai Amounts when Display Kijun-gai Wage in Kijun-gai Period</t>
  </si>
  <si>
    <t>2014 LC: Year End Reports Enhancements</t>
  </si>
  <si>
    <t>LC2014: Receipt of Exempted and Deducted Income</t>
  </si>
  <si>
    <t>Incorrect Loan Balance is Caused by Twice Off-cycle Loan Repayment Deduction</t>
  </si>
  <si>
    <t>Correction for Separation Average Payment Periods</t>
  </si>
  <si>
    <t>Disable Debit Card and Cash Expense Deduction Calculation</t>
  </si>
  <si>
    <t>HCM-KZ: Foreign key for field TYQUO in table T77PADKZECO</t>
  </si>
  <si>
    <t>Form 200: Cumulative updates 08.2014</t>
  </si>
  <si>
    <t>The fields are cleared incorrectly in the T77PAYKZBT table</t>
  </si>
  <si>
    <t>[MX] Addenda information for CFDi</t>
  </si>
  <si>
    <t>[MX] Documentation corrections</t>
  </si>
  <si>
    <t>[MX] HMXTISS0 - Filtering by REPAT does not respect BTRTL</t>
  </si>
  <si>
    <t>[MX] Documentation: SERICA report for Public Sector</t>
  </si>
  <si>
    <t>Enhancement of BIK Detail Information in Breakdown List</t>
  </si>
  <si>
    <t>Termination reason for CP21</t>
  </si>
  <si>
    <t>Support for negative amount in EA pdf form section F in ESS</t>
  </si>
  <si>
    <t>Correction for SAP Note 2024112</t>
  </si>
  <si>
    <t>Company car infotype does not generate correct wage types in payroll</t>
  </si>
  <si>
    <t>New checks for Wage Return</t>
  </si>
  <si>
    <t>Aangifte LH: Wage Return does not fill the indicator Premium Reduction Hiring Elderly Employee in case of SI Reduction for Hiring Young Employees</t>
  </si>
  <si>
    <t>Aangifte LH: Wage Return Extractor ends with runtime error SAPSQL_ARRAY_INSERT_DUPREC</t>
  </si>
  <si>
    <t>New Curacao Regulation as of January 2015</t>
  </si>
  <si>
    <t>EDAG - August 2014 [1/3] - DDIC</t>
  </si>
  <si>
    <t>EDAG - August 2014 [2/3] - Other objects</t>
  </si>
  <si>
    <t>EDAG - August 2014 [3/3] - Reports</t>
  </si>
  <si>
    <t>HRNO: Reimbursement issues August 2014</t>
  </si>
  <si>
    <t>HRNO: eTaxCard - Correction of issues - July/August 2014</t>
  </si>
  <si>
    <t>HRNO: SPK - correction of issues - August 2014</t>
  </si>
  <si>
    <t>UNJSPF Yearly interface : System produces BCD_ZERODIVID  Error</t>
  </si>
  <si>
    <t>PY-NZ : Incorrect offcycle hours in HNZLSUM0 and HNZLDET0</t>
  </si>
  <si>
    <t>PY-NZ : Incorrect Voluntary Student Loan Repayment</t>
  </si>
  <si>
    <t>PY-NZ : Documentation for constant TAXDT</t>
  </si>
  <si>
    <t>BADI works for 54A</t>
  </si>
  <si>
    <t>PTXIR: enhancement to customize how previous years surcharge will be calculated</t>
  </si>
  <si>
    <t>Christmas tax deduction (/404) wrongly calculated in case of company change</t>
  </si>
  <si>
    <t>RPCOVRP0 - Compensatory time is not correctly reported</t>
  </si>
  <si>
    <t>Error displaying the XML file due to special characters</t>
  </si>
  <si>
    <t>Reduction of remuneration for Public Sector OGE - 2014</t>
  </si>
  <si>
    <t>Reduction of remuneration 2014 – Corrections I</t>
  </si>
  <si>
    <t>Leave Passage Corrections for Qatar</t>
  </si>
  <si>
    <t>RU: HRUL4FSS - format errors in PDF form v. July 2014</t>
  </si>
  <si>
    <t>HR-RU: Usage of RUSTA Table Instead of TAX Table for Request of Fields MDTAX and 33TAX in Reporting</t>
  </si>
  <si>
    <t>FSSDP: Incorrect KLADR codes for addresses in XML Register for Applications</t>
  </si>
  <si>
    <t>RUSPL function with HWCP parameter terminates payroll due to overlapping entries</t>
  </si>
  <si>
    <t>HRSE:  RPSSBKS0 - KLP - 13th payroll run offcycle</t>
  </si>
  <si>
    <t>HRSE: RPLTCES0 - Section 2: complete text of position not displayed</t>
  </si>
  <si>
    <t>HRSE: 2 rows in VACS when legal person changes in month 04</t>
  </si>
  <si>
    <t>HRSE: Vacation Eligibility 23VAE not dependent on IT16</t>
  </si>
  <si>
    <t>CPF Full Rate Logic Adjustment</t>
  </si>
  <si>
    <t>Program MP041220 Missing</t>
  </si>
  <si>
    <t>SG OW Retro flow out Enhancement</t>
  </si>
  <si>
    <t>New Personal ID: Training Employment Pass</t>
  </si>
  <si>
    <t>Incorrect CPF Calculation in Off-cycle after Regular Run</t>
  </si>
  <si>
    <t>Unable to print IR8E Form via ESS Java</t>
  </si>
  <si>
    <t>Correction for IR8A Amended Form (PATLine File) Generation</t>
  </si>
  <si>
    <t>PY-SG: Additional Fund is not getting calculated during retroactive payroll.</t>
  </si>
  <si>
    <t>Adjustment for the A8B Additional Form in IR8A Report</t>
  </si>
  <si>
    <t>Ehancements to the Destruction Report HSGPPDP0 for Singapore PDPA Solution</t>
  </si>
  <si>
    <t>Total Contribution Difference in CPF Monthly Report (Pensionable)  RPCCPFR0_PS</t>
  </si>
  <si>
    <t>The OW Capping Limit should not be applied to Pensionable Scheme Type in period 01.01.2004 ~ 30.06.2007</t>
  </si>
  <si>
    <t>Non-Pensionable Salary Missing When Calculating TOW Using Projection Method</t>
  </si>
  <si>
    <t>50BIS Form Display Provident Fund with Preivous Employment Contribution</t>
  </si>
  <si>
    <t>Report HTHCTX91: PIT91 PDF Form Layout Adjustments</t>
  </si>
  <si>
    <t>Function THSS Cannot Read Retro SS Contribution for Semi-monthly Employees</t>
  </si>
  <si>
    <t>PY-TH: Wage Types Missing for Loan Function</t>
  </si>
  <si>
    <t>PIT91 Form Shows Severance Payment Exempted Amount Incorrect</t>
  </si>
  <si>
    <t>Report HTHCTX91: PIT91 Form Display Payable Tax as Overpaid Tax</t>
  </si>
  <si>
    <t>Function THSS Read Wrong Retro Outflow Contribution</t>
  </si>
  <si>
    <t>Report HTHCTX91: Years of Service Calculation for Fraction D</t>
  </si>
  <si>
    <t>Report HTHCINS0: Ehancement on Previous Employer Name</t>
  </si>
  <si>
    <t>PY-TH: New Transaction Code for Payroll  Off-Cycle WorkBench</t>
  </si>
  <si>
    <t>Adjustment to Lower Limit for SNHI Calculation Base for Part-Time Income</t>
  </si>
  <si>
    <t>USCLM: Cross-year amount incorrect for closing gap retrocalculation</t>
  </si>
  <si>
    <t>REC: Performance Enhancement for Reconciliation Report</t>
  </si>
  <si>
    <t>USCLM: Incorrect overpayment recovery for forgiveness &amp; fixed amounts</t>
  </si>
  <si>
    <t>BSI: Sync Payroll Tax Data displays error message when running in productive mode</t>
  </si>
  <si>
    <t>BSI: Sync. Payroll Tax Data generates invalid entries in T5UTD</t>
  </si>
  <si>
    <t>REC: Payroll Reconciliation Report fails after upgrade</t>
  </si>
  <si>
    <t>VETS: 2014 Legal compliance for Electronic File</t>
  </si>
  <si>
    <t>TR: Online W-2 enhancements</t>
  </si>
  <si>
    <t>TR: SUI Magmedia KY not reporting Month 1 Employment</t>
  </si>
  <si>
    <t>TR: Amounts with sign and decimals for W-2c PR</t>
  </si>
  <si>
    <t>TR: New Mexico Unemployment magmedia not correct at position 320</t>
  </si>
  <si>
    <t>TR: Indiana W2 magmedia not correct at position 331 and 341</t>
  </si>
  <si>
    <t>TR: SUI for Idaho with missing Administrative Reserve tax rate</t>
  </si>
  <si>
    <t>TR: Maine SUI Magmedia does not display remittance information</t>
  </si>
  <si>
    <t>TR: Kentucky SUI files not matching current requirements</t>
  </si>
  <si>
    <t>TR: Company Name appearing twice on form HR_F_WLIST_IL</t>
  </si>
  <si>
    <t>TR: Usage of Transmitter Tax Company without employees directly assigned to it</t>
  </si>
  <si>
    <t>TR: Form 941-X PR for 2014 does not print second line of address in bold</t>
  </si>
  <si>
    <t>/5PY not appear in payroll results after running a non authorized manual check (NAMC)</t>
  </si>
  <si>
    <t>TAX: Tax calculation incorrect because parameter Year-to-Date Pay Periods (YP:) is zero</t>
  </si>
  <si>
    <t>TAX: Withholding tax is not being calculated for Ohio School Districts and for Indiana Counties in TaxFactory 10.0</t>
  </si>
  <si>
    <t>LC: IRP5/IT3(a) PDF Form changes</t>
  </si>
  <si>
    <t>Changes Required to SARS Code 3696 and 3698 when SARS Code 3703 is moved to 3702</t>
  </si>
  <si>
    <t>IRP5: SARS Code 3860 displayed and not 3524 SARS code not displayed</t>
  </si>
  <si>
    <t>Postal Code (SARS Code 3254) Not Displayed on the IRP5 when Subtype 3 (Home Address) is used</t>
  </si>
  <si>
    <t>Rehire scenario across tax year in middle of a period multiple IRP5s are generated</t>
  </si>
  <si>
    <t>Taxable and Non-Taxable Bursaries for Further Education &amp; Fringe Benefit on Acquisition of Immovable Property</t>
  </si>
  <si>
    <t>Mid-Year IRP5 Changes 2014-15</t>
  </si>
  <si>
    <t>ETI - Unpaid Leave and Time Relevant Wage Types</t>
  </si>
  <si>
    <t>Multiple tax splits generated, employee rehired across tax year in across different PAYE</t>
  </si>
  <si>
    <t>Organizational Management</t>
  </si>
  <si>
    <t>Incorrect query call in report RPLDAP_EXTRACT</t>
  </si>
  <si>
    <t>Travel Management Public Sector</t>
  </si>
  <si>
    <t>TG: Probleme beim Löschen von Kreditkartenbelege im TG</t>
  </si>
  <si>
    <t>IT0367: Subtyp  15 für Storno Fallw. Besch. öff. Dienst funktioniert  nicht richtig</t>
  </si>
  <si>
    <t>IT0042 and IT0044: Content of some dropdown fields is not translated</t>
  </si>
  <si>
    <t>RPTPC4B0: Exception during database access</t>
  </si>
  <si>
    <t>IT0016: Correction of feature call BRFGT</t>
  </si>
  <si>
    <t>Correction for Note 2022633</t>
  </si>
  <si>
    <t>Summary Structure Sort Issue and Transport Tool Dump</t>
  </si>
  <si>
    <t>IT0021 Changes when entering the gender and IT0009: ESS IBAN for SEPA</t>
  </si>
  <si>
    <t>HRFI: Infotype 0205 Title for Field ITXNO Should be 20 Chars</t>
  </si>
  <si>
    <t>PA-PA-GB: Changes to Residency Status - it0048</t>
  </si>
  <si>
    <t>PA-PA-GB: Changes to Residency Status - it0048 - DDIC note</t>
  </si>
  <si>
    <t>HR-GB: RTI: Incoming P6/P9 clears Rehire Indicator for Work number in IT0065</t>
  </si>
  <si>
    <t>LC2014: Statement of Name in Roman for Pension</t>
  </si>
  <si>
    <t>LC2014: Output Reason of Normal Collection to SPR</t>
  </si>
  <si>
    <t>Kuwait Personal Adminsitration</t>
  </si>
  <si>
    <t>Issue with Employee Name Fields in Infotype 0002 Personal Data</t>
  </si>
  <si>
    <t>Issues while maintaining 0296 infotype</t>
  </si>
  <si>
    <t>RPTZKMN2: Short dump CONVT_NO_NUMBER after Note 1990931</t>
  </si>
  <si>
    <t>Consider end date of a challenge in average headcount of challenged employees</t>
  </si>
  <si>
    <t>Maximum seven numbers of a passport number is printed in report Personal Card (Form T-2)</t>
  </si>
  <si>
    <t>HRULPAY2: Incorrect absences after split and recalculation</t>
  </si>
  <si>
    <t>RSV-1: pdf form layout issues</t>
  </si>
  <si>
    <t>Employee name and gender fields are empty in ALV of report HRUA_MILITARY_LIST</t>
  </si>
  <si>
    <t>RPTPBSR0-Carry forward quotas in inforype 2006 was not overwritten when the new value is 0.</t>
  </si>
  <si>
    <t>RPTPBSR0-Carry forward quotas was generated when employee is inactive.</t>
  </si>
  <si>
    <t>CPF Monthly Contribution Report Data Inconsistance</t>
  </si>
  <si>
    <t>Report HTHCTX1A: New PDF Form Enhancement</t>
  </si>
  <si>
    <t>Data Protection: Error when archiving entries of garnishment infotypes</t>
  </si>
  <si>
    <t>BEN: Carryover for Health FSA - FSA Claims ESS</t>
  </si>
  <si>
    <t>Infotype 0035 being generated only for brazilian employees</t>
  </si>
  <si>
    <t>CPS: Minor corrections (01/2014)</t>
  </si>
  <si>
    <t>Error message in PSV1 when participant is locked</t>
  </si>
  <si>
    <t>Access counter incorrectly displayed in the learning portal after confirm participation is clicked</t>
  </si>
  <si>
    <t>Availability Indicators are incorrectly displayed when viewing the Resource type relationship for a Course type</t>
  </si>
  <si>
    <t>PP61: Additional shift is deleted after a change, which is incorrect</t>
  </si>
  <si>
    <t>[AR] Customizable divisors for leave calculation</t>
  </si>
  <si>
    <t>[AR] New ART contributions for third party employees</t>
  </si>
  <si>
    <t>[AR] Employee is wrongly included in SICOSS report</t>
  </si>
  <si>
    <t>[AR] LC Update Min. &amp; Max. Social Insurance for SUSS - Sep/14</t>
  </si>
  <si>
    <t>IT0367: Beim Abmeldegrund 00 muss auch das Beschäftigungsende gepflegt werden</t>
  </si>
  <si>
    <t>Infotyp 3347: Zählung auch inaktiver AV-Versicherter</t>
  </si>
  <si>
    <t>RPCKSBA0_B2A: Import KSB-Dateien nicht auf Unixsystem automatisierbar, wenn vorher von Windowssystem manuell geladen wurde</t>
  </si>
  <si>
    <t>Lohnzettelart 24: Funktion ADIST für 2014 aktivieren</t>
  </si>
  <si>
    <t>Funktion ADIST: Lohnart /128 Verarbeitungsklasse 4 und Steuersplitnummer</t>
  </si>
  <si>
    <t>SV: Korrektur  Verrechnungsgruppe C14  wegen Jährlichen Meldung für geringfügig Beschäftigte</t>
  </si>
  <si>
    <t>RPCEKSA0: Einkommensbericht Gruppen &amp;lt;3</t>
  </si>
  <si>
    <t>PCALZ: LZ Storno bei Anzeige aller LZ</t>
  </si>
  <si>
    <t>Alternative Verrechnungsgruppe für UV-Beitragssenkung geringfügig Beschäftigter</t>
  </si>
  <si>
    <t>Nach Hinweis 2053918 wird die Lohnart /I72 nicht mehr gebildet</t>
  </si>
  <si>
    <t>Funktion ADIST: Verarbeitungsprotokoll</t>
  </si>
  <si>
    <t>PCALZ: Prüfvorschriften für KZVSV abgeschaltet</t>
  </si>
  <si>
    <t>rpcalca0: Verbesserung Protokoll Abgabenänderungsgesetz</t>
  </si>
  <si>
    <t>PY-AU : Suppress recurring pay option in termination organizer works incorrectly.</t>
  </si>
  <si>
    <t>Mid-period transfer Super doubled</t>
  </si>
  <si>
    <t>Posting Error when OTE reduced to zero in retro</t>
  </si>
  <si>
    <t>Retro over an offcycle period when there is a payroll area transfer corrupts SMTH of the retro period</t>
  </si>
  <si>
    <t>Incorrect gross: Transfer from one ABN to another and retroactive change in gross WT</t>
  </si>
  <si>
    <t>Australia Tax - Redesigned Solution for Non CE</t>
  </si>
  <si>
    <t>Incorrect tax distribution for certain payments in Concurrent employment scenario</t>
  </si>
  <si>
    <t>Payroll Performance Issue in Public Sector Payroll Solution due to repetitive calls to 'HR_PERSONAL_WORK_SCHEDULE'</t>
  </si>
  <si>
    <t>LC: Data structure changes for APS Remuneration Report as per new guidelines</t>
  </si>
  <si>
    <t>Absence hours not calculated when start time is set to 24:00</t>
  </si>
  <si>
    <t>Issue while displaying pay in advance PCL2 records</t>
  </si>
  <si>
    <t>DmfA: Correction of job card C42 and job card C43</t>
  </si>
  <si>
    <t>DMFA: Deduction for employees in public sector</t>
  </si>
  <si>
    <t>RPTGENB0: Illness sequence counting problem after note 1897853</t>
  </si>
  <si>
    <t>DmfA: Employer Class 083</t>
  </si>
  <si>
    <t>Holiday pay calculation: Base does not contain variable holiday pay part  (/VAP)</t>
  </si>
  <si>
    <t>Tax base /450 and WT /150 configuration</t>
  </si>
  <si>
    <t>DmfA: No error message in HR_BE_WORKER_CONTRIBUTION</t>
  </si>
  <si>
    <t>Definitive Nomination Date (01092) (DENOD) conversion missing</t>
  </si>
  <si>
    <t>DmfAPPL: Target Group Reduction</t>
  </si>
  <si>
    <t>Reorganization Measure (REMES) Capelo / Social Insurance Q3 / 2014</t>
  </si>
  <si>
    <t>DIRF: Amounts of 13DI payroll considered in the next year</t>
  </si>
  <si>
    <t>DIRF: Records RRA and RPDE in wrong order</t>
  </si>
  <si>
    <t>SEFIP - Register 30 - Change to registration</t>
  </si>
  <si>
    <t>DIRF and Income Declaration: Detailed log displaying payments in wrong month</t>
  </si>
  <si>
    <t>HBRCCED0: Smart form with a typo</t>
  </si>
  <si>
    <t>MANAD - Record K300 with negative wage types</t>
  </si>
  <si>
    <t>HBRMANAD: correction generation records 0000</t>
  </si>
  <si>
    <t>HBRMANAD: calculation with 2 offcycles in same period</t>
  </si>
  <si>
    <t>HBRMANAD: incorrect competency period of 131P</t>
  </si>
  <si>
    <t>CAGED: changed rules for declaration fix</t>
  </si>
  <si>
    <t>NIS - registration of employees - NIS file</t>
  </si>
  <si>
    <t>HBRMANAD - Employee hired in last day of the month is rejected</t>
  </si>
  <si>
    <t>NIS - registration of employees - report</t>
  </si>
  <si>
    <t>eSocial - Corrections - Phase 2014/17</t>
  </si>
  <si>
    <t>eSocial: layout changes for version 1.1 - phase 2014/18</t>
  </si>
  <si>
    <t>eSocial: Event S-2325 Change to absence reason and related events</t>
  </si>
  <si>
    <t>Correction in garnishment calculation</t>
  </si>
  <si>
    <t>eSocial: event S-1010 - consider the delimitations of T596I/J tables - phase 2014/18</t>
  </si>
  <si>
    <t>TAX : Incorrect Vac. Payout in case of Emp. Grps. change</t>
  </si>
  <si>
    <t>TAX : Incorrect WCB due to proration in between splits</t>
  </si>
  <si>
    <t>QHC: QHC not adding to total tax during regular pay</t>
  </si>
  <si>
    <t>TAX: Tax update effective September 1, 2014</t>
  </si>
  <si>
    <t>AUDIT : RPCAUDK0 produces incomplete error list</t>
  </si>
  <si>
    <t>YE13: REL2 footnotes not generating in XML</t>
  </si>
  <si>
    <t>GARN: Due date not showing in Garnishment History report</t>
  </si>
  <si>
    <t>ROE: Inorrect amount in box 15B and 15C for non-reg. run</t>
  </si>
  <si>
    <t>ROE : B20 processing change</t>
  </si>
  <si>
    <t>YE13: No amendment in case of temporary SIN change</t>
  </si>
  <si>
    <t>Incorrect vacation allowance if entitlement changes mid-year</t>
  </si>
  <si>
    <t>ELM 4.0: Partial delivery (3): Withholding tax (DDIC) - I</t>
  </si>
  <si>
    <t>ELM 4.0: ABAP-based transmitter (system documentation)</t>
  </si>
  <si>
    <t>ELM 4.0: Partial delivery (3): Various corrections II</t>
  </si>
  <si>
    <t>ELM 4.0: Partial delivery (3): Company ID (BFS), dump</t>
  </si>
  <si>
    <t>ELM 4.0: Teillieferung (3): Neue Felder in IT0021, IT0038</t>
  </si>
  <si>
    <t>ELM 4.0: Partial delivery (3): Basics of withholding tax - additional personal data</t>
  </si>
  <si>
    <t>ELM 4.0: Partial delivery (3): Withholding tax (DDIC) - II</t>
  </si>
  <si>
    <t>ELM 4.0: Teillieferung (3): Grundlagen QSt Daten und XML - Teil 1</t>
  </si>
  <si>
    <t>ELM 4.0: Teillieferung (3): Grundlagen QSt Daten und XML - Teil 2</t>
  </si>
  <si>
    <t>HR CH (CE): Missing person wage types in T7CCE_PERS_WGTYP</t>
  </si>
  <si>
    <t>ELM 4.0: Partial delivery (3): System documentation</t>
  </si>
  <si>
    <t>[CL] INE report not reading original payroll result when you have an AJUS and RELI</t>
  </si>
  <si>
    <t>[CL] DAQ processing function modules are not selecting the payroll information correctly</t>
  </si>
  <si>
    <t>Report HCNCTXM0: Some Tax Data Missing If Report Run for Payroll Period with Retroactive Accounting Results</t>
  </si>
  <si>
    <t>Citizen ID Number Is Missing from Bilingual Version of Year-End Individual Income Tax Return</t>
  </si>
  <si>
    <t>B2A: Basics text editor</t>
  </si>
  <si>
    <t>ETNotif./ETStmt: Change of check RPUTX7D0</t>
  </si>
  <si>
    <t>ETNotif./ETStmt: Delivery of XML schemas for 2015</t>
  </si>
  <si>
    <t>SFP: Employee statement for year-end change for all industrial workers</t>
  </si>
  <si>
    <t>Leave with infotype 2006: Leave account when deducting several quotas for each absence</t>
  </si>
  <si>
    <t>DEUEV: Corrections XXI</t>
  </si>
  <si>
    <t>PPO DEUEV: Corrections (12)</t>
  </si>
  <si>
    <t>ELStAM: Improvements and corrections 27/2014</t>
  </si>
  <si>
    <t>ELStAM Procedure: Improvements and corrections 29/2014</t>
  </si>
  <si>
    <t>EEL: Error when picking up EEL data</t>
  </si>
  <si>
    <t>EEL: Corrections 8/2014</t>
  </si>
  <si>
    <t>AAG: Check of data record version upon status change in administrator list</t>
  </si>
  <si>
    <t>Payroll account: Minor corrections (01/2014)</t>
  </si>
  <si>
    <t>AVmG: Grouping of transfer amounts</t>
  </si>
  <si>
    <t>PO: Cleanup of garnishment results XVII</t>
  </si>
  <si>
    <t>PO: Cleanup of garnishment results XVIII</t>
  </si>
  <si>
    <t>PO: Cleanup of garnishment results XIX</t>
  </si>
  <si>
    <t>New statement of contributions paid: Corrections IV</t>
  </si>
  <si>
    <t>Preparatory delivery for year-end legal change for social insurance 2014/2015 (Part 2)</t>
  </si>
  <si>
    <t>PPO contribution survey: Creation of messages even though professionals pension organization is marked as inactive</t>
  </si>
  <si>
    <t>RPCBNLD0_OUT/IN_DISPLAY: Authorization check for transaction code</t>
  </si>
  <si>
    <t>New statement of contributions paid: Corrections V</t>
  </si>
  <si>
    <t>Section 23c of the Code of Social Law (SGB) IV: Corrections XXVII</t>
  </si>
  <si>
    <t>Child allowance statistics: Length of "File name" field too short</t>
  </si>
  <si>
    <t>INL data records with BYKK: Error when processing using report RPLRZAD0</t>
  </si>
  <si>
    <t>Creating BEN records with the data from the last IT0326</t>
  </si>
  <si>
    <t>College statistics: Field EF14 when changing the staffing assignment</t>
  </si>
  <si>
    <t>Infotype 0329: Display of message number instead of message text</t>
  </si>
  <si>
    <t>Non-Monetary Remuneration imputed income not included in WCA gross amount</t>
  </si>
  <si>
    <t>Public Services regulation, state of Hesse: 2. DRModG XXIX</t>
  </si>
  <si>
    <t>Formal changes to function modules for pension equalization payment</t>
  </si>
  <si>
    <t>Display of statement adjustment 0041 - calculation of the pension equalization payment</t>
  </si>
  <si>
    <t>VADM statements: Current last name not used in form of address</t>
  </si>
  <si>
    <t>Determination of Public Services regulation in infotype 0322 for supplements in accordance with section 50c</t>
  </si>
  <si>
    <t>Public Services regulation, state of Hesse: 2. DRModG XXXIII</t>
  </si>
  <si>
    <t>Incorrect texts in the "Pension Statistics" sub process scenario</t>
  </si>
  <si>
    <t>SI Notification Program: Remuneration assigned back with errors</t>
  </si>
  <si>
    <t>RPCZVBD2 (Contribution Statement SP): Descriptions of further cumulation wage types in output list</t>
  </si>
  <si>
    <t>VBL: Support for taxing feature 02 and a 5th subperiod for East notifications</t>
  </si>
  <si>
    <t>RPUZVZD2_IN in the SAP menu</t>
  </si>
  <si>
    <t>RPLEHAD3: Various errors</t>
  </si>
  <si>
    <t>CP: Contract Correction - Training and Practices Contracts</t>
  </si>
  <si>
    <t>TC: Retroactive split difference warning not shown</t>
  </si>
  <si>
    <t>PY: HR_ES_REBUILD_DIR2 issue with employees without XE cluster</t>
  </si>
  <si>
    <t>AFI: Journey reduction correction 2</t>
  </si>
  <si>
    <t>BONIFICACIONES: Issues with flat rate bonification</t>
  </si>
  <si>
    <t>AFI: DAM Segment not generated in pregnancy/lactancy change</t>
  </si>
  <si>
    <t>ANTIGUEDAD: Issue with payment date and deduction period</t>
  </si>
  <si>
    <t>Certific@2: Error in RPURT2E0 for Periodos de Actividad</t>
  </si>
  <si>
    <t>CONTRAT@: Missing tag IND_CONV_COLECTIVO in contracts</t>
  </si>
  <si>
    <t>MDIFERIDO: Changes to support the transition from next month treatment (mes diferido) to current month treatment (mes en curso)</t>
  </si>
  <si>
    <t>ERE: General corrections</t>
  </si>
  <si>
    <t>TC: Error when processing several TemSe files on RPCFANE0</t>
  </si>
  <si>
    <t>CRETA: General Corrections IV (Version I)</t>
  </si>
  <si>
    <t>DELT@: Missing Economic data in case of new work relation</t>
  </si>
  <si>
    <t>RED 06/2014: Correction in bonification formula</t>
  </si>
  <si>
    <t>IRPF: Wrong tax deduction percentage after leave date for contracts &amp;lt; 1 year</t>
  </si>
  <si>
    <t>SSOCIAL: fields with wrong value</t>
  </si>
  <si>
    <t>TC: Bonification amount incorrectly reported in CD22 segment instead of CD06</t>
  </si>
  <si>
    <t>HRFI: New Vacation Act 2014 - More Issues</t>
  </si>
  <si>
    <t>HRFI: V_T7FIPF - Duplicate Lines when Delimiting More Records</t>
  </si>
  <si>
    <t>HRFI: HFILTAX0 wrong customizing V_T7FIA4 for /401 delivered by note 2000530</t>
  </si>
  <si>
    <t>RPLASMF3: New form HR_FR_ASM_2013A for Pay Statement for IJSS Payments</t>
  </si>
  <si>
    <t>Payroll France: Use of conditions on contributions in case of WPBP split.</t>
  </si>
  <si>
    <t>Infotype 0272: Garnishments (F) - handling of recipient´s address</t>
  </si>
  <si>
    <t>Bonus in ATT IJSS: reference date before employee hiring</t>
  </si>
  <si>
    <t>DMMO: Temporary employees not being counted</t>
  </si>
  <si>
    <t>Error in the thresholds determination in case of complementary payment and shifted pay</t>
  </si>
  <si>
    <t>Faulty switch in group SVRGL and with correction number 00000004 does not preserve previous behavior in FCCO</t>
  </si>
  <si>
    <t>Deletion of report NOTE_2053538</t>
  </si>
  <si>
    <t>RPLRPSF1 and infotype 41</t>
  </si>
  <si>
    <t>DUCS: LSE refund missing if shifted payroll</t>
  </si>
  <si>
    <t>Contribution rates are not stored in RECOT table for contributions with an amount rounded to zero</t>
  </si>
  <si>
    <t>DSN: Expatriate unemployment contribution: additional type of wages (T5F1P)</t>
  </si>
  <si>
    <t>HR GB:RTI: EYU, EPS and FPS corrections</t>
  </si>
  <si>
    <t>PY-GB: P45 - HR_GB_P45_A4_D form does not show the works number</t>
  </si>
  <si>
    <t>PY-GB: HMRC Reconciliation - Cash payments</t>
  </si>
  <si>
    <t>PY-GB: RTI Reconciliation Report - Future Dated Priority Change of ME</t>
  </si>
  <si>
    <t>PY-GB: PAE: Warning message on IT3297 when set TPEMC = "N"</t>
  </si>
  <si>
    <t>PY-GB: PAE: Transitional Period for DB/Hybrid Schemes &amp; Employees Hired After Pay Date</t>
  </si>
  <si>
    <t>PY-GB: P45, Short dump for old works numbers</t>
  </si>
  <si>
    <t>PY-GB: RTI Recon report: SSP difference not to be reported from 2014/2015</t>
  </si>
  <si>
    <t>PY-GB: RPLNFIG0: National Fraud Initiative: Wrong default date</t>
  </si>
  <si>
    <t>PY-GB-PS: HESA Staff Return 2014: Validation Checks CONFTE 1, 2, 3 and 4</t>
  </si>
  <si>
    <t>PY-GB-PS: LGPS 2014: APP processing unnecessarily (warning issued)</t>
  </si>
  <si>
    <t>Mandatory MPF Contribution Is Calculated Incorrectly After Off-Cycle Payroll Run</t>
  </si>
  <si>
    <t>IR56G/F: Incorrect Additional Form</t>
  </si>
  <si>
    <t>Previous Submission Date Missing from IR56F/IR56G Additional Form</t>
  </si>
  <si>
    <t>PY-IE: IETAX, Tax credit and cut-off for leavers</t>
  </si>
  <si>
    <t>PY-IE: HIEIPAYE rounding P45 Pay&amp;Tax incorrectly</t>
  </si>
  <si>
    <t>PY-IE: P45 - Authoirzation issue for PRD infotype</t>
  </si>
  <si>
    <t>PY-IE: P45 Corrections (ERN start date; XML correction, Total pay and total tax calculation)</t>
  </si>
  <si>
    <t>PY-IE: P46, Generated file name for more than 9 XML files</t>
  </si>
  <si>
    <t>INEPF : EPF minimum wage ceiling raised to Rs 15,000 per month</t>
  </si>
  <si>
    <t>HINCF24Q : Runtime error in Form 24Q</t>
  </si>
  <si>
    <t>HINCANN0 : Inconsistency in ALV display</t>
  </si>
  <si>
    <t>PTax Basis Incorrect In Simulation Payroll</t>
  </si>
  <si>
    <t>IT0580 - Increase of field length for certain fields</t>
  </si>
  <si>
    <t>FORM24Q E-Filing : FVU Version 4.3 Release</t>
  </si>
  <si>
    <t>HINCALC0: PAN check for eligibility of Tax Credit</t>
  </si>
  <si>
    <t>Universal Account Number ( UAN ) for EPF</t>
  </si>
  <si>
    <t>HINCF24Q: Form 24Q files storage in Background processing</t>
  </si>
  <si>
    <t>Section 80CCC Limit</t>
  </si>
  <si>
    <t>Incorrect entry in V_T5ITWB table view</t>
  </si>
  <si>
    <t>UE: Missing InquadramentoLav for VarRetributive section</t>
  </si>
  <si>
    <t>Error in payroll execution in case of previous advanced payment of TFR in January</t>
  </si>
  <si>
    <t>ITCIG  generating wrong Wage types when running payroll for more than one employee</t>
  </si>
  <si>
    <t>UniEmens: Element &amp;lt;ForzImpZero&amp;gt; generated wrong in case of rehiring</t>
  </si>
  <si>
    <t>PY-IT: Issue with old data on RDTP payroll operation</t>
  </si>
  <si>
    <t>HR-IT: IRPEF (Addiz. Regionale all'IRPEF) 2014 - Basilicata</t>
  </si>
  <si>
    <t>Incorrect Income Tax for Shoyo with Negative Taxable Amount</t>
  </si>
  <si>
    <t>/5J2 Gets Lost during Retro</t>
  </si>
  <si>
    <t>ESS YEA Report PDF Form selection enhancement</t>
  </si>
  <si>
    <t>Enhancement of Japan PDF Forms</t>
  </si>
  <si>
    <t>RPCEDTJ0: Incorrect Output Length for Strings with Half-width Space</t>
  </si>
  <si>
    <t>PY-JP-RP-SI</t>
  </si>
  <si>
    <t>Social Insurance Statement</t>
  </si>
  <si>
    <t>LC2014: SI Form via FD No Longer Supported</t>
  </si>
  <si>
    <t>LC2014: New Adjustment Option for EI and WCI</t>
  </si>
  <si>
    <t>Enhance Senior Executive Last 3 Year Average Calculation</t>
  </si>
  <si>
    <t>Correct Determined Tax for Employee Eligible for Tax Exemption</t>
  </si>
  <si>
    <t>Corresponding SI Entitlement Status Changed to 'Normal' for Entitlement Reason '03 Becoming Applicable' for EI &amp; WCI</t>
  </si>
  <si>
    <t>LC2014: Investment Association Deduction</t>
  </si>
  <si>
    <t>HR-KZ: XML transformation for form 200</t>
  </si>
  <si>
    <t>HCM-KZ: Localization for Off-cycle Calculation</t>
  </si>
  <si>
    <t>[MX] Housing insurance for Infonavit credit "Renueva tu hogar"</t>
  </si>
  <si>
    <t>Correction for Commencement Date in EA Form</t>
  </si>
  <si>
    <t>Enhancement for note 2024112</t>
  </si>
  <si>
    <t>Ehancement for officer name and designation in PDF EA form</t>
  </si>
  <si>
    <t>Correction of checks for Wage Return</t>
  </si>
  <si>
    <t>PY-NL - Jaaropgave Werknemer: Translation-independent forms for the Annual Statement Employee II</t>
  </si>
  <si>
    <t>HRNO: Correction of  PC00_M20_MXDT ''Removing old max date"</t>
  </si>
  <si>
    <t>EDAG - New payroll function NOSKT for granularity</t>
  </si>
  <si>
    <t>EDAG - September 2014 [1/4] - DDIC</t>
  </si>
  <si>
    <t>EDAG - September 2014 [2/4] - Other objects</t>
  </si>
  <si>
    <t>EDAG - September 2014 [3/4] - Reports</t>
  </si>
  <si>
    <t>EDAG - September 2014 [4/4] - Customization</t>
  </si>
  <si>
    <t>EDAG Features for Employment Reporting</t>
  </si>
  <si>
    <t>HRNO: Reimbursement issues September 2014</t>
  </si>
  <si>
    <t>HRNO: Reimbursement - RPCALCV0 STOPS</t>
  </si>
  <si>
    <t>WIGSI calculates wrong next increment date due to adjacent SLWOP period</t>
  </si>
  <si>
    <t>FI Activity report: Retrieving data based on organization ID</t>
  </si>
  <si>
    <t>FI Interface: Corrections for Miscelleneous transaction Node</t>
  </si>
  <si>
    <t>PY-NZ: HNZLEMS2 - EMS Reporting Issues</t>
  </si>
  <si>
    <t>Statutory Contributions' Refund in Semi-monthly payrolls (ADP)</t>
  </si>
  <si>
    <t>BIR2316 54A incorrect caused by overtime</t>
  </si>
  <si>
    <t>Statutory HDMF Contributions' Refund in Semi-monthly payrolls (ADP)</t>
  </si>
  <si>
    <t>BIR2316 54A incorrect caused by Evaluation class OI,OJ</t>
  </si>
  <si>
    <t>New Parish codes and new tables for Parishes, Councils, Districts and Establishments</t>
  </si>
  <si>
    <t>RPCMIDP0: General Corrections II</t>
  </si>
  <si>
    <t>Table Reading correction on reports</t>
  </si>
  <si>
    <t>SIOE: Corrections II - 2014</t>
  </si>
  <si>
    <t>End of reduction of remuneration for Public Sector OGE - 2014</t>
  </si>
  <si>
    <t>SIOE: Corrections III - 2014</t>
  </si>
  <si>
    <t>Employee Flight Tickets Quota not reported in Leave Passage Report</t>
  </si>
  <si>
    <t>Social Insurance Form Reneration Report for Qatar</t>
  </si>
  <si>
    <t>Incorrect alimony calculation when employee leaves the company</t>
  </si>
  <si>
    <t>System does not calculate special HWC seniority if employee does not have assignment to Org Management objects in 0001 infotype</t>
  </si>
  <si>
    <t>Report HRULICO0: missed reading of 0014 infotype</t>
  </si>
  <si>
    <t>RSV-1: Duration of HWC periods in the Part 6.8</t>
  </si>
  <si>
    <t>Runtime error UNCAUGHT_EXCEPTION in report HRULPFP5 or HRULPFP5_CE when time-constraint of infotype 0016 is changed</t>
  </si>
  <si>
    <t>Incorrect average calculation in case of delimitation of average rule in V_T51AV_A</t>
  </si>
  <si>
    <t>HCM, RU New Topics for Payroll Part</t>
  </si>
  <si>
    <t>P-4: MOVE_TO_LIT_NOTALLOWED_NODATA dump at the start of program</t>
  </si>
  <si>
    <t>Usage Enablement in Master Data and Reporting for Russia</t>
  </si>
  <si>
    <t>Customer redefinition settings of fields are ignored in DAQ-based Russian reports</t>
  </si>
  <si>
    <t>HWC class is empty in RUSTA table for last split when position is not changed</t>
  </si>
  <si>
    <t>Rows with bases for average after global wage increase</t>
  </si>
  <si>
    <t>HR-RU: redundant reading of payroll results during processing of DAQ subapplications</t>
  </si>
  <si>
    <t>HRSE: RPIABSS0_NEW - incorrect processing of whole month Absence</t>
  </si>
  <si>
    <t>HRSE: SNAB - Incorrect processing of Unpaid leave</t>
  </si>
  <si>
    <t>CPF Calculation for Backdated CPF Fund Type Change</t>
  </si>
  <si>
    <t>Tax Partially borne by employer can't display in IR21 Form</t>
  </si>
  <si>
    <t>IR21 New Form Layout for 2014 Year End Updates</t>
  </si>
  <si>
    <t>RPCCPFR0-Voluntary CPF shortfall is not reported correctly</t>
  </si>
  <si>
    <t>AW Amount is Double in CPF Monthly Report RPCCPFR0</t>
  </si>
  <si>
    <t>Field 'Designation' , 'Gross Commission for the period' in IR8A/IR8E PDF form are truncate</t>
  </si>
  <si>
    <t>Correction for Display of Multiple Pages of IR8S Form</t>
  </si>
  <si>
    <t>PY-SG: Model wagetype M3OW fails to override the amount of /3OW</t>
  </si>
  <si>
    <t>Adjustment for Designation Text in IR8A/IR8E Form</t>
  </si>
  <si>
    <t>PY-SG: Update wagetype /3NC into CAW table</t>
  </si>
  <si>
    <t>CPF Rate Change effective from 1 Jan 2015</t>
  </si>
  <si>
    <t>RPCTGMLR0 - GPML form alignment issue</t>
  </si>
  <si>
    <t>Document Correction to the PDPA Phase 1 Release</t>
  </si>
  <si>
    <t>Adjustment for Checkbox of Form of Address in Sapscript Form</t>
  </si>
  <si>
    <t>Report HTHCTXF1: New PDF Form Enhancement</t>
  </si>
  <si>
    <t>Social Security Allowance Annualization for Semi-monthly Employee</t>
  </si>
  <si>
    <t>Function THSS Cannnot Read Correct Difference Table Values</t>
  </si>
  <si>
    <t>Social Security Contribution Calculated when Earning is Zero</t>
  </si>
  <si>
    <t>Employee Data Not Output by Report HTWLIM00 After NHI Insurance Amount Adjusted in View V_T7TW1B</t>
  </si>
  <si>
    <t>Incorrect Total Wages in Report HTWLSHI0 When Employee NHI Status Changes to "Transfer Out"</t>
  </si>
  <si>
    <t>USCLM - Cross-year amount for different payroll areas is incorrect in retrocalculation</t>
  </si>
  <si>
    <t>BSI: Authorization checks for HRPAYUS_SYNC_TAX_DT</t>
  </si>
  <si>
    <t>BSI: Sync. Tax Data does not save new tax authorities in transport</t>
  </si>
  <si>
    <t>USTAX: Update in BSI interface for future changes</t>
  </si>
  <si>
    <t>TR: SUI Correction with retroactive tax authority changes</t>
  </si>
  <si>
    <t>TR: BAdI BADI_PRINT_W2_CHECK is not called for Form W-2 for Puerto Rico</t>
  </si>
  <si>
    <t>TR: State magmedia files do not include all RW Federal amounts in RT record</t>
  </si>
  <si>
    <t>TR: SUI Form for MA has wrong amount in Field G</t>
  </si>
  <si>
    <t>TR: Configuration remark for SUI Monthly Wage Reporting forms</t>
  </si>
  <si>
    <t>Year End 2014 Phase I for U.S. Tax Reporter</t>
  </si>
  <si>
    <t>Usage Enablement in Payroll Drivers for CIS and Ukraine</t>
  </si>
  <si>
    <t>Incorrect splits assigned in scenarios where employee is rehired acrossed tax year</t>
  </si>
  <si>
    <t>IRP5 LC : Length of SARS Code 3215 and 3216 are maintained incorrectly</t>
  </si>
  <si>
    <t>ETI SARS Codes - 7006, 7003, 7002 and 7004</t>
  </si>
  <si>
    <t>Employment Equity : EEA2 and EEA4 form changes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</si>
</sst>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">
    <xf numFmtId="0" fontId="0" fillId="0" borderId="0" xfId="0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428"/>
  <sheetViews>
    <sheetView tabSelected="1" topLeftCell="A343" workbookViewId="0">
      <selection activeCell="B9" sqref="B9"/>
    </sheetView>
  </sheetViews>
  <sheetFormatPr defaultRowHeight="14.4" x14ac:dyDescent="0.3"/>
  <cols>
    <col min="1" max="1" width="19.109375" customWidth="1"/>
    <col min="2" max="2" width="25.5546875" customWidth="1"/>
    <col min="3" max="3" width="12.5546875" customWidth="1"/>
    <col min="4" max="4" width="11.109375" customWidth="1"/>
    <col min="5" max="5" width="108" customWidth="1"/>
    <col min="6" max="6" width="33.6640625" customWidth="1"/>
  </cols>
  <sheetData>
    <row r="1" spans="1: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6" x14ac:dyDescent="0.3">
      <c r="A2" t="s">
        <v>3280</v>
      </c>
      <c r="B2" t="s">
        <v>3281</v>
      </c>
      <c r="C2" t="str">
        <f>HYPERLINK("http://service.sap.com/sap/support/notes/1973860","1973860")</f>
        <v>1973860</v>
      </c>
      <c r="D2">
        <v>3</v>
      </c>
      <c r="E2" t="s">
        <v>3282</v>
      </c>
      <c r="F2" t="s">
        <v>9</v>
      </c>
    </row>
    <row r="3" spans="1:6" x14ac:dyDescent="0.3">
      <c r="A3" t="s">
        <v>3280</v>
      </c>
      <c r="B3" t="s">
        <v>3281</v>
      </c>
      <c r="C3" t="str">
        <f>HYPERLINK("http://service.sap.com/sap/support/notes/1984516","1984516")</f>
        <v>1984516</v>
      </c>
      <c r="D3">
        <v>3</v>
      </c>
      <c r="E3" t="s">
        <v>3283</v>
      </c>
      <c r="F3" t="s">
        <v>16</v>
      </c>
    </row>
    <row r="4" spans="1:6" x14ac:dyDescent="0.3">
      <c r="A4" t="s">
        <v>3280</v>
      </c>
      <c r="B4" t="s">
        <v>5388</v>
      </c>
      <c r="C4" t="str">
        <f>HYPERLINK("http://service.sap.com/sap/support/notes/2062814","2062814")</f>
        <v>2062814</v>
      </c>
      <c r="D4">
        <v>1</v>
      </c>
      <c r="E4" t="s">
        <v>5389</v>
      </c>
      <c r="F4" t="s">
        <v>9</v>
      </c>
    </row>
    <row r="5" spans="1:6" x14ac:dyDescent="0.3">
      <c r="A5" t="s">
        <v>3284</v>
      </c>
      <c r="B5" t="s">
        <v>3285</v>
      </c>
      <c r="C5" t="str">
        <f>HYPERLINK("http://service.sap.com/sap/support/notes/2003116","2003116")</f>
        <v>2003116</v>
      </c>
      <c r="D5">
        <v>2</v>
      </c>
      <c r="E5" t="s">
        <v>3286</v>
      </c>
      <c r="F5" t="s">
        <v>9</v>
      </c>
    </row>
    <row r="6" spans="1:6" x14ac:dyDescent="0.3">
      <c r="A6" t="s">
        <v>3284</v>
      </c>
      <c r="B6" t="s">
        <v>3285</v>
      </c>
      <c r="C6" t="str">
        <f>HYPERLINK("http://service.sap.com/sap/support/notes/2006405","2006405")</f>
        <v>2006405</v>
      </c>
      <c r="D6">
        <v>1</v>
      </c>
      <c r="E6" t="s">
        <v>3287</v>
      </c>
      <c r="F6" t="s">
        <v>16</v>
      </c>
    </row>
    <row r="7" spans="1:6" x14ac:dyDescent="0.3">
      <c r="A7" t="s">
        <v>6</v>
      </c>
      <c r="B7" t="s">
        <v>7</v>
      </c>
      <c r="C7" t="str">
        <f>HYPERLINK("http://service.sap.com/sap/support/notes/1917125","1917125")</f>
        <v>1917125</v>
      </c>
      <c r="D7">
        <v>3</v>
      </c>
      <c r="E7" t="s">
        <v>8</v>
      </c>
      <c r="F7" t="s">
        <v>9</v>
      </c>
    </row>
    <row r="8" spans="1:6" x14ac:dyDescent="0.3">
      <c r="A8" t="s">
        <v>6</v>
      </c>
      <c r="B8" t="s">
        <v>7</v>
      </c>
      <c r="C8" t="str">
        <f>HYPERLINK("http://service.sap.com/sap/support/notes/1964567","1964567")</f>
        <v>1964567</v>
      </c>
      <c r="D8">
        <v>2</v>
      </c>
      <c r="E8" t="s">
        <v>2795</v>
      </c>
      <c r="F8" t="s">
        <v>9</v>
      </c>
    </row>
    <row r="9" spans="1:6" x14ac:dyDescent="0.3">
      <c r="A9" t="s">
        <v>6</v>
      </c>
      <c r="B9" t="s">
        <v>7</v>
      </c>
      <c r="C9" t="str">
        <f>HYPERLINK("http://service.sap.com/sap/support/notes/2002326","2002326")</f>
        <v>2002326</v>
      </c>
      <c r="D9">
        <v>1</v>
      </c>
      <c r="E9" t="s">
        <v>3288</v>
      </c>
      <c r="F9" t="s">
        <v>9</v>
      </c>
    </row>
    <row r="10" spans="1:6" x14ac:dyDescent="0.3">
      <c r="A10" t="s">
        <v>2054</v>
      </c>
      <c r="B10" t="s">
        <v>342</v>
      </c>
      <c r="C10" t="str">
        <f>HYPERLINK("http://service.sap.com/sap/support/notes/1956496","1956496")</f>
        <v>1956496</v>
      </c>
      <c r="D10">
        <v>2</v>
      </c>
      <c r="E10" t="s">
        <v>2055</v>
      </c>
      <c r="F10" t="s">
        <v>9</v>
      </c>
    </row>
    <row r="11" spans="1:6" x14ac:dyDescent="0.3">
      <c r="A11" t="s">
        <v>10</v>
      </c>
      <c r="B11" t="s">
        <v>11</v>
      </c>
      <c r="C11" t="str">
        <f>HYPERLINK("http://service.sap.com/sap/support/notes/1868681","1868681")</f>
        <v>1868681</v>
      </c>
      <c r="D11">
        <v>1</v>
      </c>
      <c r="E11" t="s">
        <v>12</v>
      </c>
      <c r="F11" t="s">
        <v>9</v>
      </c>
    </row>
    <row r="12" spans="1:6" x14ac:dyDescent="0.3">
      <c r="A12" t="s">
        <v>10</v>
      </c>
      <c r="B12" t="s">
        <v>11</v>
      </c>
      <c r="C12" t="str">
        <f>HYPERLINK("http://service.sap.com/sap/support/notes/1997568","1997568")</f>
        <v>1997568</v>
      </c>
      <c r="D12">
        <v>1</v>
      </c>
      <c r="E12" t="s">
        <v>3289</v>
      </c>
      <c r="F12" t="s">
        <v>9</v>
      </c>
    </row>
    <row r="13" spans="1:6" x14ac:dyDescent="0.3">
      <c r="A13" t="s">
        <v>2796</v>
      </c>
      <c r="B13" t="s">
        <v>2797</v>
      </c>
      <c r="C13" t="str">
        <f>HYPERLINK("http://service.sap.com/sap/support/notes/1993304","1993304")</f>
        <v>1993304</v>
      </c>
      <c r="D13">
        <v>1</v>
      </c>
      <c r="E13" t="s">
        <v>2798</v>
      </c>
      <c r="F13" t="s">
        <v>9</v>
      </c>
    </row>
    <row r="14" spans="1:6" x14ac:dyDescent="0.3">
      <c r="A14" t="s">
        <v>13</v>
      </c>
      <c r="B14" t="s">
        <v>14</v>
      </c>
      <c r="C14" t="str">
        <f>HYPERLINK("http://service.sap.com/sap/support/notes/1610279","1610279")</f>
        <v>1610279</v>
      </c>
      <c r="D14">
        <v>2</v>
      </c>
      <c r="E14" t="s">
        <v>15</v>
      </c>
      <c r="F14" t="s">
        <v>16</v>
      </c>
    </row>
    <row r="15" spans="1:6" x14ac:dyDescent="0.3">
      <c r="A15" t="s">
        <v>2380</v>
      </c>
      <c r="B15" t="s">
        <v>2381</v>
      </c>
      <c r="C15" t="str">
        <f>HYPERLINK("http://service.sap.com/sap/support/notes/1972195","1972195")</f>
        <v>1972195</v>
      </c>
      <c r="D15">
        <v>2</v>
      </c>
      <c r="E15" t="s">
        <v>2382</v>
      </c>
      <c r="F15" t="s">
        <v>9</v>
      </c>
    </row>
    <row r="16" spans="1:6" x14ac:dyDescent="0.3">
      <c r="A16" t="s">
        <v>17</v>
      </c>
      <c r="B16" t="s">
        <v>18</v>
      </c>
      <c r="C16" t="str">
        <f>HYPERLINK("http://service.sap.com/sap/support/notes/1313452","1313452")</f>
        <v>1313452</v>
      </c>
      <c r="D16">
        <v>3</v>
      </c>
      <c r="E16" t="s">
        <v>19</v>
      </c>
      <c r="F16" t="s">
        <v>16</v>
      </c>
    </row>
    <row r="17" spans="1:6" x14ac:dyDescent="0.3">
      <c r="A17" t="s">
        <v>17</v>
      </c>
      <c r="B17" t="s">
        <v>18</v>
      </c>
      <c r="C17" t="str">
        <f>HYPERLINK("http://service.sap.com/sap/support/notes/1518582","1518582")</f>
        <v>1518582</v>
      </c>
      <c r="D17">
        <v>2</v>
      </c>
      <c r="E17" t="s">
        <v>20</v>
      </c>
      <c r="F17" t="s">
        <v>9</v>
      </c>
    </row>
    <row r="18" spans="1:6" x14ac:dyDescent="0.3">
      <c r="A18" t="s">
        <v>17</v>
      </c>
      <c r="B18" t="s">
        <v>18</v>
      </c>
      <c r="C18" t="str">
        <f>HYPERLINK("http://service.sap.com/sap/support/notes/1870462","1870462")</f>
        <v>1870462</v>
      </c>
      <c r="D18">
        <v>1</v>
      </c>
      <c r="E18" t="s">
        <v>21</v>
      </c>
      <c r="F18" t="s">
        <v>9</v>
      </c>
    </row>
    <row r="19" spans="1:6" x14ac:dyDescent="0.3">
      <c r="A19" t="s">
        <v>22</v>
      </c>
      <c r="B19" t="s">
        <v>23</v>
      </c>
      <c r="C19" t="str">
        <f>HYPERLINK("http://service.sap.com/sap/support/notes/1918310","1918310")</f>
        <v>1918310</v>
      </c>
      <c r="D19">
        <v>1</v>
      </c>
      <c r="E19" t="s">
        <v>24</v>
      </c>
      <c r="F19" t="s">
        <v>16</v>
      </c>
    </row>
    <row r="20" spans="1:6" x14ac:dyDescent="0.3">
      <c r="A20" t="s">
        <v>4683</v>
      </c>
      <c r="B20" t="s">
        <v>525</v>
      </c>
      <c r="C20" t="str">
        <f>HYPERLINK("http://service.sap.com/sap/support/notes/1998249","1998249")</f>
        <v>1998249</v>
      </c>
      <c r="D20">
        <v>4</v>
      </c>
      <c r="E20" t="s">
        <v>4684</v>
      </c>
      <c r="F20" t="s">
        <v>9</v>
      </c>
    </row>
    <row r="21" spans="1:6" x14ac:dyDescent="0.3">
      <c r="A21" t="s">
        <v>25</v>
      </c>
      <c r="B21" t="s">
        <v>26</v>
      </c>
      <c r="C21" t="str">
        <f>HYPERLINK("http://service.sap.com/sap/support/notes/1489627","1489627")</f>
        <v>1489627</v>
      </c>
      <c r="D21">
        <v>2</v>
      </c>
      <c r="E21" t="s">
        <v>27</v>
      </c>
      <c r="F21" t="s">
        <v>28</v>
      </c>
    </row>
    <row r="22" spans="1:6" x14ac:dyDescent="0.3">
      <c r="A22" t="s">
        <v>25</v>
      </c>
      <c r="B22" t="s">
        <v>26</v>
      </c>
      <c r="C22" t="str">
        <f>HYPERLINK("http://service.sap.com/sap/support/notes/1918063","1918063")</f>
        <v>1918063</v>
      </c>
      <c r="D22">
        <v>1</v>
      </c>
      <c r="E22" t="s">
        <v>29</v>
      </c>
      <c r="F22" t="s">
        <v>9</v>
      </c>
    </row>
    <row r="23" spans="1:6" x14ac:dyDescent="0.3">
      <c r="A23" t="s">
        <v>25</v>
      </c>
      <c r="B23" t="s">
        <v>26</v>
      </c>
      <c r="C23" t="str">
        <f>HYPERLINK("http://service.sap.com/sap/support/notes/1928342","1928342")</f>
        <v>1928342</v>
      </c>
      <c r="D23">
        <v>1</v>
      </c>
      <c r="E23" t="s">
        <v>30</v>
      </c>
      <c r="F23" t="s">
        <v>9</v>
      </c>
    </row>
    <row r="24" spans="1:6" x14ac:dyDescent="0.3">
      <c r="A24" t="s">
        <v>25</v>
      </c>
      <c r="B24" t="s">
        <v>26</v>
      </c>
      <c r="C24" t="str">
        <f>HYPERLINK("http://service.sap.com/sap/support/notes/1972984","1972984")</f>
        <v>1972984</v>
      </c>
      <c r="D24">
        <v>2</v>
      </c>
      <c r="E24" t="s">
        <v>2799</v>
      </c>
      <c r="F24" t="s">
        <v>9</v>
      </c>
    </row>
    <row r="25" spans="1:6" x14ac:dyDescent="0.3">
      <c r="A25" t="s">
        <v>25</v>
      </c>
      <c r="B25" t="s">
        <v>26</v>
      </c>
      <c r="C25" t="str">
        <f>HYPERLINK("http://service.sap.com/sap/support/notes/1832930","1832930")</f>
        <v>1832930</v>
      </c>
      <c r="D25">
        <v>2</v>
      </c>
      <c r="E25" t="s">
        <v>3290</v>
      </c>
      <c r="F25" t="s">
        <v>9</v>
      </c>
    </row>
    <row r="26" spans="1:6" x14ac:dyDescent="0.3">
      <c r="A26" t="s">
        <v>25</v>
      </c>
      <c r="B26" t="s">
        <v>26</v>
      </c>
      <c r="C26" t="str">
        <f>HYPERLINK("http://service.sap.com/sap/support/notes/1983874","1983874")</f>
        <v>1983874</v>
      </c>
      <c r="D26">
        <v>1</v>
      </c>
      <c r="E26" t="s">
        <v>3291</v>
      </c>
      <c r="F26" t="s">
        <v>9</v>
      </c>
    </row>
    <row r="27" spans="1:6" x14ac:dyDescent="0.3">
      <c r="A27" t="s">
        <v>25</v>
      </c>
      <c r="B27" t="s">
        <v>4379</v>
      </c>
      <c r="C27" t="str">
        <f>HYPERLINK("http://service.sap.com/sap/support/notes/2022552","2022552")</f>
        <v>2022552</v>
      </c>
      <c r="D27">
        <v>1</v>
      </c>
      <c r="E27" t="s">
        <v>4380</v>
      </c>
      <c r="F27" t="s">
        <v>9</v>
      </c>
    </row>
    <row r="28" spans="1:6" x14ac:dyDescent="0.3">
      <c r="A28" t="s">
        <v>25</v>
      </c>
      <c r="B28" t="s">
        <v>4379</v>
      </c>
      <c r="C28" t="str">
        <f>HYPERLINK("http://service.sap.com/sap/support/notes/2041491","2041491")</f>
        <v>2041491</v>
      </c>
      <c r="D28">
        <v>1</v>
      </c>
      <c r="E28" t="s">
        <v>4685</v>
      </c>
      <c r="F28" t="s">
        <v>9</v>
      </c>
    </row>
    <row r="29" spans="1:6" x14ac:dyDescent="0.3">
      <c r="A29" t="s">
        <v>25</v>
      </c>
      <c r="B29" t="s">
        <v>4379</v>
      </c>
      <c r="C29" t="str">
        <f>HYPERLINK("http://service.sap.com/sap/support/notes/2052594","2052594")</f>
        <v>2052594</v>
      </c>
      <c r="D29">
        <v>1</v>
      </c>
      <c r="E29" t="s">
        <v>5059</v>
      </c>
      <c r="F29" t="s">
        <v>9</v>
      </c>
    </row>
    <row r="30" spans="1:6" x14ac:dyDescent="0.3">
      <c r="A30" t="s">
        <v>1134</v>
      </c>
      <c r="B30" t="s">
        <v>1135</v>
      </c>
      <c r="C30" t="str">
        <f>HYPERLINK("http://service.sap.com/sap/support/notes/2011698","2011698")</f>
        <v>2011698</v>
      </c>
      <c r="D30">
        <v>1</v>
      </c>
      <c r="E30" t="s">
        <v>4017</v>
      </c>
      <c r="F30" t="s">
        <v>9</v>
      </c>
    </row>
    <row r="31" spans="1:6" x14ac:dyDescent="0.3">
      <c r="A31" t="s">
        <v>1456</v>
      </c>
      <c r="B31" t="s">
        <v>1457</v>
      </c>
      <c r="C31" t="str">
        <f>HYPERLINK("http://service.sap.com/sap/support/notes/1960009","1960009")</f>
        <v>1960009</v>
      </c>
      <c r="D31">
        <v>1</v>
      </c>
      <c r="E31" t="s">
        <v>1458</v>
      </c>
      <c r="F31" t="s">
        <v>9</v>
      </c>
    </row>
    <row r="32" spans="1:6" x14ac:dyDescent="0.3">
      <c r="A32" t="s">
        <v>1456</v>
      </c>
      <c r="B32" t="s">
        <v>1457</v>
      </c>
      <c r="C32" t="str">
        <f>HYPERLINK("http://service.sap.com/sap/support/notes/1962284","1962284")</f>
        <v>1962284</v>
      </c>
      <c r="D32">
        <v>2</v>
      </c>
      <c r="E32" t="s">
        <v>1459</v>
      </c>
      <c r="F32" t="s">
        <v>28</v>
      </c>
    </row>
    <row r="33" spans="1:6" x14ac:dyDescent="0.3">
      <c r="A33" t="s">
        <v>1456</v>
      </c>
      <c r="B33" t="s">
        <v>1457</v>
      </c>
      <c r="C33" t="str">
        <f>HYPERLINK("http://service.sap.com/sap/support/notes/1962284","1962284")</f>
        <v>1962284</v>
      </c>
      <c r="D33">
        <v>2</v>
      </c>
      <c r="E33" t="s">
        <v>1459</v>
      </c>
      <c r="F33" t="s">
        <v>28</v>
      </c>
    </row>
    <row r="34" spans="1:6" x14ac:dyDescent="0.3">
      <c r="A34" t="s">
        <v>1456</v>
      </c>
      <c r="B34" t="s">
        <v>1457</v>
      </c>
      <c r="C34" t="str">
        <f>HYPERLINK("http://service.sap.com/sap/support/notes/1971493","1971493")</f>
        <v>1971493</v>
      </c>
      <c r="D34">
        <v>1</v>
      </c>
      <c r="E34" t="s">
        <v>2056</v>
      </c>
      <c r="F34" t="s">
        <v>28</v>
      </c>
    </row>
    <row r="35" spans="1:6" x14ac:dyDescent="0.3">
      <c r="A35" t="s">
        <v>1456</v>
      </c>
      <c r="B35" t="s">
        <v>1457</v>
      </c>
      <c r="C35" t="str">
        <f>HYPERLINK("http://service.sap.com/sap/support/notes/1968870","1968870")</f>
        <v>1968870</v>
      </c>
      <c r="D35">
        <v>1</v>
      </c>
      <c r="E35" t="s">
        <v>2383</v>
      </c>
      <c r="F35" t="s">
        <v>9</v>
      </c>
    </row>
    <row r="36" spans="1:6" x14ac:dyDescent="0.3">
      <c r="A36" t="s">
        <v>1456</v>
      </c>
      <c r="B36" t="s">
        <v>1457</v>
      </c>
      <c r="C36" t="str">
        <f>HYPERLINK("http://service.sap.com/sap/support/notes/1971493","1971493")</f>
        <v>1971493</v>
      </c>
      <c r="D36">
        <v>1</v>
      </c>
      <c r="E36" t="s">
        <v>2056</v>
      </c>
      <c r="F36" t="s">
        <v>28</v>
      </c>
    </row>
    <row r="37" spans="1:6" x14ac:dyDescent="0.3">
      <c r="A37" t="s">
        <v>1456</v>
      </c>
      <c r="B37" t="s">
        <v>1457</v>
      </c>
      <c r="C37" t="str">
        <f>HYPERLINK("http://service.sap.com/sap/support/notes/1987277","1987277")</f>
        <v>1987277</v>
      </c>
      <c r="D37">
        <v>2</v>
      </c>
      <c r="E37" t="s">
        <v>2800</v>
      </c>
      <c r="F37" t="s">
        <v>9</v>
      </c>
    </row>
    <row r="38" spans="1:6" x14ac:dyDescent="0.3">
      <c r="A38" t="s">
        <v>1456</v>
      </c>
      <c r="B38" t="s">
        <v>1457</v>
      </c>
      <c r="C38" t="str">
        <f>HYPERLINK("http://service.sap.com/sap/support/notes/1999329","1999329")</f>
        <v>1999329</v>
      </c>
      <c r="D38">
        <v>5</v>
      </c>
      <c r="E38" t="s">
        <v>4018</v>
      </c>
      <c r="F38" t="s">
        <v>9</v>
      </c>
    </row>
    <row r="39" spans="1:6" x14ac:dyDescent="0.3">
      <c r="A39" t="s">
        <v>1456</v>
      </c>
      <c r="B39" t="s">
        <v>1457</v>
      </c>
      <c r="C39" t="str">
        <f>HYPERLINK("http://service.sap.com/sap/support/notes/2041860","2041860")</f>
        <v>2041860</v>
      </c>
      <c r="D39">
        <v>2</v>
      </c>
      <c r="E39" t="s">
        <v>4686</v>
      </c>
      <c r="F39" t="s">
        <v>9</v>
      </c>
    </row>
    <row r="40" spans="1:6" x14ac:dyDescent="0.3">
      <c r="A40" t="s">
        <v>1460</v>
      </c>
      <c r="B40" t="s">
        <v>1461</v>
      </c>
      <c r="C40" t="str">
        <f>HYPERLINK("http://service.sap.com/sap/support/notes/1394475","1394475")</f>
        <v>1394475</v>
      </c>
      <c r="D40">
        <v>5</v>
      </c>
      <c r="E40" t="s">
        <v>1462</v>
      </c>
      <c r="F40" t="s">
        <v>28</v>
      </c>
    </row>
    <row r="41" spans="1:6" x14ac:dyDescent="0.3">
      <c r="A41" t="s">
        <v>1460</v>
      </c>
      <c r="B41" t="s">
        <v>1461</v>
      </c>
      <c r="C41" t="str">
        <f>HYPERLINK("http://service.sap.com/sap/support/notes/1956898","1956898")</f>
        <v>1956898</v>
      </c>
      <c r="D41">
        <v>2</v>
      </c>
      <c r="E41" t="s">
        <v>1463</v>
      </c>
      <c r="F41" t="s">
        <v>9</v>
      </c>
    </row>
    <row r="42" spans="1:6" x14ac:dyDescent="0.3">
      <c r="A42" t="s">
        <v>1460</v>
      </c>
      <c r="B42" t="s">
        <v>5390</v>
      </c>
      <c r="C42" t="str">
        <f>HYPERLINK("http://service.sap.com/sap/support/notes/2064776","2064776")</f>
        <v>2064776</v>
      </c>
      <c r="D42">
        <v>2</v>
      </c>
      <c r="E42" t="s">
        <v>5391</v>
      </c>
      <c r="F42" t="s">
        <v>9</v>
      </c>
    </row>
    <row r="43" spans="1:6" x14ac:dyDescent="0.3">
      <c r="A43" t="s">
        <v>1136</v>
      </c>
      <c r="B43" t="s">
        <v>1137</v>
      </c>
      <c r="C43" t="str">
        <f>HYPERLINK("http://service.sap.com/sap/support/notes/1939058","1939058")</f>
        <v>1939058</v>
      </c>
      <c r="D43">
        <v>1</v>
      </c>
      <c r="E43" t="s">
        <v>1138</v>
      </c>
      <c r="F43" t="s">
        <v>16</v>
      </c>
    </row>
    <row r="44" spans="1:6" x14ac:dyDescent="0.3">
      <c r="A44" t="s">
        <v>31</v>
      </c>
      <c r="B44" t="s">
        <v>32</v>
      </c>
      <c r="C44" t="str">
        <f>HYPERLINK("http://service.sap.com/sap/support/notes/1632910","1632910")</f>
        <v>1632910</v>
      </c>
      <c r="D44">
        <v>1</v>
      </c>
      <c r="E44" t="s">
        <v>33</v>
      </c>
      <c r="F44" t="s">
        <v>9</v>
      </c>
    </row>
    <row r="45" spans="1:6" x14ac:dyDescent="0.3">
      <c r="A45" t="s">
        <v>31</v>
      </c>
      <c r="B45" t="s">
        <v>32</v>
      </c>
      <c r="C45" t="str">
        <f>HYPERLINK("http://service.sap.com/sap/support/notes/1817289","1817289")</f>
        <v>1817289</v>
      </c>
      <c r="D45">
        <v>2</v>
      </c>
      <c r="E45" t="s">
        <v>34</v>
      </c>
      <c r="F45" t="s">
        <v>35</v>
      </c>
    </row>
    <row r="46" spans="1:6" x14ac:dyDescent="0.3">
      <c r="A46" t="s">
        <v>31</v>
      </c>
      <c r="B46" t="s">
        <v>32</v>
      </c>
      <c r="C46" t="str">
        <f>HYPERLINK("http://service.sap.com/sap/support/notes/1832511","1832511")</f>
        <v>1832511</v>
      </c>
      <c r="D46">
        <v>7</v>
      </c>
      <c r="E46" t="s">
        <v>36</v>
      </c>
      <c r="F46" t="s">
        <v>16</v>
      </c>
    </row>
    <row r="47" spans="1:6" x14ac:dyDescent="0.3">
      <c r="A47" t="s">
        <v>31</v>
      </c>
      <c r="B47" t="s">
        <v>32</v>
      </c>
      <c r="C47" t="str">
        <f>HYPERLINK("http://service.sap.com/sap/support/notes/1875368","1875368")</f>
        <v>1875368</v>
      </c>
      <c r="D47">
        <v>6</v>
      </c>
      <c r="E47" t="s">
        <v>37</v>
      </c>
      <c r="F47" t="s">
        <v>9</v>
      </c>
    </row>
    <row r="48" spans="1:6" x14ac:dyDescent="0.3">
      <c r="A48" t="s">
        <v>31</v>
      </c>
      <c r="B48" t="s">
        <v>32</v>
      </c>
      <c r="C48" t="str">
        <f>HYPERLINK("http://service.sap.com/sap/support/notes/1884384","1884384")</f>
        <v>1884384</v>
      </c>
      <c r="D48">
        <v>1</v>
      </c>
      <c r="E48" t="s">
        <v>38</v>
      </c>
      <c r="F48" t="s">
        <v>16</v>
      </c>
    </row>
    <row r="49" spans="1:6" x14ac:dyDescent="0.3">
      <c r="A49" t="s">
        <v>31</v>
      </c>
      <c r="B49" t="s">
        <v>32</v>
      </c>
      <c r="C49" t="str">
        <f>HYPERLINK("http://service.sap.com/sap/support/notes/1891982","1891982")</f>
        <v>1891982</v>
      </c>
      <c r="D49">
        <v>2</v>
      </c>
      <c r="E49" t="s">
        <v>39</v>
      </c>
      <c r="F49" t="s">
        <v>16</v>
      </c>
    </row>
    <row r="50" spans="1:6" x14ac:dyDescent="0.3">
      <c r="A50" t="s">
        <v>31</v>
      </c>
      <c r="B50" t="s">
        <v>32</v>
      </c>
      <c r="C50" t="str">
        <f>HYPERLINK("http://service.sap.com/sap/support/notes/1912041","1912041")</f>
        <v>1912041</v>
      </c>
      <c r="D50">
        <v>3</v>
      </c>
      <c r="E50" t="s">
        <v>40</v>
      </c>
      <c r="F50" t="s">
        <v>9</v>
      </c>
    </row>
    <row r="51" spans="1:6" x14ac:dyDescent="0.3">
      <c r="A51" t="s">
        <v>31</v>
      </c>
      <c r="B51" t="s">
        <v>32</v>
      </c>
      <c r="C51" t="str">
        <f>HYPERLINK("http://service.sap.com/sap/support/notes/1940453","1940453")</f>
        <v>1940453</v>
      </c>
      <c r="D51">
        <v>1</v>
      </c>
      <c r="E51" t="s">
        <v>3292</v>
      </c>
      <c r="F51" t="s">
        <v>9</v>
      </c>
    </row>
    <row r="52" spans="1:6" x14ac:dyDescent="0.3">
      <c r="A52" t="s">
        <v>31</v>
      </c>
      <c r="B52" t="s">
        <v>32</v>
      </c>
      <c r="C52" t="str">
        <f>HYPERLINK("http://service.sap.com/sap/support/notes/1943929","1943929")</f>
        <v>1943929</v>
      </c>
      <c r="D52">
        <v>2</v>
      </c>
      <c r="E52" t="s">
        <v>3293</v>
      </c>
      <c r="F52" t="s">
        <v>16</v>
      </c>
    </row>
    <row r="53" spans="1:6" x14ac:dyDescent="0.3">
      <c r="A53" t="s">
        <v>41</v>
      </c>
      <c r="B53" t="s">
        <v>42</v>
      </c>
      <c r="C53" t="str">
        <f>HYPERLINK("http://service.sap.com/sap/support/notes/1904542","1904542")</f>
        <v>1904542</v>
      </c>
      <c r="D53">
        <v>1</v>
      </c>
      <c r="E53" t="s">
        <v>43</v>
      </c>
      <c r="F53" t="s">
        <v>9</v>
      </c>
    </row>
    <row r="54" spans="1:6" x14ac:dyDescent="0.3">
      <c r="A54" t="s">
        <v>41</v>
      </c>
      <c r="B54" t="s">
        <v>42</v>
      </c>
      <c r="C54" t="str">
        <f>HYPERLINK("http://service.sap.com/sap/support/notes/1907689","1907689")</f>
        <v>1907689</v>
      </c>
      <c r="D54">
        <v>2</v>
      </c>
      <c r="E54" t="s">
        <v>44</v>
      </c>
      <c r="F54" t="s">
        <v>9</v>
      </c>
    </row>
    <row r="55" spans="1:6" x14ac:dyDescent="0.3">
      <c r="A55" t="s">
        <v>45</v>
      </c>
      <c r="B55" t="s">
        <v>46</v>
      </c>
      <c r="C55" t="str">
        <f>HYPERLINK("http://service.sap.com/sap/support/notes/987939","987939")</f>
        <v>987939</v>
      </c>
      <c r="D55">
        <v>2</v>
      </c>
      <c r="E55" t="s">
        <v>47</v>
      </c>
      <c r="F55" t="s">
        <v>28</v>
      </c>
    </row>
    <row r="56" spans="1:6" x14ac:dyDescent="0.3">
      <c r="A56" t="s">
        <v>45</v>
      </c>
      <c r="B56" t="s">
        <v>46</v>
      </c>
      <c r="C56" t="str">
        <f>HYPERLINK("http://service.sap.com/sap/support/notes/1653914","1653914")</f>
        <v>1653914</v>
      </c>
      <c r="D56">
        <v>3</v>
      </c>
      <c r="E56" t="s">
        <v>48</v>
      </c>
      <c r="F56" t="s">
        <v>9</v>
      </c>
    </row>
    <row r="57" spans="1:6" x14ac:dyDescent="0.3">
      <c r="A57" t="s">
        <v>45</v>
      </c>
      <c r="B57" t="s">
        <v>46</v>
      </c>
      <c r="C57" t="str">
        <f>HYPERLINK("http://service.sap.com/sap/support/notes/1679736","1679736")</f>
        <v>1679736</v>
      </c>
      <c r="D57">
        <v>1</v>
      </c>
      <c r="E57" t="s">
        <v>49</v>
      </c>
      <c r="F57" t="s">
        <v>9</v>
      </c>
    </row>
    <row r="58" spans="1:6" x14ac:dyDescent="0.3">
      <c r="A58" t="s">
        <v>45</v>
      </c>
      <c r="B58" t="s">
        <v>46</v>
      </c>
      <c r="C58" t="str">
        <f>HYPERLINK("http://service.sap.com/sap/support/notes/1683838","1683838")</f>
        <v>1683838</v>
      </c>
      <c r="D58">
        <v>2</v>
      </c>
      <c r="E58" t="s">
        <v>50</v>
      </c>
      <c r="F58" t="s">
        <v>9</v>
      </c>
    </row>
    <row r="59" spans="1:6" x14ac:dyDescent="0.3">
      <c r="A59" t="s">
        <v>45</v>
      </c>
      <c r="B59" t="s">
        <v>46</v>
      </c>
      <c r="C59" t="str">
        <f>HYPERLINK("http://service.sap.com/sap/support/notes/1722675","1722675")</f>
        <v>1722675</v>
      </c>
      <c r="D59">
        <v>1</v>
      </c>
      <c r="E59" t="s">
        <v>51</v>
      </c>
      <c r="F59" t="s">
        <v>9</v>
      </c>
    </row>
    <row r="60" spans="1:6" x14ac:dyDescent="0.3">
      <c r="A60" t="s">
        <v>45</v>
      </c>
      <c r="B60" t="s">
        <v>46</v>
      </c>
      <c r="C60" t="str">
        <f>HYPERLINK("http://service.sap.com/sap/support/notes/1805588","1805588")</f>
        <v>1805588</v>
      </c>
      <c r="D60">
        <v>5</v>
      </c>
      <c r="E60" t="s">
        <v>52</v>
      </c>
      <c r="F60" t="s">
        <v>9</v>
      </c>
    </row>
    <row r="61" spans="1:6" x14ac:dyDescent="0.3">
      <c r="A61" t="s">
        <v>45</v>
      </c>
      <c r="B61" t="s">
        <v>46</v>
      </c>
      <c r="C61" t="str">
        <f>HYPERLINK("http://service.sap.com/sap/support/notes/1807554","1807554")</f>
        <v>1807554</v>
      </c>
      <c r="D61">
        <v>3</v>
      </c>
      <c r="E61" t="s">
        <v>53</v>
      </c>
      <c r="F61" t="s">
        <v>9</v>
      </c>
    </row>
    <row r="62" spans="1:6" x14ac:dyDescent="0.3">
      <c r="A62" t="s">
        <v>45</v>
      </c>
      <c r="B62" t="s">
        <v>46</v>
      </c>
      <c r="C62" t="str">
        <f>HYPERLINK("http://service.sap.com/sap/support/notes/1807558","1807558")</f>
        <v>1807558</v>
      </c>
      <c r="D62">
        <v>1</v>
      </c>
      <c r="E62" t="s">
        <v>54</v>
      </c>
      <c r="F62" t="s">
        <v>9</v>
      </c>
    </row>
    <row r="63" spans="1:6" x14ac:dyDescent="0.3">
      <c r="A63" t="s">
        <v>45</v>
      </c>
      <c r="B63" t="s">
        <v>46</v>
      </c>
      <c r="C63" t="str">
        <f>HYPERLINK("http://service.sap.com/sap/support/notes/1816225","1816225")</f>
        <v>1816225</v>
      </c>
      <c r="D63">
        <v>1</v>
      </c>
      <c r="E63" t="s">
        <v>55</v>
      </c>
      <c r="F63" t="s">
        <v>9</v>
      </c>
    </row>
    <row r="64" spans="1:6" x14ac:dyDescent="0.3">
      <c r="A64" t="s">
        <v>45</v>
      </c>
      <c r="B64" t="s">
        <v>46</v>
      </c>
      <c r="C64" t="str">
        <f>HYPERLINK("http://service.sap.com/sap/support/notes/1821748","1821748")</f>
        <v>1821748</v>
      </c>
      <c r="D64">
        <v>1</v>
      </c>
      <c r="E64" t="s">
        <v>56</v>
      </c>
      <c r="F64" t="s">
        <v>9</v>
      </c>
    </row>
    <row r="65" spans="1:6" x14ac:dyDescent="0.3">
      <c r="A65" t="s">
        <v>45</v>
      </c>
      <c r="B65" t="s">
        <v>46</v>
      </c>
      <c r="C65" t="str">
        <f>HYPERLINK("http://service.sap.com/sap/support/notes/1827822","1827822")</f>
        <v>1827822</v>
      </c>
      <c r="D65">
        <v>2</v>
      </c>
      <c r="E65" t="s">
        <v>57</v>
      </c>
      <c r="F65" t="s">
        <v>28</v>
      </c>
    </row>
    <row r="66" spans="1:6" x14ac:dyDescent="0.3">
      <c r="A66" t="s">
        <v>45</v>
      </c>
      <c r="B66" t="s">
        <v>46</v>
      </c>
      <c r="C66" t="str">
        <f>HYPERLINK("http://service.sap.com/sap/support/notes/1837580","1837580")</f>
        <v>1837580</v>
      </c>
      <c r="D66">
        <v>1</v>
      </c>
      <c r="E66" t="s">
        <v>58</v>
      </c>
      <c r="F66" t="s">
        <v>9</v>
      </c>
    </row>
    <row r="67" spans="1:6" x14ac:dyDescent="0.3">
      <c r="A67" t="s">
        <v>45</v>
      </c>
      <c r="B67" t="s">
        <v>46</v>
      </c>
      <c r="C67" t="str">
        <f>HYPERLINK("http://service.sap.com/sap/support/notes/1845939","1845939")</f>
        <v>1845939</v>
      </c>
      <c r="D67">
        <v>2</v>
      </c>
      <c r="E67" t="s">
        <v>59</v>
      </c>
      <c r="F67" t="s">
        <v>9</v>
      </c>
    </row>
    <row r="68" spans="1:6" x14ac:dyDescent="0.3">
      <c r="A68" t="s">
        <v>45</v>
      </c>
      <c r="B68" t="s">
        <v>46</v>
      </c>
      <c r="C68" t="str">
        <f>HYPERLINK("http://service.sap.com/sap/support/notes/1868517","1868517")</f>
        <v>1868517</v>
      </c>
      <c r="D68">
        <v>2</v>
      </c>
      <c r="E68" t="s">
        <v>60</v>
      </c>
      <c r="F68" t="s">
        <v>9</v>
      </c>
    </row>
    <row r="69" spans="1:6" x14ac:dyDescent="0.3">
      <c r="A69" t="s">
        <v>45</v>
      </c>
      <c r="B69" t="s">
        <v>46</v>
      </c>
      <c r="C69" t="str">
        <f>HYPERLINK("http://service.sap.com/sap/support/notes/1871778","1871778")</f>
        <v>1871778</v>
      </c>
      <c r="D69">
        <v>2</v>
      </c>
      <c r="E69" t="s">
        <v>61</v>
      </c>
      <c r="F69" t="s">
        <v>9</v>
      </c>
    </row>
    <row r="70" spans="1:6" x14ac:dyDescent="0.3">
      <c r="A70" t="s">
        <v>45</v>
      </c>
      <c r="B70" t="s">
        <v>46</v>
      </c>
      <c r="C70" t="str">
        <f>HYPERLINK("http://service.sap.com/sap/support/notes/1885590","1885590")</f>
        <v>1885590</v>
      </c>
      <c r="D70">
        <v>1</v>
      </c>
      <c r="E70" t="s">
        <v>62</v>
      </c>
      <c r="F70" t="s">
        <v>9</v>
      </c>
    </row>
    <row r="71" spans="1:6" x14ac:dyDescent="0.3">
      <c r="A71" t="s">
        <v>45</v>
      </c>
      <c r="B71" t="s">
        <v>46</v>
      </c>
      <c r="C71" t="str">
        <f>HYPERLINK("http://service.sap.com/sap/support/notes/1893588","1893588")</f>
        <v>1893588</v>
      </c>
      <c r="D71">
        <v>2</v>
      </c>
      <c r="E71" t="s">
        <v>63</v>
      </c>
      <c r="F71" t="s">
        <v>9</v>
      </c>
    </row>
    <row r="72" spans="1:6" x14ac:dyDescent="0.3">
      <c r="A72" t="s">
        <v>45</v>
      </c>
      <c r="B72" t="s">
        <v>46</v>
      </c>
      <c r="C72" t="str">
        <f>HYPERLINK("http://service.sap.com/sap/support/notes/1907975","1907975")</f>
        <v>1907975</v>
      </c>
      <c r="D72">
        <v>1</v>
      </c>
      <c r="E72" t="s">
        <v>64</v>
      </c>
      <c r="F72" t="s">
        <v>9</v>
      </c>
    </row>
    <row r="73" spans="1:6" x14ac:dyDescent="0.3">
      <c r="A73" t="s">
        <v>45</v>
      </c>
      <c r="B73" t="s">
        <v>46</v>
      </c>
      <c r="C73" t="str">
        <f>HYPERLINK("http://service.sap.com/sap/support/notes/1909341","1909341")</f>
        <v>1909341</v>
      </c>
      <c r="D73">
        <v>1</v>
      </c>
      <c r="E73" t="s">
        <v>65</v>
      </c>
      <c r="F73" t="s">
        <v>9</v>
      </c>
    </row>
    <row r="74" spans="1:6" x14ac:dyDescent="0.3">
      <c r="A74" t="s">
        <v>45</v>
      </c>
      <c r="B74" t="s">
        <v>46</v>
      </c>
      <c r="C74" t="str">
        <f>HYPERLINK("http://service.sap.com/sap/support/notes/1910989","1910989")</f>
        <v>1910989</v>
      </c>
      <c r="D74">
        <v>1</v>
      </c>
      <c r="E74" t="s">
        <v>66</v>
      </c>
      <c r="F74" t="s">
        <v>9</v>
      </c>
    </row>
    <row r="75" spans="1:6" x14ac:dyDescent="0.3">
      <c r="A75" t="s">
        <v>45</v>
      </c>
      <c r="B75" t="s">
        <v>46</v>
      </c>
      <c r="C75" t="str">
        <f>HYPERLINK("http://service.sap.com/sap/support/notes/1920431","1920431")</f>
        <v>1920431</v>
      </c>
      <c r="D75">
        <v>2</v>
      </c>
      <c r="E75" t="s">
        <v>67</v>
      </c>
      <c r="F75" t="s">
        <v>9</v>
      </c>
    </row>
    <row r="76" spans="1:6" x14ac:dyDescent="0.3">
      <c r="A76" t="s">
        <v>45</v>
      </c>
      <c r="B76" t="s">
        <v>46</v>
      </c>
      <c r="C76" t="str">
        <f>HYPERLINK("http://service.sap.com/sap/support/notes/1925878","1925878")</f>
        <v>1925878</v>
      </c>
      <c r="D76">
        <v>2</v>
      </c>
      <c r="E76" t="s">
        <v>68</v>
      </c>
      <c r="F76" t="s">
        <v>9</v>
      </c>
    </row>
    <row r="77" spans="1:6" x14ac:dyDescent="0.3">
      <c r="A77" t="s">
        <v>45</v>
      </c>
      <c r="B77" t="s">
        <v>46</v>
      </c>
      <c r="C77" t="str">
        <f>HYPERLINK("http://service.sap.com/sap/support/notes/1931331","1931331")</f>
        <v>1931331</v>
      </c>
      <c r="D77">
        <v>2</v>
      </c>
      <c r="E77" t="s">
        <v>69</v>
      </c>
      <c r="F77" t="s">
        <v>9</v>
      </c>
    </row>
    <row r="78" spans="1:6" x14ac:dyDescent="0.3">
      <c r="A78" t="s">
        <v>45</v>
      </c>
      <c r="B78" t="s">
        <v>46</v>
      </c>
      <c r="C78" t="str">
        <f>HYPERLINK("http://service.sap.com/sap/support/notes/1815919","1815919")</f>
        <v>1815919</v>
      </c>
      <c r="D78">
        <v>4</v>
      </c>
      <c r="E78" t="s">
        <v>1139</v>
      </c>
      <c r="F78" t="s">
        <v>9</v>
      </c>
    </row>
    <row r="79" spans="1:6" x14ac:dyDescent="0.3">
      <c r="A79" t="s">
        <v>45</v>
      </c>
      <c r="B79" t="s">
        <v>46</v>
      </c>
      <c r="C79" t="str">
        <f>HYPERLINK("http://service.sap.com/sap/support/notes/1871778","1871778")</f>
        <v>1871778</v>
      </c>
      <c r="D79">
        <v>2</v>
      </c>
      <c r="E79" t="s">
        <v>61</v>
      </c>
      <c r="F79" t="s">
        <v>9</v>
      </c>
    </row>
    <row r="80" spans="1:6" x14ac:dyDescent="0.3">
      <c r="A80" t="s">
        <v>45</v>
      </c>
      <c r="B80" t="s">
        <v>46</v>
      </c>
      <c r="C80" t="str">
        <f>HYPERLINK("http://service.sap.com/sap/support/notes/1805076","1805076")</f>
        <v>1805076</v>
      </c>
      <c r="D80">
        <v>2</v>
      </c>
      <c r="E80" t="s">
        <v>1464</v>
      </c>
      <c r="F80" t="s">
        <v>9</v>
      </c>
    </row>
    <row r="81" spans="1:6" x14ac:dyDescent="0.3">
      <c r="A81" t="s">
        <v>45</v>
      </c>
      <c r="B81" t="s">
        <v>46</v>
      </c>
      <c r="C81" t="str">
        <f>HYPERLINK("http://service.sap.com/sap/support/notes/1934064","1934064")</f>
        <v>1934064</v>
      </c>
      <c r="D81">
        <v>1</v>
      </c>
      <c r="E81" t="s">
        <v>3294</v>
      </c>
      <c r="F81" t="s">
        <v>9</v>
      </c>
    </row>
    <row r="82" spans="1:6" x14ac:dyDescent="0.3">
      <c r="A82" t="s">
        <v>45</v>
      </c>
      <c r="B82" t="s">
        <v>46</v>
      </c>
      <c r="C82" t="str">
        <f>HYPERLINK("http://service.sap.com/sap/support/notes/1936091","1936091")</f>
        <v>1936091</v>
      </c>
      <c r="D82">
        <v>4</v>
      </c>
      <c r="E82" t="s">
        <v>3295</v>
      </c>
      <c r="F82" t="s">
        <v>9</v>
      </c>
    </row>
    <row r="83" spans="1:6" x14ac:dyDescent="0.3">
      <c r="A83" t="s">
        <v>45</v>
      </c>
      <c r="B83" t="s">
        <v>46</v>
      </c>
      <c r="C83" t="str">
        <f>HYPERLINK("http://service.sap.com/sap/support/notes/1941098","1941098")</f>
        <v>1941098</v>
      </c>
      <c r="D83">
        <v>1</v>
      </c>
      <c r="E83" t="s">
        <v>3296</v>
      </c>
      <c r="F83" t="s">
        <v>9</v>
      </c>
    </row>
    <row r="84" spans="1:6" x14ac:dyDescent="0.3">
      <c r="A84" t="s">
        <v>45</v>
      </c>
      <c r="B84" t="s">
        <v>46</v>
      </c>
      <c r="C84" t="str">
        <f>HYPERLINK("http://service.sap.com/sap/support/notes/1943581","1943581")</f>
        <v>1943581</v>
      </c>
      <c r="D84">
        <v>5</v>
      </c>
      <c r="E84" t="s">
        <v>3297</v>
      </c>
      <c r="F84" t="s">
        <v>9</v>
      </c>
    </row>
    <row r="85" spans="1:6" x14ac:dyDescent="0.3">
      <c r="A85" t="s">
        <v>45</v>
      </c>
      <c r="B85" t="s">
        <v>46</v>
      </c>
      <c r="C85" t="str">
        <f>HYPERLINK("http://service.sap.com/sap/support/notes/1944962","1944962")</f>
        <v>1944962</v>
      </c>
      <c r="D85">
        <v>4</v>
      </c>
      <c r="E85" t="s">
        <v>3298</v>
      </c>
      <c r="F85" t="s">
        <v>9</v>
      </c>
    </row>
    <row r="86" spans="1:6" x14ac:dyDescent="0.3">
      <c r="A86" t="s">
        <v>70</v>
      </c>
      <c r="B86" t="s">
        <v>71</v>
      </c>
      <c r="C86" t="str">
        <f>HYPERLINK("http://service.sap.com/sap/support/notes/1852687","1852687")</f>
        <v>1852687</v>
      </c>
      <c r="D86">
        <v>5</v>
      </c>
      <c r="E86" t="s">
        <v>72</v>
      </c>
      <c r="F86" t="s">
        <v>9</v>
      </c>
    </row>
    <row r="87" spans="1:6" x14ac:dyDescent="0.3">
      <c r="A87" t="s">
        <v>70</v>
      </c>
      <c r="B87" t="s">
        <v>71</v>
      </c>
      <c r="C87" t="str">
        <f>HYPERLINK("http://service.sap.com/sap/support/notes/1993042","1993042")</f>
        <v>1993042</v>
      </c>
      <c r="D87">
        <v>2</v>
      </c>
      <c r="E87" t="s">
        <v>3299</v>
      </c>
      <c r="F87" t="s">
        <v>9</v>
      </c>
    </row>
    <row r="88" spans="1:6" x14ac:dyDescent="0.3">
      <c r="A88" t="s">
        <v>3300</v>
      </c>
      <c r="B88" t="s">
        <v>3301</v>
      </c>
      <c r="C88" t="str">
        <f>HYPERLINK("http://service.sap.com/sap/support/notes/1933182","1933182")</f>
        <v>1933182</v>
      </c>
      <c r="D88">
        <v>3</v>
      </c>
      <c r="E88" t="s">
        <v>3302</v>
      </c>
      <c r="F88" t="s">
        <v>9</v>
      </c>
    </row>
    <row r="89" spans="1:6" x14ac:dyDescent="0.3">
      <c r="A89" t="s">
        <v>73</v>
      </c>
      <c r="B89" t="s">
        <v>74</v>
      </c>
      <c r="C89" t="str">
        <f>HYPERLINK("http://service.sap.com/sap/support/notes/1913906","1913906")</f>
        <v>1913906</v>
      </c>
      <c r="D89">
        <v>1</v>
      </c>
      <c r="E89" t="s">
        <v>75</v>
      </c>
      <c r="F89" t="s">
        <v>9</v>
      </c>
    </row>
    <row r="90" spans="1:6" x14ac:dyDescent="0.3">
      <c r="A90" t="s">
        <v>73</v>
      </c>
      <c r="B90" t="s">
        <v>74</v>
      </c>
      <c r="C90" t="str">
        <f>HYPERLINK("http://service.sap.com/sap/support/notes/1989340","1989340")</f>
        <v>1989340</v>
      </c>
      <c r="D90">
        <v>1</v>
      </c>
      <c r="E90" t="s">
        <v>3303</v>
      </c>
      <c r="F90" t="s">
        <v>9</v>
      </c>
    </row>
    <row r="91" spans="1:6" x14ac:dyDescent="0.3">
      <c r="A91" t="s">
        <v>76</v>
      </c>
      <c r="B91" t="s">
        <v>77</v>
      </c>
      <c r="C91" t="str">
        <f>HYPERLINK("http://service.sap.com/sap/support/notes/1012089","1012089")</f>
        <v>1012089</v>
      </c>
      <c r="D91">
        <v>4</v>
      </c>
      <c r="E91" t="s">
        <v>78</v>
      </c>
      <c r="F91" t="s">
        <v>9</v>
      </c>
    </row>
    <row r="92" spans="1:6" x14ac:dyDescent="0.3">
      <c r="A92" t="s">
        <v>76</v>
      </c>
      <c r="B92" t="s">
        <v>77</v>
      </c>
      <c r="C92" t="str">
        <f>HYPERLINK("http://service.sap.com/sap/support/notes/1060040","1060040")</f>
        <v>1060040</v>
      </c>
      <c r="D92">
        <v>3</v>
      </c>
      <c r="E92" t="s">
        <v>79</v>
      </c>
      <c r="F92" t="s">
        <v>9</v>
      </c>
    </row>
    <row r="93" spans="1:6" x14ac:dyDescent="0.3">
      <c r="A93" t="s">
        <v>76</v>
      </c>
      <c r="B93" t="s">
        <v>77</v>
      </c>
      <c r="C93" t="str">
        <f>HYPERLINK("http://service.sap.com/sap/support/notes/1817280","1817280")</f>
        <v>1817280</v>
      </c>
      <c r="D93">
        <v>3</v>
      </c>
      <c r="E93" t="s">
        <v>80</v>
      </c>
      <c r="F93" t="s">
        <v>9</v>
      </c>
    </row>
    <row r="94" spans="1:6" x14ac:dyDescent="0.3">
      <c r="A94" t="s">
        <v>76</v>
      </c>
      <c r="B94" t="s">
        <v>77</v>
      </c>
      <c r="C94" t="str">
        <f>HYPERLINK("http://service.sap.com/sap/support/notes/1869937","1869937")</f>
        <v>1869937</v>
      </c>
      <c r="D94">
        <v>2</v>
      </c>
      <c r="E94" t="s">
        <v>81</v>
      </c>
      <c r="F94" t="s">
        <v>9</v>
      </c>
    </row>
    <row r="95" spans="1:6" x14ac:dyDescent="0.3">
      <c r="A95" t="s">
        <v>76</v>
      </c>
      <c r="B95" t="s">
        <v>77</v>
      </c>
      <c r="C95" t="str">
        <f>HYPERLINK("http://service.sap.com/sap/support/notes/1881308","1881308")</f>
        <v>1881308</v>
      </c>
      <c r="D95">
        <v>1</v>
      </c>
      <c r="E95" t="s">
        <v>82</v>
      </c>
      <c r="F95" t="s">
        <v>28</v>
      </c>
    </row>
    <row r="96" spans="1:6" x14ac:dyDescent="0.3">
      <c r="A96" t="s">
        <v>76</v>
      </c>
      <c r="B96" t="s">
        <v>77</v>
      </c>
      <c r="C96" t="str">
        <f>HYPERLINK("http://service.sap.com/sap/support/notes/1980926","1980926")</f>
        <v>1980926</v>
      </c>
      <c r="D96">
        <v>4</v>
      </c>
      <c r="E96" t="s">
        <v>3304</v>
      </c>
      <c r="F96" t="s">
        <v>9</v>
      </c>
    </row>
    <row r="97" spans="1:6" x14ac:dyDescent="0.3">
      <c r="A97" t="s">
        <v>76</v>
      </c>
      <c r="B97" t="s">
        <v>77</v>
      </c>
      <c r="C97" t="str">
        <f>HYPERLINK("http://service.sap.com/sap/support/notes/1993698","1993698")</f>
        <v>1993698</v>
      </c>
      <c r="D97">
        <v>1</v>
      </c>
      <c r="E97" t="s">
        <v>3305</v>
      </c>
      <c r="F97" t="s">
        <v>9</v>
      </c>
    </row>
    <row r="98" spans="1:6" x14ac:dyDescent="0.3">
      <c r="A98" t="s">
        <v>3306</v>
      </c>
      <c r="B98" t="s">
        <v>3307</v>
      </c>
      <c r="C98" t="str">
        <f>HYPERLINK("http://service.sap.com/sap/support/notes/1933378","1933378")</f>
        <v>1933378</v>
      </c>
      <c r="D98">
        <v>2</v>
      </c>
      <c r="E98" t="s">
        <v>3308</v>
      </c>
      <c r="F98" t="s">
        <v>9</v>
      </c>
    </row>
    <row r="99" spans="1:6" x14ac:dyDescent="0.3">
      <c r="A99" t="s">
        <v>83</v>
      </c>
      <c r="B99" t="s">
        <v>84</v>
      </c>
      <c r="C99" t="str">
        <f>HYPERLINK("http://service.sap.com/sap/support/notes/1833102","1833102")</f>
        <v>1833102</v>
      </c>
      <c r="D99">
        <v>3</v>
      </c>
      <c r="E99" t="s">
        <v>85</v>
      </c>
      <c r="F99" t="s">
        <v>28</v>
      </c>
    </row>
    <row r="100" spans="1:6" x14ac:dyDescent="0.3">
      <c r="A100" t="s">
        <v>83</v>
      </c>
      <c r="B100" t="s">
        <v>84</v>
      </c>
      <c r="C100" t="str">
        <f>HYPERLINK("http://service.sap.com/sap/support/notes/1882780","1882780")</f>
        <v>1882780</v>
      </c>
      <c r="D100">
        <v>1</v>
      </c>
      <c r="E100" t="s">
        <v>86</v>
      </c>
      <c r="F100" t="s">
        <v>16</v>
      </c>
    </row>
    <row r="101" spans="1:6" x14ac:dyDescent="0.3">
      <c r="A101" t="s">
        <v>87</v>
      </c>
      <c r="B101" t="s">
        <v>88</v>
      </c>
      <c r="C101" t="str">
        <f>HYPERLINK("http://service.sap.com/sap/support/notes/1711882","1711882")</f>
        <v>1711882</v>
      </c>
      <c r="D101">
        <v>2</v>
      </c>
      <c r="E101" t="s">
        <v>89</v>
      </c>
      <c r="F101" t="s">
        <v>16</v>
      </c>
    </row>
    <row r="102" spans="1:6" x14ac:dyDescent="0.3">
      <c r="A102" t="s">
        <v>90</v>
      </c>
      <c r="B102" t="s">
        <v>91</v>
      </c>
      <c r="C102" t="str">
        <f>HYPERLINK("http://service.sap.com/sap/support/notes/1825008","1825008")</f>
        <v>1825008</v>
      </c>
      <c r="D102">
        <v>1</v>
      </c>
      <c r="E102" t="s">
        <v>92</v>
      </c>
      <c r="F102" t="s">
        <v>9</v>
      </c>
    </row>
    <row r="103" spans="1:6" x14ac:dyDescent="0.3">
      <c r="A103" t="s">
        <v>90</v>
      </c>
      <c r="B103" t="s">
        <v>91</v>
      </c>
      <c r="C103" t="str">
        <f>HYPERLINK("http://service.sap.com/sap/support/notes/1853055","1853055")</f>
        <v>1853055</v>
      </c>
      <c r="D103">
        <v>1</v>
      </c>
      <c r="E103" t="s">
        <v>93</v>
      </c>
      <c r="F103" t="s">
        <v>16</v>
      </c>
    </row>
    <row r="104" spans="1:6" x14ac:dyDescent="0.3">
      <c r="A104" t="s">
        <v>90</v>
      </c>
      <c r="B104" t="s">
        <v>91</v>
      </c>
      <c r="C104" t="str">
        <f>HYPERLINK("http://service.sap.com/sap/support/notes/1886451","1886451")</f>
        <v>1886451</v>
      </c>
      <c r="D104">
        <v>1</v>
      </c>
      <c r="E104" t="s">
        <v>94</v>
      </c>
      <c r="F104" t="s">
        <v>28</v>
      </c>
    </row>
    <row r="105" spans="1:6" x14ac:dyDescent="0.3">
      <c r="A105" t="s">
        <v>90</v>
      </c>
      <c r="B105" t="s">
        <v>91</v>
      </c>
      <c r="C105" t="str">
        <f>HYPERLINK("http://service.sap.com/sap/support/notes/1901045","1901045")</f>
        <v>1901045</v>
      </c>
      <c r="D105">
        <v>1</v>
      </c>
      <c r="E105" t="s">
        <v>95</v>
      </c>
      <c r="F105" t="s">
        <v>16</v>
      </c>
    </row>
    <row r="106" spans="1:6" x14ac:dyDescent="0.3">
      <c r="A106" t="s">
        <v>90</v>
      </c>
      <c r="B106" t="s">
        <v>91</v>
      </c>
      <c r="C106" t="str">
        <f>HYPERLINK("http://service.sap.com/sap/support/notes/1937837","1937837")</f>
        <v>1937837</v>
      </c>
      <c r="D106">
        <v>1</v>
      </c>
      <c r="E106" t="s">
        <v>3309</v>
      </c>
      <c r="F106" t="s">
        <v>9</v>
      </c>
    </row>
    <row r="107" spans="1:6" x14ac:dyDescent="0.3">
      <c r="A107" t="s">
        <v>96</v>
      </c>
      <c r="B107" t="s">
        <v>97</v>
      </c>
      <c r="C107" t="str">
        <f>HYPERLINK("http://service.sap.com/sap/support/notes/1887584","1887584")</f>
        <v>1887584</v>
      </c>
      <c r="D107">
        <v>1</v>
      </c>
      <c r="E107" t="s">
        <v>98</v>
      </c>
      <c r="F107" t="s">
        <v>16</v>
      </c>
    </row>
    <row r="108" spans="1:6" x14ac:dyDescent="0.3">
      <c r="A108" t="s">
        <v>99</v>
      </c>
      <c r="B108" t="s">
        <v>100</v>
      </c>
      <c r="C108" t="str">
        <f>HYPERLINK("http://service.sap.com/sap/support/notes/1610719","1610719")</f>
        <v>1610719</v>
      </c>
      <c r="D108">
        <v>2</v>
      </c>
      <c r="E108" t="s">
        <v>101</v>
      </c>
      <c r="F108" t="s">
        <v>9</v>
      </c>
    </row>
    <row r="109" spans="1:6" x14ac:dyDescent="0.3">
      <c r="A109" t="s">
        <v>99</v>
      </c>
      <c r="B109" t="s">
        <v>100</v>
      </c>
      <c r="C109" t="str">
        <f>HYPERLINK("http://service.sap.com/sap/support/notes/1831893","1831893")</f>
        <v>1831893</v>
      </c>
      <c r="D109">
        <v>1</v>
      </c>
      <c r="E109" t="s">
        <v>102</v>
      </c>
      <c r="F109" t="s">
        <v>28</v>
      </c>
    </row>
    <row r="110" spans="1:6" x14ac:dyDescent="0.3">
      <c r="A110" t="s">
        <v>99</v>
      </c>
      <c r="B110" t="s">
        <v>100</v>
      </c>
      <c r="C110" t="str">
        <f>HYPERLINK("http://service.sap.com/sap/support/notes/1848341","1848341")</f>
        <v>1848341</v>
      </c>
      <c r="D110">
        <v>3</v>
      </c>
      <c r="E110" t="s">
        <v>103</v>
      </c>
      <c r="F110" t="s">
        <v>9</v>
      </c>
    </row>
    <row r="111" spans="1:6" x14ac:dyDescent="0.3">
      <c r="A111" t="s">
        <v>99</v>
      </c>
      <c r="B111" t="s">
        <v>100</v>
      </c>
      <c r="C111" t="str">
        <f>HYPERLINK("http://service.sap.com/sap/support/notes/1887118","1887118")</f>
        <v>1887118</v>
      </c>
      <c r="D111">
        <v>3</v>
      </c>
      <c r="E111" t="s">
        <v>104</v>
      </c>
      <c r="F111" t="s">
        <v>9</v>
      </c>
    </row>
    <row r="112" spans="1:6" x14ac:dyDescent="0.3">
      <c r="A112" t="s">
        <v>99</v>
      </c>
      <c r="B112" t="s">
        <v>100</v>
      </c>
      <c r="C112" t="str">
        <f>HYPERLINK("http://service.sap.com/sap/support/notes/1907959","1907959")</f>
        <v>1907959</v>
      </c>
      <c r="D112">
        <v>1</v>
      </c>
      <c r="E112" t="s">
        <v>105</v>
      </c>
      <c r="F112" t="s">
        <v>9</v>
      </c>
    </row>
    <row r="113" spans="1:6" x14ac:dyDescent="0.3">
      <c r="A113" t="s">
        <v>99</v>
      </c>
      <c r="B113" t="s">
        <v>100</v>
      </c>
      <c r="C113" t="str">
        <f>HYPERLINK("http://service.sap.com/sap/support/notes/1912087","1912087")</f>
        <v>1912087</v>
      </c>
      <c r="D113">
        <v>2</v>
      </c>
      <c r="E113" t="s">
        <v>106</v>
      </c>
      <c r="F113" t="s">
        <v>16</v>
      </c>
    </row>
    <row r="114" spans="1:6" x14ac:dyDescent="0.3">
      <c r="A114" t="s">
        <v>99</v>
      </c>
      <c r="B114" t="s">
        <v>100</v>
      </c>
      <c r="C114" t="str">
        <f>HYPERLINK("http://service.sap.com/sap/support/notes/1931405","1931405")</f>
        <v>1931405</v>
      </c>
      <c r="D114">
        <v>1</v>
      </c>
      <c r="E114" t="s">
        <v>107</v>
      </c>
      <c r="F114" t="s">
        <v>9</v>
      </c>
    </row>
    <row r="115" spans="1:6" x14ac:dyDescent="0.3">
      <c r="A115" t="s">
        <v>99</v>
      </c>
      <c r="B115" t="s">
        <v>100</v>
      </c>
      <c r="C115" t="str">
        <f>HYPERLINK("http://service.sap.com/sap/support/notes/1912087","1912087")</f>
        <v>1912087</v>
      </c>
      <c r="D115">
        <v>2</v>
      </c>
      <c r="E115" t="s">
        <v>106</v>
      </c>
      <c r="F115" t="s">
        <v>16</v>
      </c>
    </row>
    <row r="116" spans="1:6" x14ac:dyDescent="0.3">
      <c r="A116" t="s">
        <v>99</v>
      </c>
      <c r="B116" t="s">
        <v>100</v>
      </c>
      <c r="C116" t="str">
        <f>HYPERLINK("http://service.sap.com/sap/support/notes/1925661","1925661")</f>
        <v>1925661</v>
      </c>
      <c r="D116">
        <v>3</v>
      </c>
      <c r="E116" t="s">
        <v>3310</v>
      </c>
      <c r="F116" t="s">
        <v>9</v>
      </c>
    </row>
    <row r="117" spans="1:6" x14ac:dyDescent="0.3">
      <c r="A117" t="s">
        <v>99</v>
      </c>
      <c r="B117" t="s">
        <v>100</v>
      </c>
      <c r="C117" t="str">
        <f>HYPERLINK("http://service.sap.com/sap/support/notes/1930792","1930792")</f>
        <v>1930792</v>
      </c>
      <c r="D117">
        <v>2</v>
      </c>
      <c r="E117" t="s">
        <v>3311</v>
      </c>
      <c r="F117" t="s">
        <v>9</v>
      </c>
    </row>
    <row r="118" spans="1:6" x14ac:dyDescent="0.3">
      <c r="A118" t="s">
        <v>99</v>
      </c>
      <c r="B118" t="s">
        <v>100</v>
      </c>
      <c r="C118" t="str">
        <f>HYPERLINK("http://service.sap.com/sap/support/notes/1933044","1933044")</f>
        <v>1933044</v>
      </c>
      <c r="D118">
        <v>1</v>
      </c>
      <c r="E118" t="s">
        <v>3312</v>
      </c>
      <c r="F118" t="s">
        <v>9</v>
      </c>
    </row>
    <row r="119" spans="1:6" x14ac:dyDescent="0.3">
      <c r="A119" t="s">
        <v>99</v>
      </c>
      <c r="B119" t="s">
        <v>100</v>
      </c>
      <c r="C119" t="str">
        <f>HYPERLINK("http://service.sap.com/sap/support/notes/1934583","1934583")</f>
        <v>1934583</v>
      </c>
      <c r="D119">
        <v>1</v>
      </c>
      <c r="E119" t="s">
        <v>3313</v>
      </c>
      <c r="F119" t="s">
        <v>9</v>
      </c>
    </row>
    <row r="120" spans="1:6" x14ac:dyDescent="0.3">
      <c r="A120" t="s">
        <v>99</v>
      </c>
      <c r="B120" t="s">
        <v>100</v>
      </c>
      <c r="C120" t="str">
        <f>HYPERLINK("http://service.sap.com/sap/support/notes/1937096","1937096")</f>
        <v>1937096</v>
      </c>
      <c r="D120">
        <v>1</v>
      </c>
      <c r="E120" t="s">
        <v>3314</v>
      </c>
      <c r="F120" t="s">
        <v>9</v>
      </c>
    </row>
    <row r="121" spans="1:6" x14ac:dyDescent="0.3">
      <c r="A121" t="s">
        <v>99</v>
      </c>
      <c r="B121" t="s">
        <v>100</v>
      </c>
      <c r="C121" t="str">
        <f>HYPERLINK("http://service.sap.com/sap/support/notes/1937738","1937738")</f>
        <v>1937738</v>
      </c>
      <c r="D121">
        <v>4</v>
      </c>
      <c r="E121" t="s">
        <v>3315</v>
      </c>
      <c r="F121" t="s">
        <v>9</v>
      </c>
    </row>
    <row r="122" spans="1:6" x14ac:dyDescent="0.3">
      <c r="A122" t="s">
        <v>99</v>
      </c>
      <c r="B122" t="s">
        <v>100</v>
      </c>
      <c r="C122" t="str">
        <f>HYPERLINK("http://service.sap.com/sap/support/notes/1943908","1943908")</f>
        <v>1943908</v>
      </c>
      <c r="D122">
        <v>1</v>
      </c>
      <c r="E122" t="s">
        <v>3316</v>
      </c>
      <c r="F122" t="s">
        <v>9</v>
      </c>
    </row>
    <row r="123" spans="1:6" x14ac:dyDescent="0.3">
      <c r="A123" t="s">
        <v>99</v>
      </c>
      <c r="B123" t="s">
        <v>100</v>
      </c>
      <c r="C123" t="str">
        <f>HYPERLINK("http://service.sap.com/sap/support/notes/1947299","1947299")</f>
        <v>1947299</v>
      </c>
      <c r="D123">
        <v>2</v>
      </c>
      <c r="E123" t="s">
        <v>3317</v>
      </c>
      <c r="F123" t="s">
        <v>9</v>
      </c>
    </row>
    <row r="124" spans="1:6" x14ac:dyDescent="0.3">
      <c r="A124" t="s">
        <v>99</v>
      </c>
      <c r="B124" t="s">
        <v>100</v>
      </c>
      <c r="C124" t="str">
        <f>HYPERLINK("http://service.sap.com/sap/support/notes/1947390","1947390")</f>
        <v>1947390</v>
      </c>
      <c r="D124">
        <v>1</v>
      </c>
      <c r="E124" t="s">
        <v>3318</v>
      </c>
      <c r="F124" t="s">
        <v>9</v>
      </c>
    </row>
    <row r="125" spans="1:6" x14ac:dyDescent="0.3">
      <c r="A125" t="s">
        <v>99</v>
      </c>
      <c r="B125" t="s">
        <v>100</v>
      </c>
      <c r="C125" t="str">
        <f>HYPERLINK("http://service.sap.com/sap/support/notes/1947871","1947871")</f>
        <v>1947871</v>
      </c>
      <c r="D125">
        <v>2</v>
      </c>
      <c r="E125" t="s">
        <v>3319</v>
      </c>
      <c r="F125" t="s">
        <v>9</v>
      </c>
    </row>
    <row r="126" spans="1:6" x14ac:dyDescent="0.3">
      <c r="A126" t="s">
        <v>99</v>
      </c>
      <c r="B126" t="s">
        <v>100</v>
      </c>
      <c r="C126" t="str">
        <f>HYPERLINK("http://service.sap.com/sap/support/notes/1951742","1951742")</f>
        <v>1951742</v>
      </c>
      <c r="D126">
        <v>1</v>
      </c>
      <c r="E126" t="s">
        <v>3320</v>
      </c>
      <c r="F126" t="s">
        <v>9</v>
      </c>
    </row>
    <row r="127" spans="1:6" x14ac:dyDescent="0.3">
      <c r="A127" t="s">
        <v>99</v>
      </c>
      <c r="B127" t="s">
        <v>100</v>
      </c>
      <c r="C127" t="str">
        <f>HYPERLINK("http://service.sap.com/sap/support/notes/1952006","1952006")</f>
        <v>1952006</v>
      </c>
      <c r="D127">
        <v>1</v>
      </c>
      <c r="E127" t="s">
        <v>3321</v>
      </c>
      <c r="F127" t="s">
        <v>9</v>
      </c>
    </row>
    <row r="128" spans="1:6" x14ac:dyDescent="0.3">
      <c r="A128" t="s">
        <v>99</v>
      </c>
      <c r="B128" t="s">
        <v>100</v>
      </c>
      <c r="C128" t="str">
        <f>HYPERLINK("http://service.sap.com/sap/support/notes/1957959","1957959")</f>
        <v>1957959</v>
      </c>
      <c r="D128">
        <v>3</v>
      </c>
      <c r="E128" t="s">
        <v>3322</v>
      </c>
      <c r="F128" t="s">
        <v>9</v>
      </c>
    </row>
    <row r="129" spans="1:6" x14ac:dyDescent="0.3">
      <c r="A129" t="s">
        <v>99</v>
      </c>
      <c r="B129" t="s">
        <v>100</v>
      </c>
      <c r="C129" t="str">
        <f>HYPERLINK("http://service.sap.com/sap/support/notes/1962108","1962108")</f>
        <v>1962108</v>
      </c>
      <c r="D129">
        <v>3</v>
      </c>
      <c r="E129" t="s">
        <v>3323</v>
      </c>
      <c r="F129" t="s">
        <v>9</v>
      </c>
    </row>
    <row r="130" spans="1:6" x14ac:dyDescent="0.3">
      <c r="A130" t="s">
        <v>99</v>
      </c>
      <c r="B130" t="s">
        <v>100</v>
      </c>
      <c r="C130" t="str">
        <f>HYPERLINK("http://service.sap.com/sap/support/notes/1963611","1963611")</f>
        <v>1963611</v>
      </c>
      <c r="D130">
        <v>3</v>
      </c>
      <c r="E130" t="s">
        <v>3324</v>
      </c>
      <c r="F130" t="s">
        <v>9</v>
      </c>
    </row>
    <row r="131" spans="1:6" x14ac:dyDescent="0.3">
      <c r="A131" t="s">
        <v>99</v>
      </c>
      <c r="B131" t="s">
        <v>100</v>
      </c>
      <c r="C131" t="str">
        <f>HYPERLINK("http://service.sap.com/sap/support/notes/1964975","1964975")</f>
        <v>1964975</v>
      </c>
      <c r="D131">
        <v>2</v>
      </c>
      <c r="E131" t="s">
        <v>3325</v>
      </c>
      <c r="F131" t="s">
        <v>9</v>
      </c>
    </row>
    <row r="132" spans="1:6" x14ac:dyDescent="0.3">
      <c r="A132" t="s">
        <v>99</v>
      </c>
      <c r="B132" t="s">
        <v>100</v>
      </c>
      <c r="C132" t="str">
        <f>HYPERLINK("http://service.sap.com/sap/support/notes/1970197","1970197")</f>
        <v>1970197</v>
      </c>
      <c r="D132">
        <v>2</v>
      </c>
      <c r="E132" t="s">
        <v>3326</v>
      </c>
      <c r="F132" t="s">
        <v>9</v>
      </c>
    </row>
    <row r="133" spans="1:6" x14ac:dyDescent="0.3">
      <c r="A133" t="s">
        <v>99</v>
      </c>
      <c r="B133" t="s">
        <v>100</v>
      </c>
      <c r="C133" t="str">
        <f>HYPERLINK("http://service.sap.com/sap/support/notes/1981599","1981599")</f>
        <v>1981599</v>
      </c>
      <c r="D133">
        <v>2</v>
      </c>
      <c r="E133" t="s">
        <v>3327</v>
      </c>
      <c r="F133" t="s">
        <v>9</v>
      </c>
    </row>
    <row r="134" spans="1:6" x14ac:dyDescent="0.3">
      <c r="A134" t="s">
        <v>99</v>
      </c>
      <c r="B134" t="s">
        <v>100</v>
      </c>
      <c r="C134" t="str">
        <f>HYPERLINK("http://service.sap.com/sap/support/notes/1981763","1981763")</f>
        <v>1981763</v>
      </c>
      <c r="D134">
        <v>2</v>
      </c>
      <c r="E134" t="s">
        <v>3328</v>
      </c>
      <c r="F134" t="s">
        <v>9</v>
      </c>
    </row>
    <row r="135" spans="1:6" x14ac:dyDescent="0.3">
      <c r="A135" t="s">
        <v>99</v>
      </c>
      <c r="B135" t="s">
        <v>100</v>
      </c>
      <c r="C135" t="str">
        <f>HYPERLINK("http://service.sap.com/sap/support/notes/1992042","1992042")</f>
        <v>1992042</v>
      </c>
      <c r="D135">
        <v>2</v>
      </c>
      <c r="E135" t="s">
        <v>3329</v>
      </c>
      <c r="F135" t="s">
        <v>9</v>
      </c>
    </row>
    <row r="136" spans="1:6" x14ac:dyDescent="0.3">
      <c r="A136" t="s">
        <v>99</v>
      </c>
      <c r="B136" t="s">
        <v>100</v>
      </c>
      <c r="C136" t="str">
        <f>HYPERLINK("http://service.sap.com/sap/support/notes/2003829","2003829")</f>
        <v>2003829</v>
      </c>
      <c r="D136">
        <v>1</v>
      </c>
      <c r="E136" t="s">
        <v>3330</v>
      </c>
      <c r="F136" t="s">
        <v>9</v>
      </c>
    </row>
    <row r="137" spans="1:6" x14ac:dyDescent="0.3">
      <c r="A137" t="s">
        <v>99</v>
      </c>
      <c r="B137" t="s">
        <v>100</v>
      </c>
      <c r="C137" t="str">
        <f>HYPERLINK("http://service.sap.com/sap/support/notes/2008997","2008997")</f>
        <v>2008997</v>
      </c>
      <c r="D137">
        <v>1</v>
      </c>
      <c r="E137" t="s">
        <v>3331</v>
      </c>
      <c r="F137" t="s">
        <v>9</v>
      </c>
    </row>
    <row r="138" spans="1:6" x14ac:dyDescent="0.3">
      <c r="A138" t="s">
        <v>99</v>
      </c>
      <c r="B138" t="s">
        <v>100</v>
      </c>
      <c r="C138" t="str">
        <f>HYPERLINK("http://service.sap.com/sap/support/notes/2009798","2009798")</f>
        <v>2009798</v>
      </c>
      <c r="D138">
        <v>1</v>
      </c>
      <c r="E138" t="s">
        <v>3332</v>
      </c>
      <c r="F138" t="s">
        <v>9</v>
      </c>
    </row>
    <row r="139" spans="1:6" x14ac:dyDescent="0.3">
      <c r="A139" t="s">
        <v>108</v>
      </c>
      <c r="B139" t="s">
        <v>109</v>
      </c>
      <c r="C139" t="str">
        <f>HYPERLINK("http://service.sap.com/sap/support/notes/1798110","1798110")</f>
        <v>1798110</v>
      </c>
      <c r="D139">
        <v>1</v>
      </c>
      <c r="E139" t="s">
        <v>110</v>
      </c>
      <c r="F139" t="s">
        <v>9</v>
      </c>
    </row>
    <row r="140" spans="1:6" x14ac:dyDescent="0.3">
      <c r="A140" t="s">
        <v>108</v>
      </c>
      <c r="B140" t="s">
        <v>109</v>
      </c>
      <c r="C140" t="str">
        <f>HYPERLINK("http://service.sap.com/sap/support/notes/1898554","1898554")</f>
        <v>1898554</v>
      </c>
      <c r="D140">
        <v>1</v>
      </c>
      <c r="E140" t="s">
        <v>111</v>
      </c>
      <c r="F140" t="s">
        <v>9</v>
      </c>
    </row>
    <row r="141" spans="1:6" x14ac:dyDescent="0.3">
      <c r="A141" t="s">
        <v>108</v>
      </c>
      <c r="B141" t="s">
        <v>109</v>
      </c>
      <c r="C141" t="str">
        <f>HYPERLINK("http://service.sap.com/sap/support/notes/1899045","1899045")</f>
        <v>1899045</v>
      </c>
      <c r="D141">
        <v>1</v>
      </c>
      <c r="E141" t="s">
        <v>112</v>
      </c>
      <c r="F141" t="s">
        <v>9</v>
      </c>
    </row>
    <row r="142" spans="1:6" x14ac:dyDescent="0.3">
      <c r="A142" t="s">
        <v>108</v>
      </c>
      <c r="B142" t="s">
        <v>109</v>
      </c>
      <c r="C142" t="str">
        <f>HYPERLINK("http://service.sap.com/sap/support/notes/1915880","1915880")</f>
        <v>1915880</v>
      </c>
      <c r="D142">
        <v>1</v>
      </c>
      <c r="E142" t="s">
        <v>113</v>
      </c>
      <c r="F142" t="s">
        <v>9</v>
      </c>
    </row>
    <row r="143" spans="1:6" x14ac:dyDescent="0.3">
      <c r="A143" t="s">
        <v>108</v>
      </c>
      <c r="B143" t="s">
        <v>109</v>
      </c>
      <c r="C143" t="str">
        <f>HYPERLINK("http://service.sap.com/sap/support/notes/1915921","1915921")</f>
        <v>1915921</v>
      </c>
      <c r="D143">
        <v>1</v>
      </c>
      <c r="E143" t="s">
        <v>114</v>
      </c>
      <c r="F143" t="s">
        <v>9</v>
      </c>
    </row>
    <row r="144" spans="1:6" x14ac:dyDescent="0.3">
      <c r="A144" t="s">
        <v>115</v>
      </c>
      <c r="B144" t="s">
        <v>116</v>
      </c>
      <c r="C144" t="str">
        <f>HYPERLINK("http://service.sap.com/sap/support/notes/1860681","1860681")</f>
        <v>1860681</v>
      </c>
      <c r="D144">
        <v>2</v>
      </c>
      <c r="E144" t="s">
        <v>117</v>
      </c>
      <c r="F144" t="s">
        <v>16</v>
      </c>
    </row>
    <row r="145" spans="1:6" x14ac:dyDescent="0.3">
      <c r="A145" t="s">
        <v>115</v>
      </c>
      <c r="B145" t="s">
        <v>116</v>
      </c>
      <c r="C145" t="str">
        <f>HYPERLINK("http://service.sap.com/sap/support/notes/1880414","1880414")</f>
        <v>1880414</v>
      </c>
      <c r="D145">
        <v>2</v>
      </c>
      <c r="E145" t="s">
        <v>118</v>
      </c>
      <c r="F145" t="s">
        <v>9</v>
      </c>
    </row>
    <row r="146" spans="1:6" x14ac:dyDescent="0.3">
      <c r="A146" t="s">
        <v>115</v>
      </c>
      <c r="B146" t="s">
        <v>116</v>
      </c>
      <c r="C146" t="str">
        <f>HYPERLINK("http://service.sap.com/sap/support/notes/1883365","1883365")</f>
        <v>1883365</v>
      </c>
      <c r="D146">
        <v>2</v>
      </c>
      <c r="E146" t="s">
        <v>119</v>
      </c>
      <c r="F146" t="s">
        <v>9</v>
      </c>
    </row>
    <row r="147" spans="1:6" x14ac:dyDescent="0.3">
      <c r="A147" t="s">
        <v>115</v>
      </c>
      <c r="B147" t="s">
        <v>116</v>
      </c>
      <c r="C147" t="str">
        <f>HYPERLINK("http://service.sap.com/sap/support/notes/1885799","1885799")</f>
        <v>1885799</v>
      </c>
      <c r="D147">
        <v>3</v>
      </c>
      <c r="E147" t="s">
        <v>120</v>
      </c>
      <c r="F147" t="s">
        <v>9</v>
      </c>
    </row>
    <row r="148" spans="1:6" x14ac:dyDescent="0.3">
      <c r="A148" t="s">
        <v>115</v>
      </c>
      <c r="B148" t="s">
        <v>116</v>
      </c>
      <c r="C148" t="str">
        <f>HYPERLINK("http://service.sap.com/sap/support/notes/1887648","1887648")</f>
        <v>1887648</v>
      </c>
      <c r="D148">
        <v>3</v>
      </c>
      <c r="E148" t="s">
        <v>121</v>
      </c>
      <c r="F148" t="s">
        <v>9</v>
      </c>
    </row>
    <row r="149" spans="1:6" x14ac:dyDescent="0.3">
      <c r="A149" t="s">
        <v>115</v>
      </c>
      <c r="B149" t="s">
        <v>116</v>
      </c>
      <c r="C149" t="str">
        <f>HYPERLINK("http://service.sap.com/sap/support/notes/1892604","1892604")</f>
        <v>1892604</v>
      </c>
      <c r="D149">
        <v>1</v>
      </c>
      <c r="E149" t="s">
        <v>122</v>
      </c>
      <c r="F149" t="s">
        <v>16</v>
      </c>
    </row>
    <row r="150" spans="1:6" x14ac:dyDescent="0.3">
      <c r="A150" t="s">
        <v>115</v>
      </c>
      <c r="B150" t="s">
        <v>116</v>
      </c>
      <c r="C150" t="str">
        <f>HYPERLINK("http://service.sap.com/sap/support/notes/1898011","1898011")</f>
        <v>1898011</v>
      </c>
      <c r="D150">
        <v>1</v>
      </c>
      <c r="E150" t="s">
        <v>123</v>
      </c>
      <c r="F150" t="s">
        <v>16</v>
      </c>
    </row>
    <row r="151" spans="1:6" x14ac:dyDescent="0.3">
      <c r="A151" t="s">
        <v>115</v>
      </c>
      <c r="B151" t="s">
        <v>116</v>
      </c>
      <c r="C151" t="str">
        <f>HYPERLINK("http://service.sap.com/sap/support/notes/1911910","1911910")</f>
        <v>1911910</v>
      </c>
      <c r="D151">
        <v>2</v>
      </c>
      <c r="E151" t="s">
        <v>124</v>
      </c>
      <c r="F151" t="s">
        <v>9</v>
      </c>
    </row>
    <row r="152" spans="1:6" x14ac:dyDescent="0.3">
      <c r="A152" t="s">
        <v>115</v>
      </c>
      <c r="B152" t="s">
        <v>116</v>
      </c>
      <c r="C152" t="str">
        <f>HYPERLINK("http://service.sap.com/sap/support/notes/1916486","1916486")</f>
        <v>1916486</v>
      </c>
      <c r="D152">
        <v>1</v>
      </c>
      <c r="E152" t="s">
        <v>125</v>
      </c>
      <c r="F152" t="s">
        <v>9</v>
      </c>
    </row>
    <row r="153" spans="1:6" x14ac:dyDescent="0.3">
      <c r="A153" t="s">
        <v>115</v>
      </c>
      <c r="B153" t="s">
        <v>116</v>
      </c>
      <c r="C153" t="str">
        <f>HYPERLINK("http://service.sap.com/sap/support/notes/1930840","1930840")</f>
        <v>1930840</v>
      </c>
      <c r="D153">
        <v>1</v>
      </c>
      <c r="E153" t="s">
        <v>126</v>
      </c>
      <c r="F153" t="s">
        <v>9</v>
      </c>
    </row>
    <row r="154" spans="1:6" x14ac:dyDescent="0.3">
      <c r="A154" t="s">
        <v>115</v>
      </c>
      <c r="B154" t="s">
        <v>116</v>
      </c>
      <c r="C154" t="str">
        <f>HYPERLINK("http://service.sap.com/sap/support/notes/2003837","2003837")</f>
        <v>2003837</v>
      </c>
      <c r="D154">
        <v>1</v>
      </c>
      <c r="E154" t="s">
        <v>3333</v>
      </c>
      <c r="F154" t="s">
        <v>9</v>
      </c>
    </row>
    <row r="155" spans="1:6" x14ac:dyDescent="0.3">
      <c r="A155" t="s">
        <v>127</v>
      </c>
      <c r="B155" t="s">
        <v>128</v>
      </c>
      <c r="C155" t="str">
        <f>HYPERLINK("http://service.sap.com/sap/support/notes/1917369","1917369")</f>
        <v>1917369</v>
      </c>
      <c r="D155">
        <v>2</v>
      </c>
      <c r="E155" t="s">
        <v>129</v>
      </c>
      <c r="F155" t="s">
        <v>9</v>
      </c>
    </row>
    <row r="156" spans="1:6" x14ac:dyDescent="0.3">
      <c r="A156" t="s">
        <v>127</v>
      </c>
      <c r="B156" t="s">
        <v>128</v>
      </c>
      <c r="C156" t="str">
        <f>HYPERLINK("http://service.sap.com/sap/support/notes/1943298","1943298")</f>
        <v>1943298</v>
      </c>
      <c r="D156">
        <v>3</v>
      </c>
      <c r="E156" t="s">
        <v>1465</v>
      </c>
      <c r="F156" t="s">
        <v>9</v>
      </c>
    </row>
    <row r="157" spans="1:6" x14ac:dyDescent="0.3">
      <c r="A157" t="s">
        <v>130</v>
      </c>
      <c r="B157" t="s">
        <v>131</v>
      </c>
      <c r="C157" t="str">
        <f>HYPERLINK("http://service.sap.com/sap/support/notes/1893868","1893868")</f>
        <v>1893868</v>
      </c>
      <c r="D157">
        <v>1</v>
      </c>
      <c r="E157" t="s">
        <v>132</v>
      </c>
      <c r="F157" t="s">
        <v>9</v>
      </c>
    </row>
    <row r="158" spans="1:6" x14ac:dyDescent="0.3">
      <c r="A158" t="s">
        <v>130</v>
      </c>
      <c r="B158" t="s">
        <v>131</v>
      </c>
      <c r="C158" t="str">
        <f>HYPERLINK("http://service.sap.com/sap/support/notes/1891303","1891303")</f>
        <v>1891303</v>
      </c>
      <c r="D158">
        <v>2</v>
      </c>
      <c r="E158" t="s">
        <v>1140</v>
      </c>
      <c r="F158" t="s">
        <v>9</v>
      </c>
    </row>
    <row r="159" spans="1:6" x14ac:dyDescent="0.3">
      <c r="A159" t="s">
        <v>130</v>
      </c>
      <c r="B159" t="s">
        <v>131</v>
      </c>
      <c r="C159" t="str">
        <f>HYPERLINK("http://service.sap.com/sap/support/notes/1897266","1897266")</f>
        <v>1897266</v>
      </c>
      <c r="D159">
        <v>6</v>
      </c>
      <c r="E159" t="s">
        <v>1466</v>
      </c>
      <c r="F159" t="s">
        <v>9</v>
      </c>
    </row>
    <row r="160" spans="1:6" x14ac:dyDescent="0.3">
      <c r="A160" t="s">
        <v>130</v>
      </c>
      <c r="B160" t="s">
        <v>131</v>
      </c>
      <c r="C160" t="str">
        <f>HYPERLINK("http://service.sap.com/sap/support/notes/1903558","1903558")</f>
        <v>1903558</v>
      </c>
      <c r="D160">
        <v>3</v>
      </c>
      <c r="E160" t="s">
        <v>1467</v>
      </c>
      <c r="F160" t="s">
        <v>9</v>
      </c>
    </row>
    <row r="161" spans="1:6" x14ac:dyDescent="0.3">
      <c r="A161" t="s">
        <v>130</v>
      </c>
      <c r="B161" t="s">
        <v>131</v>
      </c>
      <c r="C161" t="str">
        <f>HYPERLINK("http://service.sap.com/sap/support/notes/1946239","1946239")</f>
        <v>1946239</v>
      </c>
      <c r="D161">
        <v>4</v>
      </c>
      <c r="E161" t="s">
        <v>1468</v>
      </c>
      <c r="F161" t="s">
        <v>9</v>
      </c>
    </row>
    <row r="162" spans="1:6" x14ac:dyDescent="0.3">
      <c r="A162" t="s">
        <v>130</v>
      </c>
      <c r="B162" t="s">
        <v>131</v>
      </c>
      <c r="C162" t="str">
        <f>HYPERLINK("http://service.sap.com/sap/support/notes/1949833","1949833")</f>
        <v>1949833</v>
      </c>
      <c r="D162">
        <v>2</v>
      </c>
      <c r="E162" t="s">
        <v>1469</v>
      </c>
      <c r="F162" t="s">
        <v>9</v>
      </c>
    </row>
    <row r="163" spans="1:6" x14ac:dyDescent="0.3">
      <c r="A163" t="s">
        <v>130</v>
      </c>
      <c r="B163" t="s">
        <v>131</v>
      </c>
      <c r="C163" t="str">
        <f>HYPERLINK("http://service.sap.com/sap/support/notes/1968495","1968495")</f>
        <v>1968495</v>
      </c>
      <c r="D163">
        <v>1</v>
      </c>
      <c r="E163" t="s">
        <v>2057</v>
      </c>
      <c r="F163" t="s">
        <v>9</v>
      </c>
    </row>
    <row r="164" spans="1:6" x14ac:dyDescent="0.3">
      <c r="A164" t="s">
        <v>130</v>
      </c>
      <c r="B164" t="s">
        <v>131</v>
      </c>
      <c r="C164" t="str">
        <f>HYPERLINK("http://service.sap.com/sap/support/notes/1903557","1903557")</f>
        <v>1903557</v>
      </c>
      <c r="D164">
        <v>2</v>
      </c>
      <c r="E164" t="s">
        <v>2384</v>
      </c>
      <c r="F164" t="s">
        <v>9</v>
      </c>
    </row>
    <row r="165" spans="1:6" x14ac:dyDescent="0.3">
      <c r="A165" t="s">
        <v>130</v>
      </c>
      <c r="B165" t="s">
        <v>131</v>
      </c>
      <c r="C165" t="str">
        <f>HYPERLINK("http://service.sap.com/sap/support/notes/1946992","1946992")</f>
        <v>1946992</v>
      </c>
      <c r="D165">
        <v>2</v>
      </c>
      <c r="E165" t="s">
        <v>2385</v>
      </c>
      <c r="F165" t="s">
        <v>9</v>
      </c>
    </row>
    <row r="166" spans="1:6" x14ac:dyDescent="0.3">
      <c r="A166" t="s">
        <v>130</v>
      </c>
      <c r="B166" t="s">
        <v>131</v>
      </c>
      <c r="C166" t="str">
        <f>HYPERLINK("http://service.sap.com/sap/support/notes/1981854","1981854")</f>
        <v>1981854</v>
      </c>
      <c r="D166">
        <v>2</v>
      </c>
      <c r="E166" t="s">
        <v>2386</v>
      </c>
      <c r="F166" t="s">
        <v>9</v>
      </c>
    </row>
    <row r="167" spans="1:6" x14ac:dyDescent="0.3">
      <c r="A167" t="s">
        <v>130</v>
      </c>
      <c r="B167" t="s">
        <v>131</v>
      </c>
      <c r="C167" t="str">
        <f>HYPERLINK("http://service.sap.com/sap/support/notes/1983451","1983451")</f>
        <v>1983451</v>
      </c>
      <c r="D167">
        <v>3</v>
      </c>
      <c r="E167" t="s">
        <v>2387</v>
      </c>
      <c r="F167" t="s">
        <v>9</v>
      </c>
    </row>
    <row r="168" spans="1:6" x14ac:dyDescent="0.3">
      <c r="A168" t="s">
        <v>130</v>
      </c>
      <c r="B168" t="s">
        <v>131</v>
      </c>
      <c r="C168" t="str">
        <f>HYPERLINK("http://service.sap.com/sap/support/notes/1805079","1805079")</f>
        <v>1805079</v>
      </c>
      <c r="D168">
        <v>6</v>
      </c>
      <c r="E168" t="s">
        <v>2801</v>
      </c>
      <c r="F168" t="s">
        <v>9</v>
      </c>
    </row>
    <row r="169" spans="1:6" x14ac:dyDescent="0.3">
      <c r="A169" t="s">
        <v>130</v>
      </c>
      <c r="B169" t="s">
        <v>131</v>
      </c>
      <c r="C169" t="str">
        <f>HYPERLINK("http://service.sap.com/sap/support/notes/1928197","1928197")</f>
        <v>1928197</v>
      </c>
      <c r="D169">
        <v>1</v>
      </c>
      <c r="E169" t="s">
        <v>2802</v>
      </c>
      <c r="F169" t="s">
        <v>9</v>
      </c>
    </row>
    <row r="170" spans="1:6" x14ac:dyDescent="0.3">
      <c r="A170" t="s">
        <v>130</v>
      </c>
      <c r="B170" t="s">
        <v>131</v>
      </c>
      <c r="C170" t="str">
        <f>HYPERLINK("http://service.sap.com/sap/support/notes/1971545","1971545")</f>
        <v>1971545</v>
      </c>
      <c r="D170">
        <v>1</v>
      </c>
      <c r="E170" t="s">
        <v>2803</v>
      </c>
      <c r="F170" t="s">
        <v>9</v>
      </c>
    </row>
    <row r="171" spans="1:6" x14ac:dyDescent="0.3">
      <c r="A171" t="s">
        <v>130</v>
      </c>
      <c r="B171" t="s">
        <v>131</v>
      </c>
      <c r="C171" t="str">
        <f>HYPERLINK("http://service.sap.com/sap/support/notes/1971565","1971565")</f>
        <v>1971565</v>
      </c>
      <c r="D171">
        <v>1</v>
      </c>
      <c r="E171" t="s">
        <v>2804</v>
      </c>
      <c r="F171" t="s">
        <v>9</v>
      </c>
    </row>
    <row r="172" spans="1:6" x14ac:dyDescent="0.3">
      <c r="A172" t="s">
        <v>130</v>
      </c>
      <c r="B172" t="s">
        <v>131</v>
      </c>
      <c r="C172" t="str">
        <f>HYPERLINK("http://service.sap.com/sap/support/notes/1983067","1983067")</f>
        <v>1983067</v>
      </c>
      <c r="D172">
        <v>2</v>
      </c>
      <c r="E172" t="s">
        <v>2805</v>
      </c>
      <c r="F172" t="s">
        <v>9</v>
      </c>
    </row>
    <row r="173" spans="1:6" x14ac:dyDescent="0.3">
      <c r="A173" t="s">
        <v>130</v>
      </c>
      <c r="B173" t="s">
        <v>131</v>
      </c>
      <c r="C173" t="str">
        <f>HYPERLINK("http://service.sap.com/sap/support/notes/1983451","1983451")</f>
        <v>1983451</v>
      </c>
      <c r="D173">
        <v>3</v>
      </c>
      <c r="E173" t="s">
        <v>2387</v>
      </c>
      <c r="F173" t="s">
        <v>9</v>
      </c>
    </row>
    <row r="174" spans="1:6" x14ac:dyDescent="0.3">
      <c r="A174" t="s">
        <v>130</v>
      </c>
      <c r="B174" t="s">
        <v>131</v>
      </c>
      <c r="C174" t="str">
        <f>HYPERLINK("http://service.sap.com/sap/support/notes/1986461","1986461")</f>
        <v>1986461</v>
      </c>
      <c r="D174">
        <v>3</v>
      </c>
      <c r="E174" t="s">
        <v>2806</v>
      </c>
      <c r="F174" t="s">
        <v>28</v>
      </c>
    </row>
    <row r="175" spans="1:6" x14ac:dyDescent="0.3">
      <c r="A175" t="s">
        <v>130</v>
      </c>
      <c r="B175" t="s">
        <v>131</v>
      </c>
      <c r="C175" t="str">
        <f>HYPERLINK("http://service.sap.com/sap/support/notes/1971511","1971511")</f>
        <v>1971511</v>
      </c>
      <c r="D175">
        <v>5</v>
      </c>
      <c r="E175" t="s">
        <v>4019</v>
      </c>
      <c r="F175" t="s">
        <v>9</v>
      </c>
    </row>
    <row r="176" spans="1:6" x14ac:dyDescent="0.3">
      <c r="A176" t="s">
        <v>130</v>
      </c>
      <c r="B176" t="s">
        <v>131</v>
      </c>
      <c r="C176" t="str">
        <f>HYPERLINK("http://service.sap.com/sap/support/notes/1972601","1972601")</f>
        <v>1972601</v>
      </c>
      <c r="D176">
        <v>2</v>
      </c>
      <c r="E176" t="s">
        <v>4020</v>
      </c>
      <c r="F176" t="s">
        <v>9</v>
      </c>
    </row>
    <row r="177" spans="1:6" x14ac:dyDescent="0.3">
      <c r="A177" t="s">
        <v>130</v>
      </c>
      <c r="B177" t="s">
        <v>131</v>
      </c>
      <c r="C177" t="str">
        <f>HYPERLINK("http://service.sap.com/sap/support/notes/1978236","1978236")</f>
        <v>1978236</v>
      </c>
      <c r="D177">
        <v>5</v>
      </c>
      <c r="E177" t="s">
        <v>4021</v>
      </c>
      <c r="F177" t="s">
        <v>9</v>
      </c>
    </row>
    <row r="178" spans="1:6" x14ac:dyDescent="0.3">
      <c r="A178" t="s">
        <v>130</v>
      </c>
      <c r="B178" t="s">
        <v>131</v>
      </c>
      <c r="C178" t="str">
        <f>HYPERLINK("http://service.sap.com/sap/support/notes/2017354","2017354")</f>
        <v>2017354</v>
      </c>
      <c r="D178">
        <v>3</v>
      </c>
      <c r="E178" t="s">
        <v>4022</v>
      </c>
      <c r="F178" t="s">
        <v>9</v>
      </c>
    </row>
    <row r="179" spans="1:6" x14ac:dyDescent="0.3">
      <c r="A179" t="s">
        <v>130</v>
      </c>
      <c r="B179" t="s">
        <v>131</v>
      </c>
      <c r="C179" t="str">
        <f>HYPERLINK("http://service.sap.com/sap/support/notes/2018960","2018960")</f>
        <v>2018960</v>
      </c>
      <c r="D179">
        <v>3</v>
      </c>
      <c r="E179" t="s">
        <v>4023</v>
      </c>
      <c r="F179" t="s">
        <v>9</v>
      </c>
    </row>
    <row r="180" spans="1:6" x14ac:dyDescent="0.3">
      <c r="A180" t="s">
        <v>130</v>
      </c>
      <c r="B180" t="s">
        <v>131</v>
      </c>
      <c r="C180" t="str">
        <f>HYPERLINK("http://service.sap.com/sap/support/notes/2022934","2022934")</f>
        <v>2022934</v>
      </c>
      <c r="D180">
        <v>9</v>
      </c>
      <c r="E180" t="s">
        <v>4381</v>
      </c>
      <c r="F180" t="s">
        <v>9</v>
      </c>
    </row>
    <row r="181" spans="1:6" x14ac:dyDescent="0.3">
      <c r="A181" t="s">
        <v>130</v>
      </c>
      <c r="B181" t="s">
        <v>131</v>
      </c>
      <c r="C181" t="str">
        <f>HYPERLINK("http://service.sap.com/sap/support/notes/2025830","2025830")</f>
        <v>2025830</v>
      </c>
      <c r="D181">
        <v>2</v>
      </c>
      <c r="E181" t="s">
        <v>4382</v>
      </c>
      <c r="F181" t="s">
        <v>9</v>
      </c>
    </row>
    <row r="182" spans="1:6" x14ac:dyDescent="0.3">
      <c r="A182" t="s">
        <v>130</v>
      </c>
      <c r="B182" t="s">
        <v>131</v>
      </c>
      <c r="C182" t="str">
        <f>HYPERLINK("http://service.sap.com/sap/support/notes/2042777","2042777")</f>
        <v>2042777</v>
      </c>
      <c r="D182">
        <v>3</v>
      </c>
      <c r="E182" t="s">
        <v>4687</v>
      </c>
      <c r="F182" t="s">
        <v>9</v>
      </c>
    </row>
    <row r="183" spans="1:6" x14ac:dyDescent="0.3">
      <c r="A183" t="s">
        <v>130</v>
      </c>
      <c r="B183" t="s">
        <v>131</v>
      </c>
      <c r="C183" t="str">
        <f>HYPERLINK("http://service.sap.com/sap/support/notes/1820718","1820718")</f>
        <v>1820718</v>
      </c>
      <c r="D183">
        <v>3</v>
      </c>
      <c r="E183" t="s">
        <v>5060</v>
      </c>
      <c r="F183" t="s">
        <v>16</v>
      </c>
    </row>
    <row r="184" spans="1:6" x14ac:dyDescent="0.3">
      <c r="A184" t="s">
        <v>130</v>
      </c>
      <c r="B184" t="s">
        <v>131</v>
      </c>
      <c r="C184" t="str">
        <f>HYPERLINK("http://service.sap.com/sap/support/notes/2051228","2051228")</f>
        <v>2051228</v>
      </c>
      <c r="D184">
        <v>5</v>
      </c>
      <c r="E184" t="s">
        <v>5061</v>
      </c>
      <c r="F184" t="s">
        <v>16</v>
      </c>
    </row>
    <row r="185" spans="1:6" x14ac:dyDescent="0.3">
      <c r="A185" t="s">
        <v>130</v>
      </c>
      <c r="B185" t="s">
        <v>131</v>
      </c>
      <c r="C185" t="str">
        <f>HYPERLINK("http://service.sap.com/sap/support/notes/2056435","2056435")</f>
        <v>2056435</v>
      </c>
      <c r="D185">
        <v>9</v>
      </c>
      <c r="E185" t="s">
        <v>5392</v>
      </c>
      <c r="F185" t="s">
        <v>9</v>
      </c>
    </row>
    <row r="186" spans="1:6" x14ac:dyDescent="0.3">
      <c r="A186" t="s">
        <v>130</v>
      </c>
      <c r="B186" t="s">
        <v>131</v>
      </c>
      <c r="C186" t="str">
        <f>HYPERLINK("http://service.sap.com/sap/support/notes/2060238","2060238")</f>
        <v>2060238</v>
      </c>
      <c r="D186">
        <v>2</v>
      </c>
      <c r="E186" t="s">
        <v>5393</v>
      </c>
      <c r="F186" t="s">
        <v>9</v>
      </c>
    </row>
    <row r="187" spans="1:6" x14ac:dyDescent="0.3">
      <c r="A187" t="s">
        <v>133</v>
      </c>
      <c r="B187" t="s">
        <v>134</v>
      </c>
      <c r="C187" t="str">
        <f>HYPERLINK("http://service.sap.com/sap/support/notes/1857860","1857860")</f>
        <v>1857860</v>
      </c>
      <c r="D187">
        <v>4</v>
      </c>
      <c r="E187" t="s">
        <v>135</v>
      </c>
      <c r="F187" t="s">
        <v>9</v>
      </c>
    </row>
    <row r="188" spans="1:6" x14ac:dyDescent="0.3">
      <c r="A188" t="s">
        <v>133</v>
      </c>
      <c r="B188" t="s">
        <v>134</v>
      </c>
      <c r="C188" t="str">
        <f>HYPERLINK("http://service.sap.com/sap/support/notes/1890879","1890879")</f>
        <v>1890879</v>
      </c>
      <c r="D188">
        <v>1</v>
      </c>
      <c r="E188" t="s">
        <v>136</v>
      </c>
      <c r="F188" t="s">
        <v>9</v>
      </c>
    </row>
    <row r="189" spans="1:6" x14ac:dyDescent="0.3">
      <c r="A189" t="s">
        <v>133</v>
      </c>
      <c r="B189" t="s">
        <v>134</v>
      </c>
      <c r="C189" t="str">
        <f>HYPERLINK("http://service.sap.com/sap/support/notes/1917427","1917427")</f>
        <v>1917427</v>
      </c>
      <c r="D189">
        <v>3</v>
      </c>
      <c r="E189" t="s">
        <v>137</v>
      </c>
      <c r="F189" t="s">
        <v>16</v>
      </c>
    </row>
    <row r="190" spans="1:6" x14ac:dyDescent="0.3">
      <c r="A190" t="s">
        <v>133</v>
      </c>
      <c r="B190" t="s">
        <v>134</v>
      </c>
      <c r="C190" t="str">
        <f>HYPERLINK("http://service.sap.com/sap/support/notes/1919707","1919707")</f>
        <v>1919707</v>
      </c>
      <c r="D190">
        <v>2</v>
      </c>
      <c r="E190" t="s">
        <v>138</v>
      </c>
      <c r="F190" t="s">
        <v>9</v>
      </c>
    </row>
    <row r="191" spans="1:6" x14ac:dyDescent="0.3">
      <c r="A191" t="s">
        <v>133</v>
      </c>
      <c r="B191" t="s">
        <v>134</v>
      </c>
      <c r="C191" t="str">
        <f>HYPERLINK("http://service.sap.com/sap/support/notes/1935812","1935812")</f>
        <v>1935812</v>
      </c>
      <c r="D191">
        <v>6</v>
      </c>
      <c r="E191" t="s">
        <v>1470</v>
      </c>
      <c r="F191" t="s">
        <v>9</v>
      </c>
    </row>
    <row r="192" spans="1:6" x14ac:dyDescent="0.3">
      <c r="A192" t="s">
        <v>133</v>
      </c>
      <c r="B192" t="s">
        <v>134</v>
      </c>
      <c r="C192" t="str">
        <f>HYPERLINK("http://service.sap.com/sap/support/notes/1947040","1947040")</f>
        <v>1947040</v>
      </c>
      <c r="D192">
        <v>2</v>
      </c>
      <c r="E192" t="s">
        <v>1471</v>
      </c>
      <c r="F192" t="s">
        <v>9</v>
      </c>
    </row>
    <row r="193" spans="1:6" x14ac:dyDescent="0.3">
      <c r="A193" t="s">
        <v>133</v>
      </c>
      <c r="B193" t="s">
        <v>134</v>
      </c>
      <c r="C193" t="str">
        <f>HYPERLINK("http://service.sap.com/sap/support/notes/1951221","1951221")</f>
        <v>1951221</v>
      </c>
      <c r="D193">
        <v>1</v>
      </c>
      <c r="E193" t="s">
        <v>1472</v>
      </c>
      <c r="F193" t="s">
        <v>9</v>
      </c>
    </row>
    <row r="194" spans="1:6" x14ac:dyDescent="0.3">
      <c r="A194" t="s">
        <v>133</v>
      </c>
      <c r="B194" t="s">
        <v>134</v>
      </c>
      <c r="C194" t="str">
        <f>HYPERLINK("http://service.sap.com/sap/support/notes/1942406","1942406")</f>
        <v>1942406</v>
      </c>
      <c r="D194">
        <v>3</v>
      </c>
      <c r="E194" t="s">
        <v>2058</v>
      </c>
      <c r="F194" t="s">
        <v>9</v>
      </c>
    </row>
    <row r="195" spans="1:6" x14ac:dyDescent="0.3">
      <c r="A195" t="s">
        <v>133</v>
      </c>
      <c r="B195" t="s">
        <v>134</v>
      </c>
      <c r="C195" t="str">
        <f>HYPERLINK("http://service.sap.com/sap/support/notes/1955139","1955139")</f>
        <v>1955139</v>
      </c>
      <c r="D195">
        <v>6</v>
      </c>
      <c r="E195" t="s">
        <v>2059</v>
      </c>
      <c r="F195" t="s">
        <v>9</v>
      </c>
    </row>
    <row r="196" spans="1:6" x14ac:dyDescent="0.3">
      <c r="A196" t="s">
        <v>133</v>
      </c>
      <c r="B196" t="s">
        <v>134</v>
      </c>
      <c r="C196" t="str">
        <f>HYPERLINK("http://service.sap.com/sap/support/notes/1955727","1955727")</f>
        <v>1955727</v>
      </c>
      <c r="D196">
        <v>2</v>
      </c>
      <c r="E196" t="s">
        <v>2060</v>
      </c>
      <c r="F196" t="s">
        <v>16</v>
      </c>
    </row>
    <row r="197" spans="1:6" x14ac:dyDescent="0.3">
      <c r="A197" t="s">
        <v>133</v>
      </c>
      <c r="B197" t="s">
        <v>134</v>
      </c>
      <c r="C197" t="str">
        <f>HYPERLINK("http://service.sap.com/sap/support/notes/1971733","1971733")</f>
        <v>1971733</v>
      </c>
      <c r="D197">
        <v>1</v>
      </c>
      <c r="E197" t="s">
        <v>2388</v>
      </c>
      <c r="F197" t="s">
        <v>9</v>
      </c>
    </row>
    <row r="198" spans="1:6" x14ac:dyDescent="0.3">
      <c r="A198" t="s">
        <v>133</v>
      </c>
      <c r="B198" t="s">
        <v>134</v>
      </c>
      <c r="C198" t="str">
        <f>HYPERLINK("http://service.sap.com/sap/support/notes/1980137","1980137")</f>
        <v>1980137</v>
      </c>
      <c r="D198">
        <v>1</v>
      </c>
      <c r="E198" t="s">
        <v>2389</v>
      </c>
      <c r="F198" t="s">
        <v>9</v>
      </c>
    </row>
    <row r="199" spans="1:6" x14ac:dyDescent="0.3">
      <c r="A199" t="s">
        <v>133</v>
      </c>
      <c r="B199" t="s">
        <v>134</v>
      </c>
      <c r="C199" t="str">
        <f>HYPERLINK("http://service.sap.com/sap/support/notes/1971077","1971077")</f>
        <v>1971077</v>
      </c>
      <c r="D199">
        <v>5</v>
      </c>
      <c r="E199" t="s">
        <v>3334</v>
      </c>
      <c r="F199" t="s">
        <v>9</v>
      </c>
    </row>
    <row r="200" spans="1:6" x14ac:dyDescent="0.3">
      <c r="A200" t="s">
        <v>133</v>
      </c>
      <c r="B200" t="s">
        <v>134</v>
      </c>
      <c r="C200" t="str">
        <f>HYPERLINK("http://service.sap.com/sap/support/notes/1997013","1997013")</f>
        <v>1997013</v>
      </c>
      <c r="D200">
        <v>3</v>
      </c>
      <c r="E200" t="s">
        <v>3335</v>
      </c>
      <c r="F200" t="s">
        <v>9</v>
      </c>
    </row>
    <row r="201" spans="1:6" x14ac:dyDescent="0.3">
      <c r="A201" t="s">
        <v>133</v>
      </c>
      <c r="B201" t="s">
        <v>134</v>
      </c>
      <c r="C201" t="str">
        <f>HYPERLINK("http://service.sap.com/sap/support/notes/2010404","2010404")</f>
        <v>2010404</v>
      </c>
      <c r="D201">
        <v>3</v>
      </c>
      <c r="E201" t="s">
        <v>4024</v>
      </c>
      <c r="F201" t="s">
        <v>9</v>
      </c>
    </row>
    <row r="202" spans="1:6" x14ac:dyDescent="0.3">
      <c r="A202" t="s">
        <v>133</v>
      </c>
      <c r="B202" t="s">
        <v>134</v>
      </c>
      <c r="C202" t="str">
        <f>HYPERLINK("http://service.sap.com/sap/support/notes/2029249","2029249")</f>
        <v>2029249</v>
      </c>
      <c r="D202">
        <v>3</v>
      </c>
      <c r="E202" t="s">
        <v>4383</v>
      </c>
      <c r="F202" t="s">
        <v>9</v>
      </c>
    </row>
    <row r="203" spans="1:6" x14ac:dyDescent="0.3">
      <c r="A203" t="s">
        <v>133</v>
      </c>
      <c r="B203" t="s">
        <v>134</v>
      </c>
      <c r="C203" t="str">
        <f>HYPERLINK("http://service.sap.com/sap/support/notes/2032108","2032108")</f>
        <v>2032108</v>
      </c>
      <c r="D203">
        <v>1</v>
      </c>
      <c r="E203" t="s">
        <v>4384</v>
      </c>
      <c r="F203" t="s">
        <v>9</v>
      </c>
    </row>
    <row r="204" spans="1:6" x14ac:dyDescent="0.3">
      <c r="A204" t="s">
        <v>133</v>
      </c>
      <c r="B204" t="s">
        <v>134</v>
      </c>
      <c r="C204" t="str">
        <f>HYPERLINK("http://service.sap.com/sap/support/notes/2036476","2036476")</f>
        <v>2036476</v>
      </c>
      <c r="D204">
        <v>4</v>
      </c>
      <c r="E204" t="s">
        <v>4688</v>
      </c>
      <c r="F204" t="s">
        <v>9</v>
      </c>
    </row>
    <row r="205" spans="1:6" x14ac:dyDescent="0.3">
      <c r="A205" t="s">
        <v>133</v>
      </c>
      <c r="B205" t="s">
        <v>134</v>
      </c>
      <c r="C205" t="str">
        <f>HYPERLINK("http://service.sap.com/sap/support/notes/2042896","2042896")</f>
        <v>2042896</v>
      </c>
      <c r="D205">
        <v>3</v>
      </c>
      <c r="E205" t="s">
        <v>5394</v>
      </c>
      <c r="F205" t="s">
        <v>9</v>
      </c>
    </row>
    <row r="206" spans="1:6" x14ac:dyDescent="0.3">
      <c r="A206" t="s">
        <v>1405</v>
      </c>
      <c r="B206" t="s">
        <v>502</v>
      </c>
      <c r="C206" t="str">
        <f>HYPERLINK("http://service.sap.com/sap/support/notes/1945474","1945474")</f>
        <v>1945474</v>
      </c>
      <c r="D206">
        <v>3</v>
      </c>
      <c r="E206" t="s">
        <v>1406</v>
      </c>
      <c r="F206" t="s">
        <v>9</v>
      </c>
    </row>
    <row r="207" spans="1:6" x14ac:dyDescent="0.3">
      <c r="A207" t="s">
        <v>1405</v>
      </c>
      <c r="B207" t="s">
        <v>502</v>
      </c>
      <c r="C207" t="str">
        <f>HYPERLINK("http://service.sap.com/sap/support/notes/1954823","1954823")</f>
        <v>1954823</v>
      </c>
      <c r="D207">
        <v>2</v>
      </c>
      <c r="E207" t="s">
        <v>1473</v>
      </c>
      <c r="F207" t="s">
        <v>9</v>
      </c>
    </row>
    <row r="208" spans="1:6" x14ac:dyDescent="0.3">
      <c r="A208" t="s">
        <v>1405</v>
      </c>
      <c r="B208" t="s">
        <v>502</v>
      </c>
      <c r="C208" t="str">
        <f>HYPERLINK("http://service.sap.com/sap/support/notes/1961268","1961268")</f>
        <v>1961268</v>
      </c>
      <c r="D208">
        <v>1</v>
      </c>
      <c r="E208" t="s">
        <v>1474</v>
      </c>
      <c r="F208" t="s">
        <v>9</v>
      </c>
    </row>
    <row r="209" spans="1:6" x14ac:dyDescent="0.3">
      <c r="A209" t="s">
        <v>1405</v>
      </c>
      <c r="B209" t="s">
        <v>502</v>
      </c>
      <c r="C209" t="str">
        <f>HYPERLINK("http://service.sap.com/sap/support/notes/1968552","1968552")</f>
        <v>1968552</v>
      </c>
      <c r="D209">
        <v>1</v>
      </c>
      <c r="E209" t="s">
        <v>2061</v>
      </c>
      <c r="F209" t="s">
        <v>9</v>
      </c>
    </row>
    <row r="210" spans="1:6" x14ac:dyDescent="0.3">
      <c r="A210" t="s">
        <v>1405</v>
      </c>
      <c r="B210" t="s">
        <v>502</v>
      </c>
      <c r="C210" t="str">
        <f>HYPERLINK("http://service.sap.com/sap/support/notes/1935708","1935708")</f>
        <v>1935708</v>
      </c>
      <c r="D210">
        <v>5</v>
      </c>
      <c r="E210" t="s">
        <v>2390</v>
      </c>
      <c r="F210" t="s">
        <v>9</v>
      </c>
    </row>
    <row r="211" spans="1:6" x14ac:dyDescent="0.3">
      <c r="A211" t="s">
        <v>1405</v>
      </c>
      <c r="B211" t="s">
        <v>502</v>
      </c>
      <c r="C211" t="str">
        <f>HYPERLINK("http://service.sap.com/sap/support/notes/1995374","1995374")</f>
        <v>1995374</v>
      </c>
      <c r="D211">
        <v>1</v>
      </c>
      <c r="E211" t="s">
        <v>2807</v>
      </c>
      <c r="F211" t="s">
        <v>9</v>
      </c>
    </row>
    <row r="212" spans="1:6" x14ac:dyDescent="0.3">
      <c r="A212" t="s">
        <v>1405</v>
      </c>
      <c r="B212" t="s">
        <v>502</v>
      </c>
      <c r="C212" t="str">
        <f>HYPERLINK("http://service.sap.com/sap/support/notes/2033125","2033125")</f>
        <v>2033125</v>
      </c>
      <c r="D212">
        <v>1</v>
      </c>
      <c r="E212" t="s">
        <v>4385</v>
      </c>
      <c r="F212" t="s">
        <v>9</v>
      </c>
    </row>
    <row r="213" spans="1:6" x14ac:dyDescent="0.3">
      <c r="A213" t="s">
        <v>1405</v>
      </c>
      <c r="B213" t="s">
        <v>502</v>
      </c>
      <c r="C213" t="str">
        <f>HYPERLINK("http://service.sap.com/sap/support/notes/2045877","2045877")</f>
        <v>2045877</v>
      </c>
      <c r="D213">
        <v>1</v>
      </c>
      <c r="E213" t="s">
        <v>4689</v>
      </c>
      <c r="F213" t="s">
        <v>9</v>
      </c>
    </row>
    <row r="214" spans="1:6" x14ac:dyDescent="0.3">
      <c r="A214" t="s">
        <v>1405</v>
      </c>
      <c r="B214" t="s">
        <v>502</v>
      </c>
      <c r="C214" t="str">
        <f>HYPERLINK("http://service.sap.com/sap/support/notes/1865985","1865985")</f>
        <v>1865985</v>
      </c>
      <c r="D214">
        <v>8</v>
      </c>
      <c r="E214" t="s">
        <v>5395</v>
      </c>
      <c r="F214" t="s">
        <v>9</v>
      </c>
    </row>
    <row r="215" spans="1:6" x14ac:dyDescent="0.3">
      <c r="A215" t="s">
        <v>2808</v>
      </c>
      <c r="B215" t="s">
        <v>522</v>
      </c>
      <c r="C215" t="str">
        <f>HYPERLINK("http://service.sap.com/sap/support/notes/1980785","1980785")</f>
        <v>1980785</v>
      </c>
      <c r="D215">
        <v>1</v>
      </c>
      <c r="E215" t="s">
        <v>2809</v>
      </c>
      <c r="F215" t="s">
        <v>9</v>
      </c>
    </row>
    <row r="216" spans="1:6" x14ac:dyDescent="0.3">
      <c r="A216" t="s">
        <v>3336</v>
      </c>
      <c r="B216" t="s">
        <v>531</v>
      </c>
      <c r="C216" t="str">
        <f>HYPERLINK("http://service.sap.com/sap/support/notes/1991489","1991489")</f>
        <v>1991489</v>
      </c>
      <c r="D216">
        <v>3</v>
      </c>
      <c r="E216" t="s">
        <v>3337</v>
      </c>
      <c r="F216" t="s">
        <v>9</v>
      </c>
    </row>
    <row r="217" spans="1:6" x14ac:dyDescent="0.3">
      <c r="A217" t="s">
        <v>3336</v>
      </c>
      <c r="B217" t="s">
        <v>531</v>
      </c>
      <c r="C217" t="str">
        <f>HYPERLINK("http://service.sap.com/sap/support/notes/2026124","2026124")</f>
        <v>2026124</v>
      </c>
      <c r="D217">
        <v>1</v>
      </c>
      <c r="E217" t="s">
        <v>5062</v>
      </c>
      <c r="F217" t="s">
        <v>9</v>
      </c>
    </row>
    <row r="218" spans="1:6" x14ac:dyDescent="0.3">
      <c r="A218" t="s">
        <v>139</v>
      </c>
      <c r="B218" t="s">
        <v>140</v>
      </c>
      <c r="C218" t="str">
        <f>HYPERLINK("http://service.sap.com/sap/support/notes/1683161","1683161")</f>
        <v>1683161</v>
      </c>
      <c r="D218">
        <v>1</v>
      </c>
      <c r="E218" t="s">
        <v>141</v>
      </c>
      <c r="F218" t="s">
        <v>16</v>
      </c>
    </row>
    <row r="219" spans="1:6" x14ac:dyDescent="0.3">
      <c r="A219" t="s">
        <v>139</v>
      </c>
      <c r="B219" t="s">
        <v>140</v>
      </c>
      <c r="C219" t="str">
        <f>HYPERLINK("http://service.sap.com/sap/support/notes/1928654","1928654")</f>
        <v>1928654</v>
      </c>
      <c r="D219">
        <v>1</v>
      </c>
      <c r="E219" t="s">
        <v>142</v>
      </c>
      <c r="F219" t="s">
        <v>9</v>
      </c>
    </row>
    <row r="220" spans="1:6" x14ac:dyDescent="0.3">
      <c r="A220" t="s">
        <v>139</v>
      </c>
      <c r="B220" t="s">
        <v>140</v>
      </c>
      <c r="C220" t="str">
        <f>HYPERLINK("http://service.sap.com/sap/support/notes/1906186","1906186")</f>
        <v>1906186</v>
      </c>
      <c r="D220">
        <v>1</v>
      </c>
      <c r="E220" t="s">
        <v>1475</v>
      </c>
      <c r="F220" t="s">
        <v>9</v>
      </c>
    </row>
    <row r="221" spans="1:6" x14ac:dyDescent="0.3">
      <c r="A221" t="s">
        <v>139</v>
      </c>
      <c r="B221" t="s">
        <v>140</v>
      </c>
      <c r="C221" t="str">
        <f>HYPERLINK("http://service.sap.com/sap/support/notes/1945811","1945811")</f>
        <v>1945811</v>
      </c>
      <c r="D221">
        <v>1</v>
      </c>
      <c r="E221" t="s">
        <v>1476</v>
      </c>
      <c r="F221" t="s">
        <v>28</v>
      </c>
    </row>
    <row r="222" spans="1:6" x14ac:dyDescent="0.3">
      <c r="A222" t="s">
        <v>139</v>
      </c>
      <c r="B222" t="s">
        <v>140</v>
      </c>
      <c r="C222" t="str">
        <f>HYPERLINK("http://service.sap.com/sap/support/notes/1961096","1961096")</f>
        <v>1961096</v>
      </c>
      <c r="D222">
        <v>1</v>
      </c>
      <c r="E222" t="s">
        <v>1477</v>
      </c>
      <c r="F222" t="s">
        <v>9</v>
      </c>
    </row>
    <row r="223" spans="1:6" x14ac:dyDescent="0.3">
      <c r="A223" t="s">
        <v>139</v>
      </c>
      <c r="B223" t="s">
        <v>140</v>
      </c>
      <c r="C223" t="str">
        <f>HYPERLINK("http://service.sap.com/sap/support/notes/1970148","1970148")</f>
        <v>1970148</v>
      </c>
      <c r="D223">
        <v>1</v>
      </c>
      <c r="E223" t="s">
        <v>2062</v>
      </c>
      <c r="F223" t="s">
        <v>9</v>
      </c>
    </row>
    <row r="224" spans="1:6" x14ac:dyDescent="0.3">
      <c r="A224" t="s">
        <v>139</v>
      </c>
      <c r="B224" t="s">
        <v>140</v>
      </c>
      <c r="C224" t="str">
        <f>HYPERLINK("http://service.sap.com/sap/support/notes/1970148","1970148")</f>
        <v>1970148</v>
      </c>
      <c r="D224">
        <v>1</v>
      </c>
      <c r="E224" t="s">
        <v>2062</v>
      </c>
      <c r="F224" t="s">
        <v>9</v>
      </c>
    </row>
    <row r="225" spans="1:6" x14ac:dyDescent="0.3">
      <c r="A225" t="s">
        <v>139</v>
      </c>
      <c r="B225" t="s">
        <v>140</v>
      </c>
      <c r="C225" t="str">
        <f>HYPERLINK("http://service.sap.com/sap/support/notes/1976440","1976440")</f>
        <v>1976440</v>
      </c>
      <c r="D225">
        <v>4</v>
      </c>
      <c r="E225" t="s">
        <v>2391</v>
      </c>
      <c r="F225" t="s">
        <v>9</v>
      </c>
    </row>
    <row r="226" spans="1:6" x14ac:dyDescent="0.3">
      <c r="A226" t="s">
        <v>139</v>
      </c>
      <c r="B226" t="s">
        <v>140</v>
      </c>
      <c r="C226" t="str">
        <f>HYPERLINK("http://service.sap.com/sap/support/notes/1987397","1987397")</f>
        <v>1987397</v>
      </c>
      <c r="D226">
        <v>2</v>
      </c>
      <c r="E226" t="s">
        <v>2810</v>
      </c>
      <c r="F226" t="s">
        <v>9</v>
      </c>
    </row>
    <row r="227" spans="1:6" x14ac:dyDescent="0.3">
      <c r="A227" t="s">
        <v>139</v>
      </c>
      <c r="B227" t="s">
        <v>140</v>
      </c>
      <c r="C227" t="str">
        <f>HYPERLINK("http://service.sap.com/sap/support/notes/1988404","1988404")</f>
        <v>1988404</v>
      </c>
      <c r="D227">
        <v>2</v>
      </c>
      <c r="E227" t="s">
        <v>2811</v>
      </c>
      <c r="F227" t="s">
        <v>28</v>
      </c>
    </row>
    <row r="228" spans="1:6" x14ac:dyDescent="0.3">
      <c r="A228" t="s">
        <v>139</v>
      </c>
      <c r="B228" t="s">
        <v>140</v>
      </c>
      <c r="C228" t="str">
        <f>HYPERLINK("http://service.sap.com/sap/support/notes/1988676","1988676")</f>
        <v>1988676</v>
      </c>
      <c r="D228">
        <v>3</v>
      </c>
      <c r="E228" t="s">
        <v>2812</v>
      </c>
      <c r="F228" t="s">
        <v>9</v>
      </c>
    </row>
    <row r="229" spans="1:6" x14ac:dyDescent="0.3">
      <c r="A229" t="s">
        <v>139</v>
      </c>
      <c r="B229" t="s">
        <v>140</v>
      </c>
      <c r="C229" t="str">
        <f>HYPERLINK("http://service.sap.com/sap/support/notes/1989367","1989367")</f>
        <v>1989367</v>
      </c>
      <c r="D229">
        <v>5</v>
      </c>
      <c r="E229" t="s">
        <v>2813</v>
      </c>
      <c r="F229" t="s">
        <v>28</v>
      </c>
    </row>
    <row r="230" spans="1:6" x14ac:dyDescent="0.3">
      <c r="A230" t="s">
        <v>139</v>
      </c>
      <c r="B230" t="s">
        <v>140</v>
      </c>
      <c r="C230" t="str">
        <f>HYPERLINK("http://service.sap.com/sap/support/notes/2022633","2022633")</f>
        <v>2022633</v>
      </c>
      <c r="D230">
        <v>1</v>
      </c>
      <c r="E230" t="s">
        <v>4386</v>
      </c>
      <c r="F230" t="s">
        <v>9</v>
      </c>
    </row>
    <row r="231" spans="1:6" x14ac:dyDescent="0.3">
      <c r="A231" t="s">
        <v>139</v>
      </c>
      <c r="B231" t="s">
        <v>140</v>
      </c>
      <c r="C231" t="str">
        <f>HYPERLINK("http://service.sap.com/sap/support/notes/2027495","2027495")</f>
        <v>2027495</v>
      </c>
      <c r="D231">
        <v>1</v>
      </c>
      <c r="E231" t="s">
        <v>4387</v>
      </c>
      <c r="F231" t="s">
        <v>9</v>
      </c>
    </row>
    <row r="232" spans="1:6" x14ac:dyDescent="0.3">
      <c r="A232" t="s">
        <v>139</v>
      </c>
      <c r="B232" t="s">
        <v>140</v>
      </c>
      <c r="C232" t="str">
        <f>HYPERLINK("http://service.sap.com/sap/support/notes/2056874","2056874")</f>
        <v>2056874</v>
      </c>
      <c r="D232">
        <v>1</v>
      </c>
      <c r="E232" t="s">
        <v>5396</v>
      </c>
      <c r="F232" t="s">
        <v>9</v>
      </c>
    </row>
    <row r="233" spans="1:6" x14ac:dyDescent="0.3">
      <c r="A233" t="s">
        <v>139</v>
      </c>
      <c r="B233" t="s">
        <v>140</v>
      </c>
      <c r="C233" t="str">
        <f>HYPERLINK("http://service.sap.com/sap/support/notes/2064930","2064930")</f>
        <v>2064930</v>
      </c>
      <c r="D233">
        <v>1</v>
      </c>
      <c r="E233" t="s">
        <v>5397</v>
      </c>
      <c r="F233" t="s">
        <v>9</v>
      </c>
    </row>
    <row r="234" spans="1:6" x14ac:dyDescent="0.3">
      <c r="A234" t="s">
        <v>143</v>
      </c>
      <c r="B234" t="s">
        <v>144</v>
      </c>
      <c r="C234" t="str">
        <f>HYPERLINK("http://service.sap.com/sap/support/notes/1841591","1841591")</f>
        <v>1841591</v>
      </c>
      <c r="D234">
        <v>15</v>
      </c>
      <c r="E234" t="s">
        <v>145</v>
      </c>
      <c r="F234" t="s">
        <v>9</v>
      </c>
    </row>
    <row r="235" spans="1:6" x14ac:dyDescent="0.3">
      <c r="A235" t="s">
        <v>143</v>
      </c>
      <c r="B235" t="s">
        <v>144</v>
      </c>
      <c r="C235" t="str">
        <f>HYPERLINK("http://service.sap.com/sap/support/notes/1892144","1892144")</f>
        <v>1892144</v>
      </c>
      <c r="D235">
        <v>4</v>
      </c>
      <c r="E235" t="s">
        <v>146</v>
      </c>
      <c r="F235" t="s">
        <v>9</v>
      </c>
    </row>
    <row r="236" spans="1:6" x14ac:dyDescent="0.3">
      <c r="A236" t="s">
        <v>143</v>
      </c>
      <c r="B236" t="s">
        <v>144</v>
      </c>
      <c r="C236" t="str">
        <f>HYPERLINK("http://service.sap.com/sap/support/notes/1906281","1906281")</f>
        <v>1906281</v>
      </c>
      <c r="D236">
        <v>10</v>
      </c>
      <c r="E236" t="s">
        <v>147</v>
      </c>
      <c r="F236" t="s">
        <v>9</v>
      </c>
    </row>
    <row r="237" spans="1:6" x14ac:dyDescent="0.3">
      <c r="A237" t="s">
        <v>143</v>
      </c>
      <c r="B237" t="s">
        <v>144</v>
      </c>
      <c r="C237" t="str">
        <f>HYPERLINK("http://service.sap.com/sap/support/notes/1917486","1917486")</f>
        <v>1917486</v>
      </c>
      <c r="D237">
        <v>1</v>
      </c>
      <c r="E237" t="s">
        <v>148</v>
      </c>
      <c r="F237" t="s">
        <v>28</v>
      </c>
    </row>
    <row r="238" spans="1:6" x14ac:dyDescent="0.3">
      <c r="A238" t="s">
        <v>143</v>
      </c>
      <c r="B238" t="s">
        <v>144</v>
      </c>
      <c r="C238" t="str">
        <f>HYPERLINK("http://service.sap.com/sap/support/notes/1841591","1841591")</f>
        <v>1841591</v>
      </c>
      <c r="D238">
        <v>15</v>
      </c>
      <c r="E238" t="s">
        <v>145</v>
      </c>
      <c r="F238" t="s">
        <v>9</v>
      </c>
    </row>
    <row r="239" spans="1:6" x14ac:dyDescent="0.3">
      <c r="A239" t="s">
        <v>143</v>
      </c>
      <c r="B239" t="s">
        <v>144</v>
      </c>
      <c r="C239" t="str">
        <f>HYPERLINK("http://service.sap.com/sap/support/notes/1950728","1950728")</f>
        <v>1950728</v>
      </c>
      <c r="D239">
        <v>3</v>
      </c>
      <c r="E239" t="s">
        <v>1478</v>
      </c>
      <c r="F239" t="s">
        <v>9</v>
      </c>
    </row>
    <row r="240" spans="1:6" x14ac:dyDescent="0.3">
      <c r="A240" t="s">
        <v>143</v>
      </c>
      <c r="B240" t="s">
        <v>144</v>
      </c>
      <c r="C240" t="str">
        <f>HYPERLINK("http://service.sap.com/sap/support/notes/1956000","1956000")</f>
        <v>1956000</v>
      </c>
      <c r="D240">
        <v>1</v>
      </c>
      <c r="E240" t="s">
        <v>1479</v>
      </c>
      <c r="F240" t="s">
        <v>16</v>
      </c>
    </row>
    <row r="241" spans="1:6" x14ac:dyDescent="0.3">
      <c r="A241" t="s">
        <v>143</v>
      </c>
      <c r="B241" t="s">
        <v>144</v>
      </c>
      <c r="C241" t="str">
        <f>HYPERLINK("http://service.sap.com/sap/support/notes/1966910","1966910")</f>
        <v>1966910</v>
      </c>
      <c r="D241">
        <v>1</v>
      </c>
      <c r="E241" t="s">
        <v>2063</v>
      </c>
      <c r="F241" t="s">
        <v>9</v>
      </c>
    </row>
    <row r="242" spans="1:6" x14ac:dyDescent="0.3">
      <c r="A242" t="s">
        <v>143</v>
      </c>
      <c r="B242" t="s">
        <v>144</v>
      </c>
      <c r="C242" t="str">
        <f>HYPERLINK("http://service.sap.com/sap/support/notes/1978470","1978470")</f>
        <v>1978470</v>
      </c>
      <c r="D242">
        <v>1</v>
      </c>
      <c r="E242" t="s">
        <v>2392</v>
      </c>
      <c r="F242" t="s">
        <v>9</v>
      </c>
    </row>
    <row r="243" spans="1:6" x14ac:dyDescent="0.3">
      <c r="A243" t="s">
        <v>143</v>
      </c>
      <c r="B243" t="s">
        <v>144</v>
      </c>
      <c r="C243" t="str">
        <f>HYPERLINK("http://service.sap.com/sap/support/notes/1889536","1889536")</f>
        <v>1889536</v>
      </c>
      <c r="D243">
        <v>5</v>
      </c>
      <c r="E243" t="s">
        <v>3338</v>
      </c>
      <c r="F243" t="s">
        <v>9</v>
      </c>
    </row>
    <row r="244" spans="1:6" x14ac:dyDescent="0.3">
      <c r="A244" t="s">
        <v>143</v>
      </c>
      <c r="B244" t="s">
        <v>144</v>
      </c>
      <c r="C244" t="str">
        <f>HYPERLINK("http://service.sap.com/sap/support/notes/1971056","1971056")</f>
        <v>1971056</v>
      </c>
      <c r="D244">
        <v>3</v>
      </c>
      <c r="E244" t="s">
        <v>3339</v>
      </c>
      <c r="F244" t="s">
        <v>9</v>
      </c>
    </row>
    <row r="245" spans="1:6" x14ac:dyDescent="0.3">
      <c r="A245" t="s">
        <v>143</v>
      </c>
      <c r="B245" t="s">
        <v>144</v>
      </c>
      <c r="C245" t="str">
        <f>HYPERLINK("http://service.sap.com/sap/support/notes/1973863","1973863")</f>
        <v>1973863</v>
      </c>
      <c r="D245">
        <v>4</v>
      </c>
      <c r="E245" t="s">
        <v>3340</v>
      </c>
      <c r="F245" t="s">
        <v>9</v>
      </c>
    </row>
    <row r="246" spans="1:6" x14ac:dyDescent="0.3">
      <c r="A246" t="s">
        <v>143</v>
      </c>
      <c r="B246" t="s">
        <v>144</v>
      </c>
      <c r="C246" t="str">
        <f>HYPERLINK("http://service.sap.com/sap/support/notes/1996451","1996451")</f>
        <v>1996451</v>
      </c>
      <c r="D246">
        <v>1</v>
      </c>
      <c r="E246" t="s">
        <v>3341</v>
      </c>
      <c r="F246" t="s">
        <v>9</v>
      </c>
    </row>
    <row r="247" spans="1:6" x14ac:dyDescent="0.3">
      <c r="A247" t="s">
        <v>143</v>
      </c>
      <c r="B247" t="s">
        <v>144</v>
      </c>
      <c r="C247" t="str">
        <f>HYPERLINK("http://service.sap.com/sap/support/notes/2024147","2024147")</f>
        <v>2024147</v>
      </c>
      <c r="D247">
        <v>6</v>
      </c>
      <c r="E247" t="s">
        <v>5398</v>
      </c>
      <c r="F247" t="s">
        <v>9</v>
      </c>
    </row>
    <row r="248" spans="1:6" x14ac:dyDescent="0.3">
      <c r="A248" t="s">
        <v>149</v>
      </c>
      <c r="B248" t="s">
        <v>150</v>
      </c>
      <c r="C248" t="str">
        <f>HYPERLINK("http://service.sap.com/sap/support/notes/1746271","1746271")</f>
        <v>1746271</v>
      </c>
      <c r="D248">
        <v>2</v>
      </c>
      <c r="E248" t="s">
        <v>151</v>
      </c>
      <c r="F248" t="s">
        <v>9</v>
      </c>
    </row>
    <row r="249" spans="1:6" x14ac:dyDescent="0.3">
      <c r="A249" t="s">
        <v>149</v>
      </c>
      <c r="B249" t="s">
        <v>150</v>
      </c>
      <c r="C249" t="str">
        <f>HYPERLINK("http://service.sap.com/sap/support/notes/1759326","1759326")</f>
        <v>1759326</v>
      </c>
      <c r="D249">
        <v>3</v>
      </c>
      <c r="E249" t="s">
        <v>152</v>
      </c>
      <c r="F249" t="s">
        <v>9</v>
      </c>
    </row>
    <row r="250" spans="1:6" x14ac:dyDescent="0.3">
      <c r="A250" t="s">
        <v>153</v>
      </c>
      <c r="B250" t="s">
        <v>154</v>
      </c>
      <c r="C250" t="str">
        <f>HYPERLINK("http://service.sap.com/sap/support/notes/1916836","1916836")</f>
        <v>1916836</v>
      </c>
      <c r="D250">
        <v>1</v>
      </c>
      <c r="E250" t="s">
        <v>155</v>
      </c>
      <c r="F250" t="s">
        <v>9</v>
      </c>
    </row>
    <row r="251" spans="1:6" x14ac:dyDescent="0.3">
      <c r="A251" t="s">
        <v>153</v>
      </c>
      <c r="B251" t="s">
        <v>154</v>
      </c>
      <c r="C251" t="str">
        <f>HYPERLINK("http://service.sap.com/sap/support/notes/1951591","1951591")</f>
        <v>1951591</v>
      </c>
      <c r="D251">
        <v>6</v>
      </c>
      <c r="E251" t="s">
        <v>3342</v>
      </c>
      <c r="F251" t="s">
        <v>9</v>
      </c>
    </row>
    <row r="252" spans="1:6" x14ac:dyDescent="0.3">
      <c r="A252" t="s">
        <v>153</v>
      </c>
      <c r="B252" t="s">
        <v>154</v>
      </c>
      <c r="C252" t="str">
        <f>HYPERLINK("http://service.sap.com/sap/support/notes/1994518","1994518")</f>
        <v>1994518</v>
      </c>
      <c r="D252">
        <v>2</v>
      </c>
      <c r="E252" t="s">
        <v>3343</v>
      </c>
      <c r="F252" t="s">
        <v>9</v>
      </c>
    </row>
    <row r="253" spans="1:6" x14ac:dyDescent="0.3">
      <c r="A253" t="s">
        <v>153</v>
      </c>
      <c r="B253" t="s">
        <v>154</v>
      </c>
      <c r="C253" t="str">
        <f>HYPERLINK("http://service.sap.com/sap/support/notes/1994740","1994740")</f>
        <v>1994740</v>
      </c>
      <c r="D253">
        <v>3</v>
      </c>
      <c r="E253" t="s">
        <v>4025</v>
      </c>
      <c r="F253" t="s">
        <v>9</v>
      </c>
    </row>
    <row r="254" spans="1:6" x14ac:dyDescent="0.3">
      <c r="A254" t="s">
        <v>153</v>
      </c>
      <c r="B254" t="s">
        <v>154</v>
      </c>
      <c r="C254" t="str">
        <f>HYPERLINK("http://service.sap.com/sap/support/notes/2045824","2045824")</f>
        <v>2045824</v>
      </c>
      <c r="D254">
        <v>4</v>
      </c>
      <c r="E254" t="s">
        <v>5063</v>
      </c>
      <c r="F254" t="s">
        <v>16</v>
      </c>
    </row>
    <row r="255" spans="1:6" x14ac:dyDescent="0.3">
      <c r="A255" t="s">
        <v>156</v>
      </c>
      <c r="B255" t="s">
        <v>157</v>
      </c>
      <c r="C255" t="str">
        <f>HYPERLINK("http://service.sap.com/sap/support/notes/1861059","1861059")</f>
        <v>1861059</v>
      </c>
      <c r="D255">
        <v>2</v>
      </c>
      <c r="E255" t="s">
        <v>158</v>
      </c>
      <c r="F255" t="s">
        <v>9</v>
      </c>
    </row>
    <row r="256" spans="1:6" x14ac:dyDescent="0.3">
      <c r="A256" t="s">
        <v>156</v>
      </c>
      <c r="B256" t="s">
        <v>157</v>
      </c>
      <c r="C256" t="str">
        <f>HYPERLINK("http://service.sap.com/sap/support/notes/1956539","1956539")</f>
        <v>1956539</v>
      </c>
      <c r="D256">
        <v>1</v>
      </c>
      <c r="E256" t="s">
        <v>1480</v>
      </c>
      <c r="F256" t="s">
        <v>16</v>
      </c>
    </row>
    <row r="257" spans="1:6" x14ac:dyDescent="0.3">
      <c r="A257" t="s">
        <v>156</v>
      </c>
      <c r="B257" t="s">
        <v>157</v>
      </c>
      <c r="C257" t="str">
        <f>HYPERLINK("http://service.sap.com/sap/support/notes/1965059","1965059")</f>
        <v>1965059</v>
      </c>
      <c r="D257">
        <v>1</v>
      </c>
      <c r="E257" t="s">
        <v>2393</v>
      </c>
      <c r="F257" t="s">
        <v>9</v>
      </c>
    </row>
    <row r="258" spans="1:6" x14ac:dyDescent="0.3">
      <c r="A258" t="s">
        <v>156</v>
      </c>
      <c r="B258" t="s">
        <v>157</v>
      </c>
      <c r="C258" t="str">
        <f>HYPERLINK("http://service.sap.com/sap/support/notes/1980909","1980909")</f>
        <v>1980909</v>
      </c>
      <c r="D258">
        <v>2</v>
      </c>
      <c r="E258" t="s">
        <v>2394</v>
      </c>
      <c r="F258" t="s">
        <v>9</v>
      </c>
    </row>
    <row r="259" spans="1:6" x14ac:dyDescent="0.3">
      <c r="A259" t="s">
        <v>156</v>
      </c>
      <c r="B259" t="s">
        <v>157</v>
      </c>
      <c r="C259" t="str">
        <f>HYPERLINK("http://service.sap.com/sap/support/notes/1942361","1942361")</f>
        <v>1942361</v>
      </c>
      <c r="D259">
        <v>1</v>
      </c>
      <c r="E259" t="s">
        <v>3344</v>
      </c>
      <c r="F259" t="s">
        <v>9</v>
      </c>
    </row>
    <row r="260" spans="1:6" x14ac:dyDescent="0.3">
      <c r="A260" t="s">
        <v>156</v>
      </c>
      <c r="B260" t="s">
        <v>157</v>
      </c>
      <c r="C260" t="str">
        <f>HYPERLINK("http://service.sap.com/sap/support/notes/2067968","2067968")</f>
        <v>2067968</v>
      </c>
      <c r="D260">
        <v>1</v>
      </c>
      <c r="E260" t="s">
        <v>5399</v>
      </c>
      <c r="F260" t="s">
        <v>9</v>
      </c>
    </row>
    <row r="261" spans="1:6" x14ac:dyDescent="0.3">
      <c r="A261" t="s">
        <v>159</v>
      </c>
      <c r="B261" t="s">
        <v>160</v>
      </c>
      <c r="C261" t="str">
        <f>HYPERLINK("http://service.sap.com/sap/support/notes/700094","700094")</f>
        <v>700094</v>
      </c>
      <c r="D261">
        <v>9</v>
      </c>
      <c r="E261" t="s">
        <v>161</v>
      </c>
      <c r="F261" t="s">
        <v>16</v>
      </c>
    </row>
    <row r="262" spans="1:6" x14ac:dyDescent="0.3">
      <c r="A262" t="s">
        <v>159</v>
      </c>
      <c r="B262" t="s">
        <v>160</v>
      </c>
      <c r="C262" t="str">
        <f>HYPERLINK("http://service.sap.com/sap/support/notes/1917279","1917279")</f>
        <v>1917279</v>
      </c>
      <c r="D262">
        <v>2</v>
      </c>
      <c r="E262" t="s">
        <v>162</v>
      </c>
      <c r="F262" t="s">
        <v>9</v>
      </c>
    </row>
    <row r="263" spans="1:6" x14ac:dyDescent="0.3">
      <c r="A263" t="s">
        <v>159</v>
      </c>
      <c r="B263" t="s">
        <v>160</v>
      </c>
      <c r="C263" t="str">
        <f>HYPERLINK("http://service.sap.com/sap/support/notes/1917788","1917788")</f>
        <v>1917788</v>
      </c>
      <c r="D263">
        <v>1</v>
      </c>
      <c r="E263" t="s">
        <v>163</v>
      </c>
      <c r="F263" t="s">
        <v>9</v>
      </c>
    </row>
    <row r="264" spans="1:6" x14ac:dyDescent="0.3">
      <c r="A264" t="s">
        <v>159</v>
      </c>
      <c r="B264" t="s">
        <v>160</v>
      </c>
      <c r="C264" t="str">
        <f>HYPERLINK("http://service.sap.com/sap/support/notes/1956174","1956174")</f>
        <v>1956174</v>
      </c>
      <c r="D264">
        <v>1</v>
      </c>
      <c r="E264" t="s">
        <v>1481</v>
      </c>
      <c r="F264" t="s">
        <v>9</v>
      </c>
    </row>
    <row r="265" spans="1:6" x14ac:dyDescent="0.3">
      <c r="A265" t="s">
        <v>159</v>
      </c>
      <c r="B265" t="s">
        <v>160</v>
      </c>
      <c r="C265" t="str">
        <f>HYPERLINK("http://service.sap.com/sap/support/notes/1958054","1958054")</f>
        <v>1958054</v>
      </c>
      <c r="D265">
        <v>1</v>
      </c>
      <c r="E265" t="s">
        <v>1482</v>
      </c>
      <c r="F265" t="s">
        <v>9</v>
      </c>
    </row>
    <row r="266" spans="1:6" x14ac:dyDescent="0.3">
      <c r="A266" t="s">
        <v>159</v>
      </c>
      <c r="B266" t="s">
        <v>160</v>
      </c>
      <c r="C266" t="str">
        <f>HYPERLINK("http://service.sap.com/sap/support/notes/1964372","1964372")</f>
        <v>1964372</v>
      </c>
      <c r="D266">
        <v>2</v>
      </c>
      <c r="E266" t="s">
        <v>2064</v>
      </c>
      <c r="F266" t="s">
        <v>9</v>
      </c>
    </row>
    <row r="267" spans="1:6" x14ac:dyDescent="0.3">
      <c r="A267" t="s">
        <v>159</v>
      </c>
      <c r="B267" t="s">
        <v>160</v>
      </c>
      <c r="C267" t="str">
        <f>HYPERLINK("http://service.sap.com/sap/support/notes/1976228","1976228")</f>
        <v>1976228</v>
      </c>
      <c r="D267">
        <v>2</v>
      </c>
      <c r="E267" t="s">
        <v>2814</v>
      </c>
      <c r="F267" t="s">
        <v>9</v>
      </c>
    </row>
    <row r="268" spans="1:6" x14ac:dyDescent="0.3">
      <c r="A268" t="s">
        <v>159</v>
      </c>
      <c r="B268" t="s">
        <v>160</v>
      </c>
      <c r="C268" t="str">
        <f>HYPERLINK("http://service.sap.com/sap/support/notes/1935894","1935894")</f>
        <v>1935894</v>
      </c>
      <c r="D268">
        <v>5</v>
      </c>
      <c r="E268" t="s">
        <v>3345</v>
      </c>
      <c r="F268" t="s">
        <v>9</v>
      </c>
    </row>
    <row r="269" spans="1:6" x14ac:dyDescent="0.3">
      <c r="A269" t="s">
        <v>159</v>
      </c>
      <c r="B269" t="s">
        <v>160</v>
      </c>
      <c r="C269" t="str">
        <f>HYPERLINK("http://service.sap.com/sap/support/notes/1938917","1938917")</f>
        <v>1938917</v>
      </c>
      <c r="D269">
        <v>2</v>
      </c>
      <c r="E269" t="s">
        <v>3346</v>
      </c>
      <c r="F269" t="s">
        <v>9</v>
      </c>
    </row>
    <row r="270" spans="1:6" x14ac:dyDescent="0.3">
      <c r="A270" t="s">
        <v>159</v>
      </c>
      <c r="B270" t="s">
        <v>160</v>
      </c>
      <c r="C270" t="str">
        <f>HYPERLINK("http://service.sap.com/sap/support/notes/1994262","1994262")</f>
        <v>1994262</v>
      </c>
      <c r="D270">
        <v>3</v>
      </c>
      <c r="E270" t="s">
        <v>3347</v>
      </c>
      <c r="F270" t="s">
        <v>9</v>
      </c>
    </row>
    <row r="271" spans="1:6" x14ac:dyDescent="0.3">
      <c r="A271" t="s">
        <v>159</v>
      </c>
      <c r="B271" t="s">
        <v>160</v>
      </c>
      <c r="C271" t="str">
        <f>HYPERLINK("http://service.sap.com/sap/support/notes/1995277","1995277")</f>
        <v>1995277</v>
      </c>
      <c r="D271">
        <v>1</v>
      </c>
      <c r="E271" t="s">
        <v>3348</v>
      </c>
      <c r="F271" t="s">
        <v>16</v>
      </c>
    </row>
    <row r="272" spans="1:6" x14ac:dyDescent="0.3">
      <c r="A272" t="s">
        <v>159</v>
      </c>
      <c r="B272" t="s">
        <v>160</v>
      </c>
      <c r="C272" t="str">
        <f>HYPERLINK("http://service.sap.com/sap/support/notes/700094","700094")</f>
        <v>700094</v>
      </c>
      <c r="D272">
        <v>9</v>
      </c>
      <c r="E272" t="s">
        <v>161</v>
      </c>
      <c r="F272" t="s">
        <v>16</v>
      </c>
    </row>
    <row r="273" spans="1:6" x14ac:dyDescent="0.3">
      <c r="A273" t="s">
        <v>159</v>
      </c>
      <c r="B273" t="s">
        <v>160</v>
      </c>
      <c r="C273" t="str">
        <f>HYPERLINK("http://service.sap.com/sap/support/notes/700094","700094")</f>
        <v>700094</v>
      </c>
      <c r="D273">
        <v>9</v>
      </c>
      <c r="E273" t="s">
        <v>161</v>
      </c>
      <c r="F273" t="s">
        <v>16</v>
      </c>
    </row>
    <row r="274" spans="1:6" x14ac:dyDescent="0.3">
      <c r="A274" t="s">
        <v>164</v>
      </c>
      <c r="B274" t="s">
        <v>165</v>
      </c>
      <c r="C274" t="str">
        <f>HYPERLINK("http://service.sap.com/sap/support/notes/1901838","1901838")</f>
        <v>1901838</v>
      </c>
      <c r="D274">
        <v>2</v>
      </c>
      <c r="E274" t="s">
        <v>166</v>
      </c>
      <c r="F274" t="s">
        <v>9</v>
      </c>
    </row>
    <row r="275" spans="1:6" x14ac:dyDescent="0.3">
      <c r="A275" t="s">
        <v>164</v>
      </c>
      <c r="B275" t="s">
        <v>165</v>
      </c>
      <c r="C275" t="str">
        <f>HYPERLINK("http://service.sap.com/sap/support/notes/1903003","1903003")</f>
        <v>1903003</v>
      </c>
      <c r="D275">
        <v>3</v>
      </c>
      <c r="E275" t="s">
        <v>167</v>
      </c>
      <c r="F275" t="s">
        <v>9</v>
      </c>
    </row>
    <row r="276" spans="1:6" x14ac:dyDescent="0.3">
      <c r="A276" t="s">
        <v>164</v>
      </c>
      <c r="B276" t="s">
        <v>165</v>
      </c>
      <c r="C276" t="str">
        <f>HYPERLINK("http://service.sap.com/sap/support/notes/1922513","1922513")</f>
        <v>1922513</v>
      </c>
      <c r="D276">
        <v>1</v>
      </c>
      <c r="E276" t="s">
        <v>168</v>
      </c>
      <c r="F276" t="s">
        <v>9</v>
      </c>
    </row>
    <row r="277" spans="1:6" x14ac:dyDescent="0.3">
      <c r="A277" t="s">
        <v>164</v>
      </c>
      <c r="B277" t="s">
        <v>165</v>
      </c>
      <c r="C277" t="str">
        <f>HYPERLINK("http://service.sap.com/sap/support/notes/1923895","1923895")</f>
        <v>1923895</v>
      </c>
      <c r="D277">
        <v>3</v>
      </c>
      <c r="E277" t="s">
        <v>169</v>
      </c>
      <c r="F277" t="s">
        <v>9</v>
      </c>
    </row>
    <row r="278" spans="1:6" x14ac:dyDescent="0.3">
      <c r="A278" t="s">
        <v>164</v>
      </c>
      <c r="B278" t="s">
        <v>165</v>
      </c>
      <c r="C278" t="str">
        <f>HYPERLINK("http://service.sap.com/sap/support/notes/1929310","1929310")</f>
        <v>1929310</v>
      </c>
      <c r="D278">
        <v>2</v>
      </c>
      <c r="E278" t="s">
        <v>170</v>
      </c>
      <c r="F278" t="s">
        <v>9</v>
      </c>
    </row>
    <row r="279" spans="1:6" x14ac:dyDescent="0.3">
      <c r="A279" t="s">
        <v>164</v>
      </c>
      <c r="B279" t="s">
        <v>165</v>
      </c>
      <c r="C279" t="str">
        <f>HYPERLINK("http://service.sap.com/sap/support/notes/1941227","1941227")</f>
        <v>1941227</v>
      </c>
      <c r="D279">
        <v>2</v>
      </c>
      <c r="E279" t="s">
        <v>1483</v>
      </c>
      <c r="F279" t="s">
        <v>9</v>
      </c>
    </row>
    <row r="280" spans="1:6" x14ac:dyDescent="0.3">
      <c r="A280" t="s">
        <v>164</v>
      </c>
      <c r="B280" t="s">
        <v>2065</v>
      </c>
      <c r="C280" t="str">
        <f>HYPERLINK("http://service.sap.com/sap/support/notes/1947540","1947540")</f>
        <v>1947540</v>
      </c>
      <c r="D280">
        <v>2</v>
      </c>
      <c r="E280" t="s">
        <v>2066</v>
      </c>
      <c r="F280" t="s">
        <v>9</v>
      </c>
    </row>
    <row r="281" spans="1:6" x14ac:dyDescent="0.3">
      <c r="A281" t="s">
        <v>164</v>
      </c>
      <c r="B281" t="s">
        <v>2065</v>
      </c>
      <c r="C281" t="str">
        <f>HYPERLINK("http://service.sap.com/sap/support/notes/1954642","1954642")</f>
        <v>1954642</v>
      </c>
      <c r="D281">
        <v>2</v>
      </c>
      <c r="E281" t="s">
        <v>2067</v>
      </c>
      <c r="F281" t="s">
        <v>9</v>
      </c>
    </row>
    <row r="282" spans="1:6" x14ac:dyDescent="0.3">
      <c r="A282" t="s">
        <v>164</v>
      </c>
      <c r="B282" t="s">
        <v>2065</v>
      </c>
      <c r="C282" t="str">
        <f>HYPERLINK("http://service.sap.com/sap/support/notes/1970940","1970940")</f>
        <v>1970940</v>
      </c>
      <c r="D282">
        <v>3</v>
      </c>
      <c r="E282" t="s">
        <v>2395</v>
      </c>
      <c r="F282" t="s">
        <v>9</v>
      </c>
    </row>
    <row r="283" spans="1:6" x14ac:dyDescent="0.3">
      <c r="A283" t="s">
        <v>164</v>
      </c>
      <c r="B283" t="s">
        <v>165</v>
      </c>
      <c r="C283" t="str">
        <f>HYPERLINK("http://service.sap.com/sap/support/notes/1957379","1957379")</f>
        <v>1957379</v>
      </c>
      <c r="D283">
        <v>2</v>
      </c>
      <c r="E283" t="s">
        <v>2815</v>
      </c>
      <c r="F283" t="s">
        <v>9</v>
      </c>
    </row>
    <row r="284" spans="1:6" x14ac:dyDescent="0.3">
      <c r="A284" t="s">
        <v>164</v>
      </c>
      <c r="B284" t="s">
        <v>165</v>
      </c>
      <c r="C284" t="str">
        <f>HYPERLINK("http://service.sap.com/sap/support/notes/1979651","1979651")</f>
        <v>1979651</v>
      </c>
      <c r="D284">
        <v>2</v>
      </c>
      <c r="E284" t="s">
        <v>2816</v>
      </c>
      <c r="F284" t="s">
        <v>9</v>
      </c>
    </row>
    <row r="285" spans="1:6" x14ac:dyDescent="0.3">
      <c r="A285" t="s">
        <v>164</v>
      </c>
      <c r="B285" t="s">
        <v>165</v>
      </c>
      <c r="C285" t="str">
        <f>HYPERLINK("http://service.sap.com/sap/support/notes/1980802","1980802")</f>
        <v>1980802</v>
      </c>
      <c r="D285">
        <v>2</v>
      </c>
      <c r="E285" t="s">
        <v>2817</v>
      </c>
      <c r="F285" t="s">
        <v>9</v>
      </c>
    </row>
    <row r="286" spans="1:6" x14ac:dyDescent="0.3">
      <c r="A286" t="s">
        <v>164</v>
      </c>
      <c r="B286" t="s">
        <v>2065</v>
      </c>
      <c r="C286" t="str">
        <f>HYPERLINK("http://service.sap.com/sap/support/notes/2004159","2004159")</f>
        <v>2004159</v>
      </c>
      <c r="D286">
        <v>2</v>
      </c>
      <c r="E286" t="s">
        <v>4026</v>
      </c>
      <c r="F286" t="s">
        <v>9</v>
      </c>
    </row>
    <row r="287" spans="1:6" x14ac:dyDescent="0.3">
      <c r="A287" t="s">
        <v>164</v>
      </c>
      <c r="B287" t="s">
        <v>2065</v>
      </c>
      <c r="C287" t="str">
        <f>HYPERLINK("http://service.sap.com/sap/support/notes/1996162","1996162")</f>
        <v>1996162</v>
      </c>
      <c r="D287">
        <v>5</v>
      </c>
      <c r="E287" t="s">
        <v>4690</v>
      </c>
      <c r="F287" t="s">
        <v>9</v>
      </c>
    </row>
    <row r="288" spans="1:6" x14ac:dyDescent="0.3">
      <c r="A288" t="s">
        <v>164</v>
      </c>
      <c r="B288" t="s">
        <v>2065</v>
      </c>
      <c r="C288" t="str">
        <f>HYPERLINK("http://service.sap.com/sap/support/notes/2049999","2049999")</f>
        <v>2049999</v>
      </c>
      <c r="D288">
        <v>1</v>
      </c>
      <c r="E288" t="s">
        <v>5064</v>
      </c>
      <c r="F288" t="s">
        <v>9</v>
      </c>
    </row>
    <row r="289" spans="1:6" x14ac:dyDescent="0.3">
      <c r="A289" t="s">
        <v>171</v>
      </c>
      <c r="B289" t="s">
        <v>172</v>
      </c>
      <c r="C289" t="str">
        <f>HYPERLINK("http://service.sap.com/sap/support/notes/1914048","1914048")</f>
        <v>1914048</v>
      </c>
      <c r="D289">
        <v>1</v>
      </c>
      <c r="E289" t="s">
        <v>173</v>
      </c>
      <c r="F289" t="s">
        <v>9</v>
      </c>
    </row>
    <row r="290" spans="1:6" x14ac:dyDescent="0.3">
      <c r="A290" t="s">
        <v>171</v>
      </c>
      <c r="B290" t="s">
        <v>172</v>
      </c>
      <c r="C290" t="str">
        <f>HYPERLINK("http://service.sap.com/sap/support/notes/1940833","1940833")</f>
        <v>1940833</v>
      </c>
      <c r="D290">
        <v>1</v>
      </c>
      <c r="E290" t="s">
        <v>1141</v>
      </c>
      <c r="F290" t="s">
        <v>9</v>
      </c>
    </row>
    <row r="291" spans="1:6" x14ac:dyDescent="0.3">
      <c r="A291" t="s">
        <v>171</v>
      </c>
      <c r="B291" t="s">
        <v>172</v>
      </c>
      <c r="C291" t="str">
        <f>HYPERLINK("http://service.sap.com/sap/support/notes/1946821","1946821")</f>
        <v>1946821</v>
      </c>
      <c r="D291">
        <v>3</v>
      </c>
      <c r="E291" t="s">
        <v>1484</v>
      </c>
      <c r="F291" t="s">
        <v>9</v>
      </c>
    </row>
    <row r="292" spans="1:6" x14ac:dyDescent="0.3">
      <c r="A292" t="s">
        <v>171</v>
      </c>
      <c r="B292" t="s">
        <v>172</v>
      </c>
      <c r="C292" t="str">
        <f>HYPERLINK("http://service.sap.com/sap/support/notes/1949136","1949136")</f>
        <v>1949136</v>
      </c>
      <c r="D292">
        <v>1</v>
      </c>
      <c r="E292" t="s">
        <v>1485</v>
      </c>
      <c r="F292" t="s">
        <v>9</v>
      </c>
    </row>
    <row r="293" spans="1:6" x14ac:dyDescent="0.3">
      <c r="A293" t="s">
        <v>171</v>
      </c>
      <c r="B293" t="s">
        <v>172</v>
      </c>
      <c r="C293" t="str">
        <f>HYPERLINK("http://service.sap.com/sap/support/notes/1954129","1954129")</f>
        <v>1954129</v>
      </c>
      <c r="D293">
        <v>1</v>
      </c>
      <c r="E293" t="s">
        <v>1486</v>
      </c>
      <c r="F293" t="s">
        <v>9</v>
      </c>
    </row>
    <row r="294" spans="1:6" x14ac:dyDescent="0.3">
      <c r="A294" t="s">
        <v>171</v>
      </c>
      <c r="B294" t="s">
        <v>172</v>
      </c>
      <c r="C294" t="str">
        <f>HYPERLINK("http://service.sap.com/sap/support/notes/1963243","1963243")</f>
        <v>1963243</v>
      </c>
      <c r="D294">
        <v>1</v>
      </c>
      <c r="E294" t="s">
        <v>2068</v>
      </c>
      <c r="F294" t="s">
        <v>9</v>
      </c>
    </row>
    <row r="295" spans="1:6" x14ac:dyDescent="0.3">
      <c r="A295" t="s">
        <v>171</v>
      </c>
      <c r="B295" t="s">
        <v>172</v>
      </c>
      <c r="C295" t="str">
        <f>HYPERLINK("http://service.sap.com/sap/support/notes/1970248","1970248")</f>
        <v>1970248</v>
      </c>
      <c r="D295">
        <v>4</v>
      </c>
      <c r="E295" t="s">
        <v>2396</v>
      </c>
      <c r="F295" t="s">
        <v>9</v>
      </c>
    </row>
    <row r="296" spans="1:6" x14ac:dyDescent="0.3">
      <c r="A296" t="s">
        <v>171</v>
      </c>
      <c r="B296" t="s">
        <v>172</v>
      </c>
      <c r="C296" t="str">
        <f>HYPERLINK("http://service.sap.com/sap/support/notes/1974075","1974075")</f>
        <v>1974075</v>
      </c>
      <c r="D296">
        <v>2</v>
      </c>
      <c r="E296" t="s">
        <v>2397</v>
      </c>
      <c r="F296" t="s">
        <v>9</v>
      </c>
    </row>
    <row r="297" spans="1:6" x14ac:dyDescent="0.3">
      <c r="A297" t="s">
        <v>171</v>
      </c>
      <c r="B297" t="s">
        <v>172</v>
      </c>
      <c r="C297" t="str">
        <f>HYPERLINK("http://service.sap.com/sap/support/notes/1990342","1990342")</f>
        <v>1990342</v>
      </c>
      <c r="D297">
        <v>1</v>
      </c>
      <c r="E297" t="s">
        <v>2818</v>
      </c>
      <c r="F297" t="s">
        <v>9</v>
      </c>
    </row>
    <row r="298" spans="1:6" x14ac:dyDescent="0.3">
      <c r="A298" t="s">
        <v>171</v>
      </c>
      <c r="B298" t="s">
        <v>172</v>
      </c>
      <c r="C298" t="str">
        <f>HYPERLINK("http://service.sap.com/sap/support/notes/1993234","1993234")</f>
        <v>1993234</v>
      </c>
      <c r="D298">
        <v>3</v>
      </c>
      <c r="E298" t="s">
        <v>2819</v>
      </c>
      <c r="F298" t="s">
        <v>9</v>
      </c>
    </row>
    <row r="299" spans="1:6" x14ac:dyDescent="0.3">
      <c r="A299" t="s">
        <v>171</v>
      </c>
      <c r="B299" t="s">
        <v>172</v>
      </c>
      <c r="C299" t="str">
        <f>HYPERLINK("http://service.sap.com/sap/support/notes/1965226","1965226")</f>
        <v>1965226</v>
      </c>
      <c r="D299">
        <v>5</v>
      </c>
      <c r="E299" t="s">
        <v>3349</v>
      </c>
      <c r="F299" t="s">
        <v>9</v>
      </c>
    </row>
    <row r="300" spans="1:6" x14ac:dyDescent="0.3">
      <c r="A300" t="s">
        <v>171</v>
      </c>
      <c r="B300" t="s">
        <v>172</v>
      </c>
      <c r="C300" t="str">
        <f>HYPERLINK("http://service.sap.com/sap/support/notes/1994970","1994970")</f>
        <v>1994970</v>
      </c>
      <c r="D300">
        <v>2</v>
      </c>
      <c r="E300" t="s">
        <v>3350</v>
      </c>
      <c r="F300" t="s">
        <v>9</v>
      </c>
    </row>
    <row r="301" spans="1:6" x14ac:dyDescent="0.3">
      <c r="A301" t="s">
        <v>171</v>
      </c>
      <c r="B301" t="s">
        <v>172</v>
      </c>
      <c r="C301" t="str">
        <f>HYPERLINK("http://service.sap.com/sap/support/notes/1999302","1999302")</f>
        <v>1999302</v>
      </c>
      <c r="D301">
        <v>1</v>
      </c>
      <c r="E301" t="s">
        <v>3351</v>
      </c>
      <c r="F301" t="s">
        <v>9</v>
      </c>
    </row>
    <row r="302" spans="1:6" x14ac:dyDescent="0.3">
      <c r="A302" t="s">
        <v>171</v>
      </c>
      <c r="B302" t="s">
        <v>172</v>
      </c>
      <c r="C302" t="str">
        <f>HYPERLINK("http://service.sap.com/sap/support/notes/2009615","2009615")</f>
        <v>2009615</v>
      </c>
      <c r="D302">
        <v>1</v>
      </c>
      <c r="E302" t="s">
        <v>3352</v>
      </c>
      <c r="F302" t="s">
        <v>9</v>
      </c>
    </row>
    <row r="303" spans="1:6" x14ac:dyDescent="0.3">
      <c r="A303" t="s">
        <v>171</v>
      </c>
      <c r="B303" t="s">
        <v>172</v>
      </c>
      <c r="C303" t="str">
        <f>HYPERLINK("http://service.sap.com/sap/support/notes/2022670","2022670")</f>
        <v>2022670</v>
      </c>
      <c r="D303">
        <v>1</v>
      </c>
      <c r="E303" t="s">
        <v>4388</v>
      </c>
      <c r="F303" t="s">
        <v>9</v>
      </c>
    </row>
    <row r="304" spans="1:6" x14ac:dyDescent="0.3">
      <c r="A304" t="s">
        <v>171</v>
      </c>
      <c r="B304" t="s">
        <v>172</v>
      </c>
      <c r="C304" t="str">
        <f>HYPERLINK("http://service.sap.com/sap/support/notes/2022970","2022970")</f>
        <v>2022970</v>
      </c>
      <c r="D304">
        <v>1</v>
      </c>
      <c r="E304" t="s">
        <v>4389</v>
      </c>
      <c r="F304" t="s">
        <v>9</v>
      </c>
    </row>
    <row r="305" spans="1:6" x14ac:dyDescent="0.3">
      <c r="A305" t="s">
        <v>171</v>
      </c>
      <c r="B305" t="s">
        <v>172</v>
      </c>
      <c r="C305" t="str">
        <f>HYPERLINK("http://service.sap.com/sap/support/notes/2025360","2025360")</f>
        <v>2025360</v>
      </c>
      <c r="D305">
        <v>1</v>
      </c>
      <c r="E305" t="s">
        <v>4390</v>
      </c>
      <c r="F305" t="s">
        <v>9</v>
      </c>
    </row>
    <row r="306" spans="1:6" x14ac:dyDescent="0.3">
      <c r="A306" t="s">
        <v>171</v>
      </c>
      <c r="B306" t="s">
        <v>172</v>
      </c>
      <c r="C306" t="str">
        <f>HYPERLINK("http://service.sap.com/sap/support/notes/2026967","2026967")</f>
        <v>2026967</v>
      </c>
      <c r="D306">
        <v>1</v>
      </c>
      <c r="E306" t="s">
        <v>4391</v>
      </c>
      <c r="F306" t="s">
        <v>9</v>
      </c>
    </row>
    <row r="307" spans="1:6" x14ac:dyDescent="0.3">
      <c r="A307" t="s">
        <v>171</v>
      </c>
      <c r="B307" t="s">
        <v>172</v>
      </c>
      <c r="C307" t="str">
        <f>HYPERLINK("http://service.sap.com/sap/support/notes/2029879","2029879")</f>
        <v>2029879</v>
      </c>
      <c r="D307">
        <v>2</v>
      </c>
      <c r="E307" t="s">
        <v>4691</v>
      </c>
      <c r="F307" t="s">
        <v>9</v>
      </c>
    </row>
    <row r="308" spans="1:6" x14ac:dyDescent="0.3">
      <c r="A308" t="s">
        <v>171</v>
      </c>
      <c r="B308" t="s">
        <v>172</v>
      </c>
      <c r="C308" t="str">
        <f>HYPERLINK("http://service.sap.com/sap/support/notes/2033825","2033825")</f>
        <v>2033825</v>
      </c>
      <c r="D308">
        <v>1</v>
      </c>
      <c r="E308" t="s">
        <v>4692</v>
      </c>
      <c r="F308" t="s">
        <v>9</v>
      </c>
    </row>
    <row r="309" spans="1:6" x14ac:dyDescent="0.3">
      <c r="A309" t="s">
        <v>171</v>
      </c>
      <c r="B309" t="s">
        <v>172</v>
      </c>
      <c r="C309" t="str">
        <f>HYPERLINK("http://service.sap.com/sap/support/notes/2009241","2009241")</f>
        <v>2009241</v>
      </c>
      <c r="D309">
        <v>3</v>
      </c>
      <c r="E309" t="s">
        <v>5065</v>
      </c>
      <c r="F309" t="s">
        <v>9</v>
      </c>
    </row>
    <row r="310" spans="1:6" x14ac:dyDescent="0.3">
      <c r="A310" t="s">
        <v>171</v>
      </c>
      <c r="B310" t="s">
        <v>172</v>
      </c>
      <c r="C310" t="str">
        <f>HYPERLINK("http://service.sap.com/sap/support/notes/2043977","2043977")</f>
        <v>2043977</v>
      </c>
      <c r="D310">
        <v>1</v>
      </c>
      <c r="E310" t="s">
        <v>5400</v>
      </c>
      <c r="F310" t="s">
        <v>9</v>
      </c>
    </row>
    <row r="311" spans="1:6" x14ac:dyDescent="0.3">
      <c r="A311" t="s">
        <v>171</v>
      </c>
      <c r="B311" t="s">
        <v>172</v>
      </c>
      <c r="C311" t="str">
        <f>HYPERLINK("http://service.sap.com/sap/support/notes/2054912","2054912")</f>
        <v>2054912</v>
      </c>
      <c r="D311">
        <v>1</v>
      </c>
      <c r="E311" t="s">
        <v>5401</v>
      </c>
      <c r="F311" t="s">
        <v>9</v>
      </c>
    </row>
    <row r="312" spans="1:6" x14ac:dyDescent="0.3">
      <c r="A312" t="s">
        <v>171</v>
      </c>
      <c r="B312" t="s">
        <v>172</v>
      </c>
      <c r="C312" t="str">
        <f>HYPERLINK("http://service.sap.com/sap/support/notes/2058860","2058860")</f>
        <v>2058860</v>
      </c>
      <c r="D312">
        <v>3</v>
      </c>
      <c r="E312" t="s">
        <v>5402</v>
      </c>
      <c r="F312" t="s">
        <v>9</v>
      </c>
    </row>
    <row r="313" spans="1:6" x14ac:dyDescent="0.3">
      <c r="A313" t="s">
        <v>5066</v>
      </c>
      <c r="B313" t="s">
        <v>763</v>
      </c>
      <c r="C313" t="str">
        <f>HYPERLINK("http://service.sap.com/sap/support/notes/2052569","2052569")</f>
        <v>2052569</v>
      </c>
      <c r="D313">
        <v>1</v>
      </c>
      <c r="E313" t="s">
        <v>5067</v>
      </c>
      <c r="F313" t="s">
        <v>9</v>
      </c>
    </row>
    <row r="314" spans="1:6" x14ac:dyDescent="0.3">
      <c r="A314" t="s">
        <v>3353</v>
      </c>
      <c r="B314" t="s">
        <v>774</v>
      </c>
      <c r="C314" t="str">
        <f>HYPERLINK("http://service.sap.com/sap/support/notes/1984520","1984520")</f>
        <v>1984520</v>
      </c>
      <c r="D314">
        <v>1</v>
      </c>
      <c r="E314" t="s">
        <v>3354</v>
      </c>
      <c r="F314" t="s">
        <v>9</v>
      </c>
    </row>
    <row r="315" spans="1:6" x14ac:dyDescent="0.3">
      <c r="A315" t="s">
        <v>3353</v>
      </c>
      <c r="B315" t="s">
        <v>774</v>
      </c>
      <c r="C315" t="str">
        <f>HYPERLINK("http://service.sap.com/sap/support/notes/2023898","2023898")</f>
        <v>2023898</v>
      </c>
      <c r="D315">
        <v>1</v>
      </c>
      <c r="E315" t="s">
        <v>4693</v>
      </c>
      <c r="F315" t="s">
        <v>9</v>
      </c>
    </row>
    <row r="316" spans="1:6" x14ac:dyDescent="0.3">
      <c r="A316" t="s">
        <v>2069</v>
      </c>
      <c r="B316" t="s">
        <v>779</v>
      </c>
      <c r="C316" t="str">
        <f>HYPERLINK("http://service.sap.com/sap/support/notes/1962552","1962552")</f>
        <v>1962552</v>
      </c>
      <c r="D316">
        <v>2</v>
      </c>
      <c r="E316" t="s">
        <v>2070</v>
      </c>
      <c r="F316" t="s">
        <v>9</v>
      </c>
    </row>
    <row r="317" spans="1:6" x14ac:dyDescent="0.3">
      <c r="A317" t="s">
        <v>174</v>
      </c>
      <c r="B317" t="s">
        <v>175</v>
      </c>
      <c r="C317" t="str">
        <f>HYPERLINK("http://service.sap.com/sap/support/notes/448307","448307")</f>
        <v>448307</v>
      </c>
      <c r="D317">
        <v>1</v>
      </c>
      <c r="E317" t="s">
        <v>176</v>
      </c>
      <c r="F317" t="s">
        <v>28</v>
      </c>
    </row>
    <row r="318" spans="1:6" x14ac:dyDescent="0.3">
      <c r="A318" t="s">
        <v>174</v>
      </c>
      <c r="B318" t="s">
        <v>175</v>
      </c>
      <c r="C318" t="str">
        <f>HYPERLINK("http://service.sap.com/sap/support/notes/448307","448307")</f>
        <v>448307</v>
      </c>
      <c r="D318">
        <v>1</v>
      </c>
      <c r="E318" t="s">
        <v>176</v>
      </c>
      <c r="F318" t="s">
        <v>28</v>
      </c>
    </row>
    <row r="319" spans="1:6" x14ac:dyDescent="0.3">
      <c r="A319" t="s">
        <v>174</v>
      </c>
      <c r="B319" t="s">
        <v>175</v>
      </c>
      <c r="C319" t="str">
        <f>HYPERLINK("http://service.sap.com/sap/support/notes/448307","448307")</f>
        <v>448307</v>
      </c>
      <c r="D319">
        <v>1</v>
      </c>
      <c r="E319" t="s">
        <v>176</v>
      </c>
      <c r="F319" t="s">
        <v>28</v>
      </c>
    </row>
    <row r="320" spans="1:6" x14ac:dyDescent="0.3">
      <c r="A320" t="s">
        <v>174</v>
      </c>
      <c r="B320" t="s">
        <v>175</v>
      </c>
      <c r="C320" t="str">
        <f>HYPERLINK("http://service.sap.com/sap/support/notes/1985341","1985341")</f>
        <v>1985341</v>
      </c>
      <c r="D320">
        <v>1</v>
      </c>
      <c r="E320" t="s">
        <v>2820</v>
      </c>
      <c r="F320" t="s">
        <v>9</v>
      </c>
    </row>
    <row r="321" spans="1:6" x14ac:dyDescent="0.3">
      <c r="A321" t="s">
        <v>174</v>
      </c>
      <c r="B321" t="s">
        <v>175</v>
      </c>
      <c r="C321" t="str">
        <f>HYPERLINK("http://service.sap.com/sap/support/notes/448307","448307")</f>
        <v>448307</v>
      </c>
      <c r="D321">
        <v>1</v>
      </c>
      <c r="E321" t="s">
        <v>176</v>
      </c>
      <c r="F321" t="s">
        <v>28</v>
      </c>
    </row>
    <row r="322" spans="1:6" x14ac:dyDescent="0.3">
      <c r="A322" t="s">
        <v>174</v>
      </c>
      <c r="B322" t="s">
        <v>175</v>
      </c>
      <c r="C322" t="str">
        <f>HYPERLINK("http://service.sap.com/sap/support/notes/2019271","2019271")</f>
        <v>2019271</v>
      </c>
      <c r="D322">
        <v>1</v>
      </c>
      <c r="E322" t="s">
        <v>4027</v>
      </c>
      <c r="F322" t="s">
        <v>9</v>
      </c>
    </row>
    <row r="323" spans="1:6" x14ac:dyDescent="0.3">
      <c r="A323" t="s">
        <v>174</v>
      </c>
      <c r="B323" t="s">
        <v>175</v>
      </c>
      <c r="C323" t="str">
        <f>HYPERLINK("http://service.sap.com/sap/support/notes/2014854","2014854")</f>
        <v>2014854</v>
      </c>
      <c r="D323">
        <v>5</v>
      </c>
      <c r="E323" t="s">
        <v>4694</v>
      </c>
      <c r="F323" t="s">
        <v>28</v>
      </c>
    </row>
    <row r="324" spans="1:6" x14ac:dyDescent="0.3">
      <c r="A324" t="s">
        <v>174</v>
      </c>
      <c r="B324" t="s">
        <v>175</v>
      </c>
      <c r="C324" t="str">
        <f>HYPERLINK("http://service.sap.com/sap/support/notes/2040984","2040984")</f>
        <v>2040984</v>
      </c>
      <c r="D324">
        <v>7</v>
      </c>
      <c r="E324" t="s">
        <v>4695</v>
      </c>
      <c r="F324" t="s">
        <v>9</v>
      </c>
    </row>
    <row r="325" spans="1:6" x14ac:dyDescent="0.3">
      <c r="A325" t="s">
        <v>174</v>
      </c>
      <c r="B325" t="s">
        <v>175</v>
      </c>
      <c r="C325" t="str">
        <f>HYPERLINK("http://service.sap.com/sap/support/notes/2050744","2050744")</f>
        <v>2050744</v>
      </c>
      <c r="D325">
        <v>4</v>
      </c>
      <c r="E325" t="s">
        <v>5068</v>
      </c>
      <c r="F325" t="s">
        <v>28</v>
      </c>
    </row>
    <row r="326" spans="1:6" x14ac:dyDescent="0.3">
      <c r="A326" t="s">
        <v>177</v>
      </c>
      <c r="B326" t="s">
        <v>178</v>
      </c>
      <c r="C326" t="str">
        <f>HYPERLINK("http://service.sap.com/sap/support/notes/1909189","1909189")</f>
        <v>1909189</v>
      </c>
      <c r="D326">
        <v>1</v>
      </c>
      <c r="E326" t="s">
        <v>179</v>
      </c>
      <c r="F326" t="s">
        <v>9</v>
      </c>
    </row>
    <row r="327" spans="1:6" x14ac:dyDescent="0.3">
      <c r="A327" t="s">
        <v>177</v>
      </c>
      <c r="B327" t="s">
        <v>178</v>
      </c>
      <c r="C327" t="str">
        <f>HYPERLINK("http://service.sap.com/sap/support/notes/1912570","1912570")</f>
        <v>1912570</v>
      </c>
      <c r="D327">
        <v>2</v>
      </c>
      <c r="E327" t="s">
        <v>180</v>
      </c>
      <c r="F327" t="s">
        <v>9</v>
      </c>
    </row>
    <row r="328" spans="1:6" x14ac:dyDescent="0.3">
      <c r="A328" t="s">
        <v>177</v>
      </c>
      <c r="B328" t="s">
        <v>178</v>
      </c>
      <c r="C328" t="str">
        <f>HYPERLINK("http://service.sap.com/sap/support/notes/1914531","1914531")</f>
        <v>1914531</v>
      </c>
      <c r="D328">
        <v>2</v>
      </c>
      <c r="E328" t="s">
        <v>181</v>
      </c>
      <c r="F328" t="s">
        <v>9</v>
      </c>
    </row>
    <row r="329" spans="1:6" x14ac:dyDescent="0.3">
      <c r="A329" t="s">
        <v>177</v>
      </c>
      <c r="B329" t="s">
        <v>178</v>
      </c>
      <c r="C329" t="str">
        <f>HYPERLINK("http://service.sap.com/sap/support/notes/1918164","1918164")</f>
        <v>1918164</v>
      </c>
      <c r="D329">
        <v>2</v>
      </c>
      <c r="E329" t="s">
        <v>182</v>
      </c>
      <c r="F329" t="s">
        <v>9</v>
      </c>
    </row>
    <row r="330" spans="1:6" x14ac:dyDescent="0.3">
      <c r="A330" t="s">
        <v>177</v>
      </c>
      <c r="B330" t="s">
        <v>178</v>
      </c>
      <c r="C330" t="str">
        <f>HYPERLINK("http://service.sap.com/sap/support/notes/1923367","1923367")</f>
        <v>1923367</v>
      </c>
      <c r="D330">
        <v>1</v>
      </c>
      <c r="E330" t="s">
        <v>183</v>
      </c>
      <c r="F330" t="s">
        <v>9</v>
      </c>
    </row>
    <row r="331" spans="1:6" x14ac:dyDescent="0.3">
      <c r="A331" t="s">
        <v>177</v>
      </c>
      <c r="B331" t="s">
        <v>178</v>
      </c>
      <c r="C331" t="str">
        <f>HYPERLINK("http://service.sap.com/sap/support/notes/1924784","1924784")</f>
        <v>1924784</v>
      </c>
      <c r="D331">
        <v>1</v>
      </c>
      <c r="E331" t="s">
        <v>184</v>
      </c>
      <c r="F331" t="s">
        <v>9</v>
      </c>
    </row>
    <row r="332" spans="1:6" x14ac:dyDescent="0.3">
      <c r="A332" t="s">
        <v>177</v>
      </c>
      <c r="B332" t="s">
        <v>178</v>
      </c>
      <c r="C332" t="str">
        <f>HYPERLINK("http://service.sap.com/sap/support/notes/1932126","1932126")</f>
        <v>1932126</v>
      </c>
      <c r="D332">
        <v>1</v>
      </c>
      <c r="E332" t="s">
        <v>1142</v>
      </c>
      <c r="F332" t="s">
        <v>9</v>
      </c>
    </row>
    <row r="333" spans="1:6" x14ac:dyDescent="0.3">
      <c r="A333" t="s">
        <v>177</v>
      </c>
      <c r="B333" t="s">
        <v>178</v>
      </c>
      <c r="C333" t="str">
        <f>HYPERLINK("http://service.sap.com/sap/support/notes/1938227","1938227")</f>
        <v>1938227</v>
      </c>
      <c r="D333">
        <v>1</v>
      </c>
      <c r="E333" t="s">
        <v>1487</v>
      </c>
      <c r="F333" t="s">
        <v>9</v>
      </c>
    </row>
    <row r="334" spans="1:6" x14ac:dyDescent="0.3">
      <c r="A334" t="s">
        <v>177</v>
      </c>
      <c r="B334" t="s">
        <v>178</v>
      </c>
      <c r="C334" t="str">
        <f>HYPERLINK("http://service.sap.com/sap/support/notes/1940942","1940942")</f>
        <v>1940942</v>
      </c>
      <c r="D334">
        <v>1</v>
      </c>
      <c r="E334" t="s">
        <v>1488</v>
      </c>
      <c r="F334" t="s">
        <v>9</v>
      </c>
    </row>
    <row r="335" spans="1:6" x14ac:dyDescent="0.3">
      <c r="A335" t="s">
        <v>177</v>
      </c>
      <c r="B335" t="s">
        <v>178</v>
      </c>
      <c r="C335" t="str">
        <f>HYPERLINK("http://service.sap.com/sap/support/notes/1941003","1941003")</f>
        <v>1941003</v>
      </c>
      <c r="D335">
        <v>1</v>
      </c>
      <c r="E335" t="s">
        <v>1489</v>
      </c>
      <c r="F335" t="s">
        <v>9</v>
      </c>
    </row>
    <row r="336" spans="1:6" x14ac:dyDescent="0.3">
      <c r="A336" t="s">
        <v>177</v>
      </c>
      <c r="B336" t="s">
        <v>178</v>
      </c>
      <c r="C336" t="str">
        <f>HYPERLINK("http://service.sap.com/sap/support/notes/1942437","1942437")</f>
        <v>1942437</v>
      </c>
      <c r="D336">
        <v>3</v>
      </c>
      <c r="E336" t="s">
        <v>1490</v>
      </c>
      <c r="F336" t="s">
        <v>9</v>
      </c>
    </row>
    <row r="337" spans="1:6" x14ac:dyDescent="0.3">
      <c r="A337" t="s">
        <v>177</v>
      </c>
      <c r="B337" t="s">
        <v>178</v>
      </c>
      <c r="C337" t="str">
        <f>HYPERLINK("http://service.sap.com/sap/support/notes/1947916","1947916")</f>
        <v>1947916</v>
      </c>
      <c r="D337">
        <v>1</v>
      </c>
      <c r="E337" t="s">
        <v>1491</v>
      </c>
      <c r="F337" t="s">
        <v>9</v>
      </c>
    </row>
    <row r="338" spans="1:6" x14ac:dyDescent="0.3">
      <c r="A338" t="s">
        <v>177</v>
      </c>
      <c r="B338" t="s">
        <v>178</v>
      </c>
      <c r="C338" t="str">
        <f>HYPERLINK("http://service.sap.com/sap/support/notes/1943864","1943864")</f>
        <v>1943864</v>
      </c>
      <c r="D338">
        <v>1</v>
      </c>
      <c r="E338" t="s">
        <v>2398</v>
      </c>
      <c r="F338" t="s">
        <v>9</v>
      </c>
    </row>
    <row r="339" spans="1:6" x14ac:dyDescent="0.3">
      <c r="A339" t="s">
        <v>177</v>
      </c>
      <c r="B339" t="s">
        <v>178</v>
      </c>
      <c r="C339" t="str">
        <f>HYPERLINK("http://service.sap.com/sap/support/notes/1969456","1969456")</f>
        <v>1969456</v>
      </c>
      <c r="D339">
        <v>2</v>
      </c>
      <c r="E339" t="s">
        <v>2821</v>
      </c>
      <c r="F339" t="s">
        <v>9</v>
      </c>
    </row>
    <row r="340" spans="1:6" x14ac:dyDescent="0.3">
      <c r="A340" t="s">
        <v>177</v>
      </c>
      <c r="B340" t="s">
        <v>178</v>
      </c>
      <c r="C340" t="str">
        <f>HYPERLINK("http://service.sap.com/sap/support/notes/1983405","1983405")</f>
        <v>1983405</v>
      </c>
      <c r="D340">
        <v>2</v>
      </c>
      <c r="E340" t="s">
        <v>3355</v>
      </c>
      <c r="F340" t="s">
        <v>9</v>
      </c>
    </row>
    <row r="341" spans="1:6" x14ac:dyDescent="0.3">
      <c r="A341" t="s">
        <v>177</v>
      </c>
      <c r="B341" t="s">
        <v>178</v>
      </c>
      <c r="C341" t="str">
        <f>HYPERLINK("http://service.sap.com/sap/support/notes/1992422","1992422")</f>
        <v>1992422</v>
      </c>
      <c r="D341">
        <v>2</v>
      </c>
      <c r="E341" t="s">
        <v>3356</v>
      </c>
      <c r="F341" t="s">
        <v>9</v>
      </c>
    </row>
    <row r="342" spans="1:6" x14ac:dyDescent="0.3">
      <c r="A342" t="s">
        <v>177</v>
      </c>
      <c r="B342" t="s">
        <v>178</v>
      </c>
      <c r="C342" t="str">
        <f>HYPERLINK("http://service.sap.com/sap/support/notes/1998062","1998062")</f>
        <v>1998062</v>
      </c>
      <c r="D342">
        <v>2</v>
      </c>
      <c r="E342" t="s">
        <v>3357</v>
      </c>
      <c r="F342" t="s">
        <v>9</v>
      </c>
    </row>
    <row r="343" spans="1:6" x14ac:dyDescent="0.3">
      <c r="A343" t="s">
        <v>177</v>
      </c>
      <c r="B343" t="s">
        <v>178</v>
      </c>
      <c r="C343" t="str">
        <f>HYPERLINK("http://service.sap.com/sap/support/notes/1999790","1999790")</f>
        <v>1999790</v>
      </c>
      <c r="D343">
        <v>1</v>
      </c>
      <c r="E343" t="s">
        <v>3358</v>
      </c>
      <c r="F343" t="s">
        <v>9</v>
      </c>
    </row>
    <row r="344" spans="1:6" x14ac:dyDescent="0.3">
      <c r="A344" t="s">
        <v>177</v>
      </c>
      <c r="B344" t="s">
        <v>178</v>
      </c>
      <c r="C344" t="str">
        <f>HYPERLINK("http://service.sap.com/sap/support/notes/2001214","2001214")</f>
        <v>2001214</v>
      </c>
      <c r="D344">
        <v>1</v>
      </c>
      <c r="E344" t="s">
        <v>3359</v>
      </c>
      <c r="F344" t="s">
        <v>9</v>
      </c>
    </row>
    <row r="345" spans="1:6" x14ac:dyDescent="0.3">
      <c r="A345" t="s">
        <v>177</v>
      </c>
      <c r="B345" t="s">
        <v>178</v>
      </c>
      <c r="C345" t="str">
        <f>HYPERLINK("http://service.sap.com/sap/support/notes/2007906","2007906")</f>
        <v>2007906</v>
      </c>
      <c r="D345">
        <v>1</v>
      </c>
      <c r="E345" t="s">
        <v>3360</v>
      </c>
      <c r="F345" t="s">
        <v>9</v>
      </c>
    </row>
    <row r="346" spans="1:6" x14ac:dyDescent="0.3">
      <c r="A346" t="s">
        <v>177</v>
      </c>
      <c r="B346" t="s">
        <v>178</v>
      </c>
      <c r="C346" t="str">
        <f>HYPERLINK("http://service.sap.com/sap/support/notes/2003732","2003732")</f>
        <v>2003732</v>
      </c>
      <c r="D346">
        <v>2</v>
      </c>
      <c r="E346" t="s">
        <v>4028</v>
      </c>
      <c r="F346" t="s">
        <v>9</v>
      </c>
    </row>
    <row r="347" spans="1:6" x14ac:dyDescent="0.3">
      <c r="A347" t="s">
        <v>177</v>
      </c>
      <c r="B347" t="s">
        <v>178</v>
      </c>
      <c r="C347" t="str">
        <f>HYPERLINK("http://service.sap.com/sap/support/notes/2012924","2012924")</f>
        <v>2012924</v>
      </c>
      <c r="D347">
        <v>2</v>
      </c>
      <c r="E347" t="s">
        <v>4029</v>
      </c>
      <c r="F347" t="s">
        <v>9</v>
      </c>
    </row>
    <row r="348" spans="1:6" x14ac:dyDescent="0.3">
      <c r="A348" t="s">
        <v>177</v>
      </c>
      <c r="B348" t="s">
        <v>178</v>
      </c>
      <c r="C348" t="str">
        <f>HYPERLINK("http://service.sap.com/sap/support/notes/2024134","2024134")</f>
        <v>2024134</v>
      </c>
      <c r="D348">
        <v>1</v>
      </c>
      <c r="E348" t="s">
        <v>4392</v>
      </c>
      <c r="F348" t="s">
        <v>9</v>
      </c>
    </row>
    <row r="349" spans="1:6" x14ac:dyDescent="0.3">
      <c r="A349" t="s">
        <v>177</v>
      </c>
      <c r="B349" t="s">
        <v>178</v>
      </c>
      <c r="C349" t="str">
        <f>HYPERLINK("http://service.sap.com/sap/support/notes/2036264","2036264")</f>
        <v>2036264</v>
      </c>
      <c r="D349">
        <v>1</v>
      </c>
      <c r="E349" t="s">
        <v>4696</v>
      </c>
      <c r="F349" t="s">
        <v>9</v>
      </c>
    </row>
    <row r="350" spans="1:6" x14ac:dyDescent="0.3">
      <c r="A350" t="s">
        <v>177</v>
      </c>
      <c r="B350" t="s">
        <v>178</v>
      </c>
      <c r="C350" t="str">
        <f>HYPERLINK("http://service.sap.com/sap/support/notes/2041082","2041082")</f>
        <v>2041082</v>
      </c>
      <c r="D350">
        <v>4</v>
      </c>
      <c r="E350" t="s">
        <v>5069</v>
      </c>
      <c r="F350" t="s">
        <v>9</v>
      </c>
    </row>
    <row r="351" spans="1:6" x14ac:dyDescent="0.3">
      <c r="A351" t="s">
        <v>177</v>
      </c>
      <c r="B351" t="s">
        <v>178</v>
      </c>
      <c r="C351" t="str">
        <f>HYPERLINK("http://service.sap.com/sap/support/notes/2041625","2041625")</f>
        <v>2041625</v>
      </c>
      <c r="D351">
        <v>2</v>
      </c>
      <c r="E351" t="s">
        <v>5070</v>
      </c>
      <c r="F351" t="s">
        <v>9</v>
      </c>
    </row>
    <row r="352" spans="1:6" x14ac:dyDescent="0.3">
      <c r="A352" t="s">
        <v>177</v>
      </c>
      <c r="B352" t="s">
        <v>178</v>
      </c>
      <c r="C352" t="str">
        <f>HYPERLINK("http://service.sap.com/sap/support/notes/2048861","2048861")</f>
        <v>2048861</v>
      </c>
      <c r="D352">
        <v>2</v>
      </c>
      <c r="E352" t="s">
        <v>5071</v>
      </c>
      <c r="F352" t="s">
        <v>9</v>
      </c>
    </row>
    <row r="353" spans="1:6" x14ac:dyDescent="0.3">
      <c r="A353" t="s">
        <v>177</v>
      </c>
      <c r="B353" t="s">
        <v>178</v>
      </c>
      <c r="C353" t="str">
        <f>HYPERLINK("http://service.sap.com/sap/support/notes/2051500","2051500")</f>
        <v>2051500</v>
      </c>
      <c r="D353">
        <v>2</v>
      </c>
      <c r="E353" t="s">
        <v>5072</v>
      </c>
      <c r="F353" t="s">
        <v>9</v>
      </c>
    </row>
    <row r="354" spans="1:6" x14ac:dyDescent="0.3">
      <c r="A354" t="s">
        <v>177</v>
      </c>
      <c r="B354" t="s">
        <v>178</v>
      </c>
      <c r="C354" t="str">
        <f>HYPERLINK("http://service.sap.com/sap/support/notes/2041625","2041625")</f>
        <v>2041625</v>
      </c>
      <c r="D354">
        <v>2</v>
      </c>
      <c r="E354" t="s">
        <v>5070</v>
      </c>
      <c r="F354" t="s">
        <v>9</v>
      </c>
    </row>
    <row r="355" spans="1:6" x14ac:dyDescent="0.3">
      <c r="A355" t="s">
        <v>177</v>
      </c>
      <c r="B355" t="s">
        <v>178</v>
      </c>
      <c r="C355" t="str">
        <f>HYPERLINK("http://service.sap.com/sap/support/notes/2061351","2061351")</f>
        <v>2061351</v>
      </c>
      <c r="D355">
        <v>1</v>
      </c>
      <c r="E355" t="s">
        <v>5403</v>
      </c>
      <c r="F355" t="s">
        <v>9</v>
      </c>
    </row>
    <row r="356" spans="1:6" x14ac:dyDescent="0.3">
      <c r="A356" t="s">
        <v>177</v>
      </c>
      <c r="B356" t="s">
        <v>178</v>
      </c>
      <c r="C356" t="str">
        <f>HYPERLINK("http://service.sap.com/sap/support/notes/2061627","2061627")</f>
        <v>2061627</v>
      </c>
      <c r="D356">
        <v>2</v>
      </c>
      <c r="E356" t="s">
        <v>5404</v>
      </c>
      <c r="F356" t="s">
        <v>28</v>
      </c>
    </row>
    <row r="357" spans="1:6" x14ac:dyDescent="0.3">
      <c r="A357" t="s">
        <v>185</v>
      </c>
      <c r="B357" t="s">
        <v>186</v>
      </c>
      <c r="C357" t="str">
        <f>HYPERLINK("http://service.sap.com/sap/support/notes/1910963","1910963")</f>
        <v>1910963</v>
      </c>
      <c r="D357">
        <v>1</v>
      </c>
      <c r="E357" t="s">
        <v>187</v>
      </c>
      <c r="F357" t="s">
        <v>9</v>
      </c>
    </row>
    <row r="358" spans="1:6" x14ac:dyDescent="0.3">
      <c r="A358" t="s">
        <v>185</v>
      </c>
      <c r="B358" t="s">
        <v>186</v>
      </c>
      <c r="C358" t="str">
        <f>HYPERLINK("http://service.sap.com/sap/support/notes/1916459","1916459")</f>
        <v>1916459</v>
      </c>
      <c r="D358">
        <v>2</v>
      </c>
      <c r="E358" t="s">
        <v>188</v>
      </c>
      <c r="F358" t="s">
        <v>9</v>
      </c>
    </row>
    <row r="359" spans="1:6" x14ac:dyDescent="0.3">
      <c r="A359" t="s">
        <v>185</v>
      </c>
      <c r="B359" t="s">
        <v>186</v>
      </c>
      <c r="C359" t="str">
        <f>HYPERLINK("http://service.sap.com/sap/support/notes/1941029","1941029")</f>
        <v>1941029</v>
      </c>
      <c r="D359">
        <v>5</v>
      </c>
      <c r="E359" t="s">
        <v>1407</v>
      </c>
      <c r="F359" t="s">
        <v>9</v>
      </c>
    </row>
    <row r="360" spans="1:6" x14ac:dyDescent="0.3">
      <c r="A360" t="s">
        <v>185</v>
      </c>
      <c r="B360" t="s">
        <v>186</v>
      </c>
      <c r="C360" t="str">
        <f>HYPERLINK("http://service.sap.com/sap/support/notes/1941029","1941029")</f>
        <v>1941029</v>
      </c>
      <c r="D360">
        <v>5</v>
      </c>
      <c r="E360" t="s">
        <v>1407</v>
      </c>
      <c r="F360" t="s">
        <v>9</v>
      </c>
    </row>
    <row r="361" spans="1:6" x14ac:dyDescent="0.3">
      <c r="A361" t="s">
        <v>185</v>
      </c>
      <c r="B361" t="s">
        <v>186</v>
      </c>
      <c r="C361" t="str">
        <f>HYPERLINK("http://service.sap.com/sap/support/notes/1953207","1953207")</f>
        <v>1953207</v>
      </c>
      <c r="D361">
        <v>4</v>
      </c>
      <c r="E361" t="s">
        <v>1492</v>
      </c>
      <c r="F361" t="s">
        <v>9</v>
      </c>
    </row>
    <row r="362" spans="1:6" x14ac:dyDescent="0.3">
      <c r="A362" t="s">
        <v>185</v>
      </c>
      <c r="B362" t="s">
        <v>186</v>
      </c>
      <c r="C362" t="str">
        <f>HYPERLINK("http://service.sap.com/sap/support/notes/1956355","1956355")</f>
        <v>1956355</v>
      </c>
      <c r="D362">
        <v>1</v>
      </c>
      <c r="E362" t="s">
        <v>1493</v>
      </c>
      <c r="F362" t="s">
        <v>9</v>
      </c>
    </row>
    <row r="363" spans="1:6" x14ac:dyDescent="0.3">
      <c r="A363" t="s">
        <v>185</v>
      </c>
      <c r="B363" t="s">
        <v>186</v>
      </c>
      <c r="C363" t="str">
        <f>HYPERLINK("http://service.sap.com/sap/support/notes/1963036","1963036")</f>
        <v>1963036</v>
      </c>
      <c r="D363">
        <v>2</v>
      </c>
      <c r="E363" t="s">
        <v>2071</v>
      </c>
      <c r="F363" t="s">
        <v>9</v>
      </c>
    </row>
    <row r="364" spans="1:6" x14ac:dyDescent="0.3">
      <c r="A364" t="s">
        <v>185</v>
      </c>
      <c r="B364" t="s">
        <v>186</v>
      </c>
      <c r="C364" t="str">
        <f>HYPERLINK("http://service.sap.com/sap/support/notes/1966070","1966070")</f>
        <v>1966070</v>
      </c>
      <c r="D364">
        <v>5</v>
      </c>
      <c r="E364" t="s">
        <v>2072</v>
      </c>
      <c r="F364" t="s">
        <v>9</v>
      </c>
    </row>
    <row r="365" spans="1:6" x14ac:dyDescent="0.3">
      <c r="A365" t="s">
        <v>185</v>
      </c>
      <c r="B365" t="s">
        <v>186</v>
      </c>
      <c r="C365" t="str">
        <f>HYPERLINK("http://service.sap.com/sap/support/notes/1982275","1982275")</f>
        <v>1982275</v>
      </c>
      <c r="D365">
        <v>1</v>
      </c>
      <c r="E365" t="s">
        <v>2399</v>
      </c>
      <c r="F365" t="s">
        <v>9</v>
      </c>
    </row>
    <row r="366" spans="1:6" x14ac:dyDescent="0.3">
      <c r="A366" t="s">
        <v>185</v>
      </c>
      <c r="B366" t="s">
        <v>186</v>
      </c>
      <c r="C366" t="str">
        <f>HYPERLINK("http://service.sap.com/sap/support/notes/1982275","1982275")</f>
        <v>1982275</v>
      </c>
      <c r="D366">
        <v>1</v>
      </c>
      <c r="E366" t="s">
        <v>2822</v>
      </c>
      <c r="F366" t="s">
        <v>9</v>
      </c>
    </row>
    <row r="367" spans="1:6" x14ac:dyDescent="0.3">
      <c r="A367" t="s">
        <v>185</v>
      </c>
      <c r="B367" t="s">
        <v>186</v>
      </c>
      <c r="C367" t="str">
        <f>HYPERLINK("http://service.sap.com/sap/support/notes/1987417","1987417")</f>
        <v>1987417</v>
      </c>
      <c r="D367">
        <v>1</v>
      </c>
      <c r="E367" t="s">
        <v>2823</v>
      </c>
      <c r="F367" t="s">
        <v>9</v>
      </c>
    </row>
    <row r="368" spans="1:6" x14ac:dyDescent="0.3">
      <c r="A368" t="s">
        <v>185</v>
      </c>
      <c r="B368" t="s">
        <v>186</v>
      </c>
      <c r="C368" t="str">
        <f>HYPERLINK("http://service.sap.com/sap/support/notes/1966070","1966070")</f>
        <v>1966070</v>
      </c>
      <c r="D368">
        <v>5</v>
      </c>
      <c r="E368" t="s">
        <v>2072</v>
      </c>
      <c r="F368" t="s">
        <v>9</v>
      </c>
    </row>
    <row r="369" spans="1:6" x14ac:dyDescent="0.3">
      <c r="A369" t="s">
        <v>185</v>
      </c>
      <c r="B369" t="s">
        <v>186</v>
      </c>
      <c r="C369" t="str">
        <f>HYPERLINK("http://service.sap.com/sap/support/notes/1996759","1996759")</f>
        <v>1996759</v>
      </c>
      <c r="D369">
        <v>2</v>
      </c>
      <c r="E369" t="s">
        <v>3361</v>
      </c>
      <c r="F369" t="s">
        <v>28</v>
      </c>
    </row>
    <row r="370" spans="1:6" x14ac:dyDescent="0.3">
      <c r="A370" t="s">
        <v>185</v>
      </c>
      <c r="B370" t="s">
        <v>186</v>
      </c>
      <c r="C370" t="str">
        <f>HYPERLINK("http://service.sap.com/sap/support/notes/1966070","1966070")</f>
        <v>1966070</v>
      </c>
      <c r="D370">
        <v>5</v>
      </c>
      <c r="E370" t="s">
        <v>2072</v>
      </c>
      <c r="F370" t="s">
        <v>9</v>
      </c>
    </row>
    <row r="371" spans="1:6" x14ac:dyDescent="0.3">
      <c r="A371" t="s">
        <v>185</v>
      </c>
      <c r="B371" t="s">
        <v>186</v>
      </c>
      <c r="C371" t="str">
        <f>HYPERLINK("http://service.sap.com/sap/support/notes/2021662","2021662")</f>
        <v>2021662</v>
      </c>
      <c r="D371">
        <v>4</v>
      </c>
      <c r="E371" t="s">
        <v>4393</v>
      </c>
      <c r="F371" t="s">
        <v>9</v>
      </c>
    </row>
    <row r="372" spans="1:6" x14ac:dyDescent="0.3">
      <c r="A372" t="s">
        <v>185</v>
      </c>
      <c r="B372" t="s">
        <v>186</v>
      </c>
      <c r="C372" t="str">
        <f>HYPERLINK("http://service.sap.com/sap/support/notes/2024090","2024090")</f>
        <v>2024090</v>
      </c>
      <c r="D372">
        <v>2</v>
      </c>
      <c r="E372" t="s">
        <v>4394</v>
      </c>
      <c r="F372" t="s">
        <v>9</v>
      </c>
    </row>
    <row r="373" spans="1:6" x14ac:dyDescent="0.3">
      <c r="A373" t="s">
        <v>185</v>
      </c>
      <c r="B373" t="s">
        <v>186</v>
      </c>
      <c r="C373" t="str">
        <f>HYPERLINK("http://service.sap.com/sap/support/notes/2031371","2031371")</f>
        <v>2031371</v>
      </c>
      <c r="D373">
        <v>1</v>
      </c>
      <c r="E373" t="s">
        <v>4395</v>
      </c>
      <c r="F373" t="s">
        <v>9</v>
      </c>
    </row>
    <row r="374" spans="1:6" x14ac:dyDescent="0.3">
      <c r="A374" t="s">
        <v>185</v>
      </c>
      <c r="B374" t="s">
        <v>186</v>
      </c>
      <c r="C374" t="str">
        <f>HYPERLINK("http://service.sap.com/sap/support/notes/2034535","2034535")</f>
        <v>2034535</v>
      </c>
      <c r="D374">
        <v>3</v>
      </c>
      <c r="E374" t="s">
        <v>4697</v>
      </c>
      <c r="F374" t="s">
        <v>9</v>
      </c>
    </row>
    <row r="375" spans="1:6" x14ac:dyDescent="0.3">
      <c r="A375" t="s">
        <v>185</v>
      </c>
      <c r="B375" t="s">
        <v>186</v>
      </c>
      <c r="C375" t="str">
        <f>HYPERLINK("http://service.sap.com/sap/support/notes/2034997","2034997")</f>
        <v>2034997</v>
      </c>
      <c r="D375">
        <v>1</v>
      </c>
      <c r="E375" t="s">
        <v>4698</v>
      </c>
      <c r="F375" t="s">
        <v>9</v>
      </c>
    </row>
    <row r="376" spans="1:6" x14ac:dyDescent="0.3">
      <c r="A376" t="s">
        <v>185</v>
      </c>
      <c r="B376" t="s">
        <v>186</v>
      </c>
      <c r="C376" t="str">
        <f>HYPERLINK("http://service.sap.com/sap/support/notes/2044837","2044837")</f>
        <v>2044837</v>
      </c>
      <c r="D376">
        <v>2</v>
      </c>
      <c r="E376" t="s">
        <v>4699</v>
      </c>
      <c r="F376" t="s">
        <v>9</v>
      </c>
    </row>
    <row r="377" spans="1:6" x14ac:dyDescent="0.3">
      <c r="A377" t="s">
        <v>185</v>
      </c>
      <c r="B377" t="s">
        <v>186</v>
      </c>
      <c r="C377" t="str">
        <f>HYPERLINK("http://service.sap.com/sap/support/notes/2052666","2052666")</f>
        <v>2052666</v>
      </c>
      <c r="D377">
        <v>2</v>
      </c>
      <c r="E377" t="s">
        <v>5073</v>
      </c>
      <c r="F377" t="s">
        <v>9</v>
      </c>
    </row>
    <row r="378" spans="1:6" x14ac:dyDescent="0.3">
      <c r="A378" t="s">
        <v>189</v>
      </c>
      <c r="B378" t="s">
        <v>190</v>
      </c>
      <c r="C378" t="str">
        <f>HYPERLINK("http://service.sap.com/sap/support/notes/1920354","1920354")</f>
        <v>1920354</v>
      </c>
      <c r="D378">
        <v>1</v>
      </c>
      <c r="E378" t="s">
        <v>191</v>
      </c>
      <c r="F378" t="s">
        <v>9</v>
      </c>
    </row>
    <row r="379" spans="1:6" x14ac:dyDescent="0.3">
      <c r="A379" t="s">
        <v>189</v>
      </c>
      <c r="B379" t="s">
        <v>5405</v>
      </c>
      <c r="C379" t="str">
        <f>HYPERLINK("http://service.sap.com/sap/support/notes/2061262","2061262")</f>
        <v>2061262</v>
      </c>
      <c r="D379">
        <v>1</v>
      </c>
      <c r="E379" t="s">
        <v>5406</v>
      </c>
      <c r="F379" t="s">
        <v>9</v>
      </c>
    </row>
    <row r="380" spans="1:6" x14ac:dyDescent="0.3">
      <c r="A380" t="s">
        <v>2824</v>
      </c>
      <c r="B380" t="s">
        <v>822</v>
      </c>
      <c r="C380" t="str">
        <f>HYPERLINK("http://service.sap.com/sap/support/notes/1987008","1987008")</f>
        <v>1987008</v>
      </c>
      <c r="D380">
        <v>2</v>
      </c>
      <c r="E380" t="s">
        <v>2825</v>
      </c>
      <c r="F380" t="s">
        <v>9</v>
      </c>
    </row>
    <row r="381" spans="1:6" x14ac:dyDescent="0.3">
      <c r="A381" t="s">
        <v>2824</v>
      </c>
      <c r="B381" t="s">
        <v>822</v>
      </c>
      <c r="C381" t="str">
        <f>HYPERLINK("http://service.sap.com/sap/support/notes/2059752","2059752")</f>
        <v>2059752</v>
      </c>
      <c r="D381">
        <v>1</v>
      </c>
      <c r="E381" t="s">
        <v>5407</v>
      </c>
      <c r="F381" t="s">
        <v>9</v>
      </c>
    </row>
    <row r="382" spans="1:6" x14ac:dyDescent="0.3">
      <c r="A382" t="s">
        <v>192</v>
      </c>
      <c r="B382" t="s">
        <v>193</v>
      </c>
      <c r="C382" t="str">
        <f>HYPERLINK("http://service.sap.com/sap/support/notes/1911285","1911285")</f>
        <v>1911285</v>
      </c>
      <c r="D382">
        <v>2</v>
      </c>
      <c r="E382" t="s">
        <v>194</v>
      </c>
      <c r="F382" t="s">
        <v>9</v>
      </c>
    </row>
    <row r="383" spans="1:6" x14ac:dyDescent="0.3">
      <c r="A383" t="s">
        <v>192</v>
      </c>
      <c r="B383" t="s">
        <v>193</v>
      </c>
      <c r="C383" t="str">
        <f>HYPERLINK("http://service.sap.com/sap/support/notes/1949936","1949936")</f>
        <v>1949936</v>
      </c>
      <c r="D383">
        <v>1</v>
      </c>
      <c r="E383" t="s">
        <v>1494</v>
      </c>
      <c r="F383" t="s">
        <v>35</v>
      </c>
    </row>
    <row r="384" spans="1:6" x14ac:dyDescent="0.3">
      <c r="A384" t="s">
        <v>192</v>
      </c>
      <c r="B384" t="s">
        <v>193</v>
      </c>
      <c r="C384" t="str">
        <f>HYPERLINK("http://service.sap.com/sap/support/notes/2003429","2003429")</f>
        <v>2003429</v>
      </c>
      <c r="D384">
        <v>2</v>
      </c>
      <c r="E384" t="s">
        <v>4700</v>
      </c>
      <c r="F384" t="s">
        <v>9</v>
      </c>
    </row>
    <row r="385" spans="1:6" x14ac:dyDescent="0.3">
      <c r="A385" t="s">
        <v>1143</v>
      </c>
      <c r="B385" t="s">
        <v>830</v>
      </c>
      <c r="C385" t="str">
        <f>HYPERLINK("http://service.sap.com/sap/support/notes/1935029","1935029")</f>
        <v>1935029</v>
      </c>
      <c r="D385">
        <v>1</v>
      </c>
      <c r="E385" t="s">
        <v>1144</v>
      </c>
      <c r="F385" t="s">
        <v>9</v>
      </c>
    </row>
    <row r="386" spans="1:6" x14ac:dyDescent="0.3">
      <c r="A386" t="s">
        <v>1143</v>
      </c>
      <c r="B386" t="s">
        <v>830</v>
      </c>
      <c r="C386" t="str">
        <f>HYPERLINK("http://service.sap.com/sap/support/notes/1935452","1935452")</f>
        <v>1935452</v>
      </c>
      <c r="D386">
        <v>1</v>
      </c>
      <c r="E386" t="s">
        <v>1145</v>
      </c>
      <c r="F386" t="s">
        <v>9</v>
      </c>
    </row>
    <row r="387" spans="1:6" x14ac:dyDescent="0.3">
      <c r="A387" t="s">
        <v>1143</v>
      </c>
      <c r="B387" t="s">
        <v>830</v>
      </c>
      <c r="C387" t="str">
        <f>HYPERLINK("http://service.sap.com/sap/support/notes/2031761","2031761")</f>
        <v>2031761</v>
      </c>
      <c r="D387">
        <v>1</v>
      </c>
      <c r="E387" t="s">
        <v>4396</v>
      </c>
      <c r="F387" t="s">
        <v>9</v>
      </c>
    </row>
    <row r="388" spans="1:6" x14ac:dyDescent="0.3">
      <c r="A388" t="s">
        <v>195</v>
      </c>
      <c r="B388" t="s">
        <v>196</v>
      </c>
      <c r="C388" t="str">
        <f>HYPERLINK("http://service.sap.com/sap/support/notes/1920239","1920239")</f>
        <v>1920239</v>
      </c>
      <c r="D388">
        <v>1</v>
      </c>
      <c r="E388" t="s">
        <v>197</v>
      </c>
      <c r="F388" t="s">
        <v>9</v>
      </c>
    </row>
    <row r="389" spans="1:6" x14ac:dyDescent="0.3">
      <c r="A389" t="s">
        <v>195</v>
      </c>
      <c r="B389" t="s">
        <v>196</v>
      </c>
      <c r="C389" t="str">
        <f>HYPERLINK("http://service.sap.com/sap/support/notes/1921621","1921621")</f>
        <v>1921621</v>
      </c>
      <c r="D389">
        <v>1</v>
      </c>
      <c r="E389" t="s">
        <v>198</v>
      </c>
      <c r="F389" t="s">
        <v>9</v>
      </c>
    </row>
    <row r="390" spans="1:6" x14ac:dyDescent="0.3">
      <c r="A390" t="s">
        <v>195</v>
      </c>
      <c r="B390" t="s">
        <v>196</v>
      </c>
      <c r="C390" t="str">
        <f>HYPERLINK("http://service.sap.com/sap/support/notes/1925449","1925449")</f>
        <v>1925449</v>
      </c>
      <c r="D390">
        <v>1</v>
      </c>
      <c r="E390" t="s">
        <v>199</v>
      </c>
      <c r="F390" t="s">
        <v>9</v>
      </c>
    </row>
    <row r="391" spans="1:6" x14ac:dyDescent="0.3">
      <c r="A391" t="s">
        <v>195</v>
      </c>
      <c r="B391" t="s">
        <v>196</v>
      </c>
      <c r="C391" t="str">
        <f>HYPERLINK("http://service.sap.com/sap/support/notes/1936605","1936605")</f>
        <v>1936605</v>
      </c>
      <c r="D391">
        <v>1</v>
      </c>
      <c r="E391" t="s">
        <v>1146</v>
      </c>
      <c r="F391" t="s">
        <v>28</v>
      </c>
    </row>
    <row r="392" spans="1:6" x14ac:dyDescent="0.3">
      <c r="A392" t="s">
        <v>195</v>
      </c>
      <c r="B392" t="s">
        <v>196</v>
      </c>
      <c r="C392" t="str">
        <f>HYPERLINK("http://service.sap.com/sap/support/notes/1945975","1945975")</f>
        <v>1945975</v>
      </c>
      <c r="D392">
        <v>2</v>
      </c>
      <c r="E392" t="s">
        <v>1408</v>
      </c>
      <c r="F392" t="s">
        <v>9</v>
      </c>
    </row>
    <row r="393" spans="1:6" x14ac:dyDescent="0.3">
      <c r="A393" t="s">
        <v>195</v>
      </c>
      <c r="B393" t="s">
        <v>196</v>
      </c>
      <c r="C393" t="str">
        <f>HYPERLINK("http://service.sap.com/sap/support/notes/1925578","1925578")</f>
        <v>1925578</v>
      </c>
      <c r="D393">
        <v>1</v>
      </c>
      <c r="E393" t="s">
        <v>1495</v>
      </c>
      <c r="F393" t="s">
        <v>9</v>
      </c>
    </row>
    <row r="394" spans="1:6" x14ac:dyDescent="0.3">
      <c r="A394" t="s">
        <v>195</v>
      </c>
      <c r="B394" t="s">
        <v>196</v>
      </c>
      <c r="C394" t="str">
        <f>HYPERLINK("http://service.sap.com/sap/support/notes/1958502","1958502")</f>
        <v>1958502</v>
      </c>
      <c r="D394">
        <v>1</v>
      </c>
      <c r="E394" t="s">
        <v>1496</v>
      </c>
      <c r="F394" t="s">
        <v>9</v>
      </c>
    </row>
    <row r="395" spans="1:6" x14ac:dyDescent="0.3">
      <c r="A395" t="s">
        <v>195</v>
      </c>
      <c r="B395" t="s">
        <v>196</v>
      </c>
      <c r="C395" t="str">
        <f>HYPERLINK("http://service.sap.com/sap/support/notes/1946157","1946157")</f>
        <v>1946157</v>
      </c>
      <c r="D395">
        <v>2</v>
      </c>
      <c r="E395" t="s">
        <v>2073</v>
      </c>
      <c r="F395" t="s">
        <v>9</v>
      </c>
    </row>
    <row r="396" spans="1:6" x14ac:dyDescent="0.3">
      <c r="A396" t="s">
        <v>195</v>
      </c>
      <c r="B396" t="s">
        <v>196</v>
      </c>
      <c r="C396" t="str">
        <f>HYPERLINK("http://service.sap.com/sap/support/notes/1977412","1977412")</f>
        <v>1977412</v>
      </c>
      <c r="D396">
        <v>1</v>
      </c>
      <c r="E396" t="s">
        <v>2400</v>
      </c>
      <c r="F396" t="s">
        <v>9</v>
      </c>
    </row>
    <row r="397" spans="1:6" x14ac:dyDescent="0.3">
      <c r="A397" t="s">
        <v>195</v>
      </c>
      <c r="B397" t="s">
        <v>196</v>
      </c>
      <c r="C397" t="str">
        <f>HYPERLINK("http://service.sap.com/sap/support/notes/1990931","1990931")</f>
        <v>1990931</v>
      </c>
      <c r="D397">
        <v>1</v>
      </c>
      <c r="E397" t="s">
        <v>3362</v>
      </c>
      <c r="F397" t="s">
        <v>28</v>
      </c>
    </row>
    <row r="398" spans="1:6" x14ac:dyDescent="0.3">
      <c r="A398" t="s">
        <v>195</v>
      </c>
      <c r="B398" t="s">
        <v>196</v>
      </c>
      <c r="C398" t="str">
        <f>HYPERLINK("http://service.sap.com/sap/support/notes/2005271","2005271")</f>
        <v>2005271</v>
      </c>
      <c r="D398">
        <v>2</v>
      </c>
      <c r="E398" t="s">
        <v>3363</v>
      </c>
      <c r="F398" t="s">
        <v>9</v>
      </c>
    </row>
    <row r="399" spans="1:6" x14ac:dyDescent="0.3">
      <c r="A399" t="s">
        <v>195</v>
      </c>
      <c r="B399" t="s">
        <v>196</v>
      </c>
      <c r="C399" t="str">
        <f>HYPERLINK("http://service.sap.com/sap/support/notes/2013371","2013371")</f>
        <v>2013371</v>
      </c>
      <c r="D399">
        <v>1</v>
      </c>
      <c r="E399" t="s">
        <v>4030</v>
      </c>
      <c r="F399" t="s">
        <v>28</v>
      </c>
    </row>
    <row r="400" spans="1:6" x14ac:dyDescent="0.3">
      <c r="A400" t="s">
        <v>195</v>
      </c>
      <c r="B400" t="s">
        <v>196</v>
      </c>
      <c r="C400" t="str">
        <f>HYPERLINK("http://service.sap.com/sap/support/notes/1945371","1945371")</f>
        <v>1945371</v>
      </c>
      <c r="D400">
        <v>14</v>
      </c>
      <c r="E400" t="s">
        <v>4397</v>
      </c>
      <c r="F400" t="s">
        <v>9</v>
      </c>
    </row>
    <row r="401" spans="1:6" x14ac:dyDescent="0.3">
      <c r="A401" t="s">
        <v>195</v>
      </c>
      <c r="B401" t="s">
        <v>196</v>
      </c>
      <c r="C401" t="str">
        <f>HYPERLINK("http://service.sap.com/sap/support/notes/2015255","2015255")</f>
        <v>2015255</v>
      </c>
      <c r="D401">
        <v>1</v>
      </c>
      <c r="E401" t="s">
        <v>4701</v>
      </c>
      <c r="F401" t="s">
        <v>9</v>
      </c>
    </row>
    <row r="402" spans="1:6" x14ac:dyDescent="0.3">
      <c r="A402" t="s">
        <v>195</v>
      </c>
      <c r="B402" t="s">
        <v>196</v>
      </c>
      <c r="C402" t="str">
        <f>HYPERLINK("http://service.sap.com/sap/support/notes/2048524","2048524")</f>
        <v>2048524</v>
      </c>
      <c r="D402">
        <v>1</v>
      </c>
      <c r="E402" t="s">
        <v>5074</v>
      </c>
      <c r="F402" t="s">
        <v>16</v>
      </c>
    </row>
    <row r="403" spans="1:6" x14ac:dyDescent="0.3">
      <c r="A403" t="s">
        <v>195</v>
      </c>
      <c r="B403" t="s">
        <v>196</v>
      </c>
      <c r="C403" t="str">
        <f>HYPERLINK("http://service.sap.com/sap/support/notes/2050452","2050452")</f>
        <v>2050452</v>
      </c>
      <c r="D403">
        <v>1</v>
      </c>
      <c r="E403" t="s">
        <v>5075</v>
      </c>
      <c r="F403" t="s">
        <v>9</v>
      </c>
    </row>
    <row r="404" spans="1:6" x14ac:dyDescent="0.3">
      <c r="A404" t="s">
        <v>195</v>
      </c>
      <c r="B404" t="s">
        <v>196</v>
      </c>
      <c r="C404" t="str">
        <f>HYPERLINK("http://service.sap.com/sap/support/notes/2067247","2067247")</f>
        <v>2067247</v>
      </c>
      <c r="D404">
        <v>1</v>
      </c>
      <c r="E404" t="s">
        <v>5408</v>
      </c>
      <c r="F404" t="s">
        <v>28</v>
      </c>
    </row>
    <row r="405" spans="1:6" x14ac:dyDescent="0.3">
      <c r="A405" t="s">
        <v>4031</v>
      </c>
      <c r="B405" t="s">
        <v>853</v>
      </c>
      <c r="C405" t="str">
        <f>HYPERLINK("http://service.sap.com/sap/support/notes/2013328","2013328")</f>
        <v>2013328</v>
      </c>
      <c r="D405">
        <v>2</v>
      </c>
      <c r="E405" t="s">
        <v>4032</v>
      </c>
      <c r="F405" t="s">
        <v>9</v>
      </c>
    </row>
    <row r="406" spans="1:6" x14ac:dyDescent="0.3">
      <c r="A406" t="s">
        <v>4031</v>
      </c>
      <c r="B406" t="s">
        <v>853</v>
      </c>
      <c r="C406" t="str">
        <f>HYPERLINK("http://service.sap.com/sap/support/notes/2035604","2035604")</f>
        <v>2035604</v>
      </c>
      <c r="D406">
        <v>1</v>
      </c>
      <c r="E406" t="s">
        <v>4702</v>
      </c>
      <c r="F406" t="s">
        <v>9</v>
      </c>
    </row>
    <row r="407" spans="1:6" x14ac:dyDescent="0.3">
      <c r="A407" t="s">
        <v>4031</v>
      </c>
      <c r="B407" t="s">
        <v>853</v>
      </c>
      <c r="C407" t="str">
        <f>HYPERLINK("http://service.sap.com/sap/support/notes/2042678","2042678")</f>
        <v>2042678</v>
      </c>
      <c r="D407">
        <v>2</v>
      </c>
      <c r="E407" t="s">
        <v>4703</v>
      </c>
      <c r="F407" t="s">
        <v>9</v>
      </c>
    </row>
    <row r="408" spans="1:6" x14ac:dyDescent="0.3">
      <c r="A408" t="s">
        <v>2401</v>
      </c>
      <c r="B408" t="s">
        <v>878</v>
      </c>
      <c r="C408" t="str">
        <f>HYPERLINK("http://service.sap.com/sap/support/notes/1973464","1973464")</f>
        <v>1973464</v>
      </c>
      <c r="D408">
        <v>3</v>
      </c>
      <c r="E408" t="s">
        <v>2402</v>
      </c>
      <c r="F408" t="s">
        <v>9</v>
      </c>
    </row>
    <row r="409" spans="1:6" x14ac:dyDescent="0.3">
      <c r="A409" t="s">
        <v>2401</v>
      </c>
      <c r="B409" t="s">
        <v>878</v>
      </c>
      <c r="C409" t="str">
        <f>HYPERLINK("http://service.sap.com/sap/support/notes/1957010","1957010")</f>
        <v>1957010</v>
      </c>
      <c r="D409">
        <v>2</v>
      </c>
      <c r="E409" t="s">
        <v>4033</v>
      </c>
      <c r="F409" t="s">
        <v>9</v>
      </c>
    </row>
    <row r="410" spans="1:6" x14ac:dyDescent="0.3">
      <c r="A410" t="s">
        <v>2401</v>
      </c>
      <c r="B410" t="s">
        <v>878</v>
      </c>
      <c r="C410" t="str">
        <f>HYPERLINK("http://service.sap.com/sap/support/notes/2041652","2041652")</f>
        <v>2041652</v>
      </c>
      <c r="D410">
        <v>2</v>
      </c>
      <c r="E410" t="s">
        <v>4704</v>
      </c>
      <c r="F410" t="s">
        <v>9</v>
      </c>
    </row>
    <row r="411" spans="1:6" x14ac:dyDescent="0.3">
      <c r="A411" t="s">
        <v>2401</v>
      </c>
      <c r="B411" t="s">
        <v>878</v>
      </c>
      <c r="C411" t="str">
        <f>HYPERLINK("http://service.sap.com/sap/support/notes/2042560","2042560")</f>
        <v>2042560</v>
      </c>
      <c r="D411">
        <v>1</v>
      </c>
      <c r="E411" t="s">
        <v>4705</v>
      </c>
      <c r="F411" t="s">
        <v>9</v>
      </c>
    </row>
    <row r="412" spans="1:6" x14ac:dyDescent="0.3">
      <c r="A412" t="s">
        <v>2826</v>
      </c>
      <c r="B412" t="s">
        <v>886</v>
      </c>
      <c r="C412" t="str">
        <f>HYPERLINK("http://service.sap.com/sap/support/notes/1907799","1907799")</f>
        <v>1907799</v>
      </c>
      <c r="D412">
        <v>2</v>
      </c>
      <c r="E412" t="s">
        <v>2827</v>
      </c>
      <c r="F412" t="s">
        <v>9</v>
      </c>
    </row>
    <row r="413" spans="1:6" x14ac:dyDescent="0.3">
      <c r="A413" t="s">
        <v>2826</v>
      </c>
      <c r="B413" t="s">
        <v>886</v>
      </c>
      <c r="C413" t="str">
        <f>HYPERLINK("http://service.sap.com/sap/support/notes/1911831","1911831")</f>
        <v>1911831</v>
      </c>
      <c r="D413">
        <v>3</v>
      </c>
      <c r="E413" t="s">
        <v>2828</v>
      </c>
      <c r="F413" t="s">
        <v>16</v>
      </c>
    </row>
    <row r="414" spans="1:6" x14ac:dyDescent="0.3">
      <c r="A414" t="s">
        <v>200</v>
      </c>
      <c r="B414" t="s">
        <v>201</v>
      </c>
      <c r="C414" t="str">
        <f>HYPERLINK("http://service.sap.com/sap/support/notes/1907463","1907463")</f>
        <v>1907463</v>
      </c>
      <c r="D414">
        <v>1</v>
      </c>
      <c r="E414" t="s">
        <v>202</v>
      </c>
      <c r="F414" t="s">
        <v>9</v>
      </c>
    </row>
    <row r="415" spans="1:6" x14ac:dyDescent="0.3">
      <c r="A415" t="s">
        <v>200</v>
      </c>
      <c r="B415" t="s">
        <v>201</v>
      </c>
      <c r="C415" t="str">
        <f>HYPERLINK("http://service.sap.com/sap/support/notes/1921349","1921349")</f>
        <v>1921349</v>
      </c>
      <c r="D415">
        <v>2</v>
      </c>
      <c r="E415" t="s">
        <v>203</v>
      </c>
      <c r="F415" t="s">
        <v>28</v>
      </c>
    </row>
    <row r="416" spans="1:6" x14ac:dyDescent="0.3">
      <c r="A416" t="s">
        <v>200</v>
      </c>
      <c r="B416" t="s">
        <v>201</v>
      </c>
      <c r="C416" t="str">
        <f>HYPERLINK("http://service.sap.com/sap/support/notes/1928897","1928897")</f>
        <v>1928897</v>
      </c>
      <c r="D416">
        <v>1</v>
      </c>
      <c r="E416" t="s">
        <v>1497</v>
      </c>
      <c r="F416" t="s">
        <v>9</v>
      </c>
    </row>
    <row r="417" spans="1:6" x14ac:dyDescent="0.3">
      <c r="A417" t="s">
        <v>200</v>
      </c>
      <c r="B417" t="s">
        <v>201</v>
      </c>
      <c r="C417" t="str">
        <f>HYPERLINK("http://service.sap.com/sap/support/notes/1942427","1942427")</f>
        <v>1942427</v>
      </c>
      <c r="D417">
        <v>1</v>
      </c>
      <c r="E417" t="s">
        <v>1498</v>
      </c>
      <c r="F417" t="s">
        <v>9</v>
      </c>
    </row>
    <row r="418" spans="1:6" x14ac:dyDescent="0.3">
      <c r="A418" t="s">
        <v>200</v>
      </c>
      <c r="B418" t="s">
        <v>201</v>
      </c>
      <c r="C418" t="str">
        <f>HYPERLINK("http://service.sap.com/sap/support/notes/1956610","1956610")</f>
        <v>1956610</v>
      </c>
      <c r="D418">
        <v>1</v>
      </c>
      <c r="E418" t="s">
        <v>1499</v>
      </c>
      <c r="F418" t="s">
        <v>9</v>
      </c>
    </row>
    <row r="419" spans="1:6" x14ac:dyDescent="0.3">
      <c r="A419" t="s">
        <v>204</v>
      </c>
      <c r="B419" t="s">
        <v>205</v>
      </c>
      <c r="C419" t="str">
        <f>HYPERLINK("http://service.sap.com/sap/support/notes/960754","960754")</f>
        <v>960754</v>
      </c>
      <c r="D419">
        <v>9</v>
      </c>
      <c r="E419" t="s">
        <v>206</v>
      </c>
      <c r="F419" t="s">
        <v>16</v>
      </c>
    </row>
    <row r="420" spans="1:6" x14ac:dyDescent="0.3">
      <c r="A420" t="s">
        <v>204</v>
      </c>
      <c r="B420" t="s">
        <v>205</v>
      </c>
      <c r="C420" t="str">
        <f>HYPERLINK("http://service.sap.com/sap/support/notes/1907515","1907515")</f>
        <v>1907515</v>
      </c>
      <c r="D420">
        <v>4</v>
      </c>
      <c r="E420" t="s">
        <v>207</v>
      </c>
      <c r="F420" t="s">
        <v>9</v>
      </c>
    </row>
    <row r="421" spans="1:6" x14ac:dyDescent="0.3">
      <c r="A421" t="s">
        <v>204</v>
      </c>
      <c r="B421" t="s">
        <v>205</v>
      </c>
      <c r="C421" t="str">
        <f>HYPERLINK("http://service.sap.com/sap/support/notes/1908743","1908743")</f>
        <v>1908743</v>
      </c>
      <c r="D421">
        <v>1</v>
      </c>
      <c r="E421" t="s">
        <v>208</v>
      </c>
      <c r="F421" t="s">
        <v>16</v>
      </c>
    </row>
    <row r="422" spans="1:6" x14ac:dyDescent="0.3">
      <c r="A422" t="s">
        <v>204</v>
      </c>
      <c r="B422" t="s">
        <v>205</v>
      </c>
      <c r="C422" t="str">
        <f>HYPERLINK("http://service.sap.com/sap/support/notes/1913520","1913520")</f>
        <v>1913520</v>
      </c>
      <c r="D422">
        <v>2</v>
      </c>
      <c r="E422" t="s">
        <v>209</v>
      </c>
      <c r="F422" t="s">
        <v>9</v>
      </c>
    </row>
    <row r="423" spans="1:6" x14ac:dyDescent="0.3">
      <c r="A423" t="s">
        <v>204</v>
      </c>
      <c r="B423" t="s">
        <v>205</v>
      </c>
      <c r="C423" t="str">
        <f>HYPERLINK("http://service.sap.com/sap/support/notes/1916824","1916824")</f>
        <v>1916824</v>
      </c>
      <c r="D423">
        <v>3</v>
      </c>
      <c r="E423" t="s">
        <v>210</v>
      </c>
      <c r="F423" t="s">
        <v>9</v>
      </c>
    </row>
    <row r="424" spans="1:6" x14ac:dyDescent="0.3">
      <c r="A424" t="s">
        <v>204</v>
      </c>
      <c r="B424" t="s">
        <v>205</v>
      </c>
      <c r="C424" t="str">
        <f>HYPERLINK("http://service.sap.com/sap/support/notes/1919589","1919589")</f>
        <v>1919589</v>
      </c>
      <c r="D424">
        <v>1</v>
      </c>
      <c r="E424" t="s">
        <v>211</v>
      </c>
      <c r="F424" t="s">
        <v>9</v>
      </c>
    </row>
    <row r="425" spans="1:6" x14ac:dyDescent="0.3">
      <c r="A425" t="s">
        <v>204</v>
      </c>
      <c r="B425" t="s">
        <v>205</v>
      </c>
      <c r="C425" t="str">
        <f>HYPERLINK("http://service.sap.com/sap/support/notes/1921813","1921813")</f>
        <v>1921813</v>
      </c>
      <c r="D425">
        <v>2</v>
      </c>
      <c r="E425" t="s">
        <v>212</v>
      </c>
      <c r="F425" t="s">
        <v>9</v>
      </c>
    </row>
    <row r="426" spans="1:6" x14ac:dyDescent="0.3">
      <c r="A426" t="s">
        <v>204</v>
      </c>
      <c r="B426" t="s">
        <v>205</v>
      </c>
      <c r="C426" t="str">
        <f>HYPERLINK("http://service.sap.com/sap/support/notes/1924766","1924766")</f>
        <v>1924766</v>
      </c>
      <c r="D426">
        <v>1</v>
      </c>
      <c r="E426" t="s">
        <v>213</v>
      </c>
      <c r="F426" t="s">
        <v>9</v>
      </c>
    </row>
    <row r="427" spans="1:6" x14ac:dyDescent="0.3">
      <c r="A427" t="s">
        <v>204</v>
      </c>
      <c r="B427" t="s">
        <v>205</v>
      </c>
      <c r="C427" t="str">
        <f>HYPERLINK("http://service.sap.com/sap/support/notes/1925033","1925033")</f>
        <v>1925033</v>
      </c>
      <c r="D427">
        <v>2</v>
      </c>
      <c r="E427" t="s">
        <v>214</v>
      </c>
      <c r="F427" t="s">
        <v>9</v>
      </c>
    </row>
    <row r="428" spans="1:6" x14ac:dyDescent="0.3">
      <c r="A428" t="s">
        <v>204</v>
      </c>
      <c r="B428" t="s">
        <v>205</v>
      </c>
      <c r="C428" t="str">
        <f>HYPERLINK("http://service.sap.com/sap/support/notes/1928293","1928293")</f>
        <v>1928293</v>
      </c>
      <c r="D428">
        <v>3</v>
      </c>
      <c r="E428" t="s">
        <v>215</v>
      </c>
      <c r="F428" t="s">
        <v>9</v>
      </c>
    </row>
    <row r="429" spans="1:6" x14ac:dyDescent="0.3">
      <c r="A429" t="s">
        <v>204</v>
      </c>
      <c r="B429" t="s">
        <v>205</v>
      </c>
      <c r="C429" t="str">
        <f>HYPERLINK("http://service.sap.com/sap/support/notes/1937566","1937566")</f>
        <v>1937566</v>
      </c>
      <c r="D429">
        <v>3</v>
      </c>
      <c r="E429" t="s">
        <v>216</v>
      </c>
      <c r="F429" t="s">
        <v>9</v>
      </c>
    </row>
    <row r="430" spans="1:6" x14ac:dyDescent="0.3">
      <c r="A430" t="s">
        <v>204</v>
      </c>
      <c r="B430" t="s">
        <v>1147</v>
      </c>
      <c r="C430" t="str">
        <f>HYPERLINK("http://service.sap.com/sap/support/notes/1934083","1934083")</f>
        <v>1934083</v>
      </c>
      <c r="D430">
        <v>3</v>
      </c>
      <c r="E430" t="s">
        <v>1148</v>
      </c>
      <c r="F430" t="s">
        <v>9</v>
      </c>
    </row>
    <row r="431" spans="1:6" x14ac:dyDescent="0.3">
      <c r="A431" t="s">
        <v>204</v>
      </c>
      <c r="B431" t="s">
        <v>1147</v>
      </c>
      <c r="C431" t="str">
        <f>HYPERLINK("http://service.sap.com/sap/support/notes/1937264","1937264")</f>
        <v>1937264</v>
      </c>
      <c r="D431">
        <v>1</v>
      </c>
      <c r="E431" t="s">
        <v>1149</v>
      </c>
      <c r="F431" t="s">
        <v>9</v>
      </c>
    </row>
    <row r="432" spans="1:6" x14ac:dyDescent="0.3">
      <c r="A432" t="s">
        <v>204</v>
      </c>
      <c r="B432" t="s">
        <v>1147</v>
      </c>
      <c r="C432" t="str">
        <f>HYPERLINK("http://service.sap.com/sap/support/notes/1937566","1937566")</f>
        <v>1937566</v>
      </c>
      <c r="D432">
        <v>3</v>
      </c>
      <c r="E432" t="s">
        <v>216</v>
      </c>
      <c r="F432" t="s">
        <v>9</v>
      </c>
    </row>
    <row r="433" spans="1:6" x14ac:dyDescent="0.3">
      <c r="A433" t="s">
        <v>204</v>
      </c>
      <c r="B433" t="s">
        <v>1147</v>
      </c>
      <c r="C433" t="str">
        <f>HYPERLINK("http://service.sap.com/sap/support/notes/1941188","1941188")</f>
        <v>1941188</v>
      </c>
      <c r="D433">
        <v>2</v>
      </c>
      <c r="E433" t="s">
        <v>1150</v>
      </c>
      <c r="F433" t="s">
        <v>9</v>
      </c>
    </row>
    <row r="434" spans="1:6" x14ac:dyDescent="0.3">
      <c r="A434" t="s">
        <v>204</v>
      </c>
      <c r="B434" t="s">
        <v>205</v>
      </c>
      <c r="C434" t="str">
        <f>HYPERLINK("http://service.sap.com/sap/support/notes/1939773","1939773")</f>
        <v>1939773</v>
      </c>
      <c r="D434">
        <v>1</v>
      </c>
      <c r="E434" t="s">
        <v>1500</v>
      </c>
      <c r="F434" t="s">
        <v>9</v>
      </c>
    </row>
    <row r="435" spans="1:6" x14ac:dyDescent="0.3">
      <c r="A435" t="s">
        <v>204</v>
      </c>
      <c r="B435" t="s">
        <v>205</v>
      </c>
      <c r="C435" t="str">
        <f>HYPERLINK("http://service.sap.com/sap/support/notes/1941294","1941294")</f>
        <v>1941294</v>
      </c>
      <c r="D435">
        <v>2</v>
      </c>
      <c r="E435" t="s">
        <v>1501</v>
      </c>
      <c r="F435" t="s">
        <v>9</v>
      </c>
    </row>
    <row r="436" spans="1:6" x14ac:dyDescent="0.3">
      <c r="A436" t="s">
        <v>204</v>
      </c>
      <c r="B436" t="s">
        <v>205</v>
      </c>
      <c r="C436" t="str">
        <f>HYPERLINK("http://service.sap.com/sap/support/notes/1943311","1943311")</f>
        <v>1943311</v>
      </c>
      <c r="D436">
        <v>1</v>
      </c>
      <c r="E436" t="s">
        <v>1502</v>
      </c>
      <c r="F436" t="s">
        <v>9</v>
      </c>
    </row>
    <row r="437" spans="1:6" x14ac:dyDescent="0.3">
      <c r="A437" t="s">
        <v>204</v>
      </c>
      <c r="B437" t="s">
        <v>205</v>
      </c>
      <c r="C437" t="str">
        <f>HYPERLINK("http://service.sap.com/sap/support/notes/1949321","1949321")</f>
        <v>1949321</v>
      </c>
      <c r="D437">
        <v>2</v>
      </c>
      <c r="E437" t="s">
        <v>1503</v>
      </c>
      <c r="F437" t="s">
        <v>9</v>
      </c>
    </row>
    <row r="438" spans="1:6" x14ac:dyDescent="0.3">
      <c r="A438" t="s">
        <v>204</v>
      </c>
      <c r="B438" t="s">
        <v>205</v>
      </c>
      <c r="C438" t="str">
        <f>HYPERLINK("http://service.sap.com/sap/support/notes/1956359","1956359")</f>
        <v>1956359</v>
      </c>
      <c r="D438">
        <v>1</v>
      </c>
      <c r="E438" t="s">
        <v>1504</v>
      </c>
      <c r="F438" t="s">
        <v>9</v>
      </c>
    </row>
    <row r="439" spans="1:6" x14ac:dyDescent="0.3">
      <c r="A439" t="s">
        <v>204</v>
      </c>
      <c r="B439" t="s">
        <v>205</v>
      </c>
      <c r="C439" t="str">
        <f>HYPERLINK("http://service.sap.com/sap/support/notes/1957348","1957348")</f>
        <v>1957348</v>
      </c>
      <c r="D439">
        <v>1</v>
      </c>
      <c r="E439" t="s">
        <v>1505</v>
      </c>
      <c r="F439" t="s">
        <v>9</v>
      </c>
    </row>
    <row r="440" spans="1:6" x14ac:dyDescent="0.3">
      <c r="A440" t="s">
        <v>204</v>
      </c>
      <c r="B440" t="s">
        <v>1147</v>
      </c>
      <c r="C440" t="str">
        <f>HYPERLINK("http://service.sap.com/sap/support/notes/1951460","1951460")</f>
        <v>1951460</v>
      </c>
      <c r="D440">
        <v>1</v>
      </c>
      <c r="E440" t="s">
        <v>2074</v>
      </c>
      <c r="F440" t="s">
        <v>9</v>
      </c>
    </row>
    <row r="441" spans="1:6" x14ac:dyDescent="0.3">
      <c r="A441" t="s">
        <v>204</v>
      </c>
      <c r="B441" t="s">
        <v>1147</v>
      </c>
      <c r="C441" t="str">
        <f>HYPERLINK("http://service.sap.com/sap/support/notes/1964298","1964298")</f>
        <v>1964298</v>
      </c>
      <c r="D441">
        <v>2</v>
      </c>
      <c r="E441" t="s">
        <v>2075</v>
      </c>
      <c r="F441" t="s">
        <v>9</v>
      </c>
    </row>
    <row r="442" spans="1:6" x14ac:dyDescent="0.3">
      <c r="A442" t="s">
        <v>204</v>
      </c>
      <c r="B442" t="s">
        <v>1147</v>
      </c>
      <c r="C442" t="str">
        <f>HYPERLINK("http://service.sap.com/sap/support/notes/1965478","1965478")</f>
        <v>1965478</v>
      </c>
      <c r="D442">
        <v>1</v>
      </c>
      <c r="E442" t="s">
        <v>2076</v>
      </c>
      <c r="F442" t="s">
        <v>9</v>
      </c>
    </row>
    <row r="443" spans="1:6" x14ac:dyDescent="0.3">
      <c r="A443" t="s">
        <v>204</v>
      </c>
      <c r="B443" t="s">
        <v>1147</v>
      </c>
      <c r="C443" t="str">
        <f>HYPERLINK("http://service.sap.com/sap/support/notes/1971239","1971239")</f>
        <v>1971239</v>
      </c>
      <c r="D443">
        <v>6</v>
      </c>
      <c r="E443" t="s">
        <v>2403</v>
      </c>
      <c r="F443" t="s">
        <v>9</v>
      </c>
    </row>
    <row r="444" spans="1:6" x14ac:dyDescent="0.3">
      <c r="A444" t="s">
        <v>204</v>
      </c>
      <c r="B444" t="s">
        <v>1147</v>
      </c>
      <c r="C444" t="str">
        <f>HYPERLINK("http://service.sap.com/sap/support/notes/1971273","1971273")</f>
        <v>1971273</v>
      </c>
      <c r="D444">
        <v>1</v>
      </c>
      <c r="E444" t="s">
        <v>2404</v>
      </c>
      <c r="F444" t="s">
        <v>16</v>
      </c>
    </row>
    <row r="445" spans="1:6" x14ac:dyDescent="0.3">
      <c r="A445" t="s">
        <v>204</v>
      </c>
      <c r="B445" t="s">
        <v>1147</v>
      </c>
      <c r="C445" t="str">
        <f>HYPERLINK("http://service.sap.com/sap/support/notes/1972573","1972573")</f>
        <v>1972573</v>
      </c>
      <c r="D445">
        <v>2</v>
      </c>
      <c r="E445" t="s">
        <v>2405</v>
      </c>
      <c r="F445" t="s">
        <v>9</v>
      </c>
    </row>
    <row r="446" spans="1:6" x14ac:dyDescent="0.3">
      <c r="A446" t="s">
        <v>204</v>
      </c>
      <c r="B446" t="s">
        <v>1147</v>
      </c>
      <c r="C446" t="str">
        <f>HYPERLINK("http://service.sap.com/sap/support/notes/1973010","1973010")</f>
        <v>1973010</v>
      </c>
      <c r="D446">
        <v>5</v>
      </c>
      <c r="E446" t="s">
        <v>2406</v>
      </c>
      <c r="F446" t="s">
        <v>9</v>
      </c>
    </row>
    <row r="447" spans="1:6" x14ac:dyDescent="0.3">
      <c r="A447" t="s">
        <v>204</v>
      </c>
      <c r="B447" t="s">
        <v>1147</v>
      </c>
      <c r="C447" t="str">
        <f>HYPERLINK("http://service.sap.com/sap/support/notes/1976623","1976623")</f>
        <v>1976623</v>
      </c>
      <c r="D447">
        <v>2</v>
      </c>
      <c r="E447" t="s">
        <v>2407</v>
      </c>
      <c r="F447" t="s">
        <v>9</v>
      </c>
    </row>
    <row r="448" spans="1:6" x14ac:dyDescent="0.3">
      <c r="A448" t="s">
        <v>204</v>
      </c>
      <c r="B448" t="s">
        <v>1147</v>
      </c>
      <c r="C448" t="str">
        <f>HYPERLINK("http://service.sap.com/sap/support/notes/1976813","1976813")</f>
        <v>1976813</v>
      </c>
      <c r="D448">
        <v>2</v>
      </c>
      <c r="E448" t="s">
        <v>2408</v>
      </c>
      <c r="F448" t="s">
        <v>9</v>
      </c>
    </row>
    <row r="449" spans="1:6" x14ac:dyDescent="0.3">
      <c r="A449" t="s">
        <v>204</v>
      </c>
      <c r="B449" t="s">
        <v>1147</v>
      </c>
      <c r="C449" t="str">
        <f>HYPERLINK("http://service.sap.com/sap/support/notes/1977321","1977321")</f>
        <v>1977321</v>
      </c>
      <c r="D449">
        <v>4</v>
      </c>
      <c r="E449" t="s">
        <v>2409</v>
      </c>
      <c r="F449" t="s">
        <v>9</v>
      </c>
    </row>
    <row r="450" spans="1:6" x14ac:dyDescent="0.3">
      <c r="A450" t="s">
        <v>204</v>
      </c>
      <c r="B450" t="s">
        <v>205</v>
      </c>
      <c r="C450" t="str">
        <f>HYPERLINK("http://service.sap.com/sap/support/notes/1972573","1972573")</f>
        <v>1972573</v>
      </c>
      <c r="D450">
        <v>2</v>
      </c>
      <c r="E450" t="s">
        <v>2405</v>
      </c>
      <c r="F450" t="s">
        <v>9</v>
      </c>
    </row>
    <row r="451" spans="1:6" x14ac:dyDescent="0.3">
      <c r="A451" t="s">
        <v>204</v>
      </c>
      <c r="B451" t="s">
        <v>205</v>
      </c>
      <c r="C451" t="str">
        <f>HYPERLINK("http://service.sap.com/sap/support/notes/1976623","1976623")</f>
        <v>1976623</v>
      </c>
      <c r="D451">
        <v>2</v>
      </c>
      <c r="E451" t="s">
        <v>2407</v>
      </c>
      <c r="F451" t="s">
        <v>9</v>
      </c>
    </row>
    <row r="452" spans="1:6" x14ac:dyDescent="0.3">
      <c r="A452" t="s">
        <v>204</v>
      </c>
      <c r="B452" t="s">
        <v>205</v>
      </c>
      <c r="C452" t="str">
        <f>HYPERLINK("http://service.sap.com/sap/support/notes/1984679","1984679")</f>
        <v>1984679</v>
      </c>
      <c r="D452">
        <v>2</v>
      </c>
      <c r="E452" t="s">
        <v>2829</v>
      </c>
      <c r="F452" t="s">
        <v>9</v>
      </c>
    </row>
    <row r="453" spans="1:6" x14ac:dyDescent="0.3">
      <c r="A453" t="s">
        <v>204</v>
      </c>
      <c r="B453" t="s">
        <v>205</v>
      </c>
      <c r="C453" t="str">
        <f>HYPERLINK("http://service.sap.com/sap/support/notes/1984752","1984752")</f>
        <v>1984752</v>
      </c>
      <c r="D453">
        <v>3</v>
      </c>
      <c r="E453" t="s">
        <v>2830</v>
      </c>
      <c r="F453" t="s">
        <v>9</v>
      </c>
    </row>
    <row r="454" spans="1:6" x14ac:dyDescent="0.3">
      <c r="A454" t="s">
        <v>204</v>
      </c>
      <c r="B454" t="s">
        <v>205</v>
      </c>
      <c r="C454" t="str">
        <f>HYPERLINK("http://service.sap.com/sap/support/notes/1988010","1988010")</f>
        <v>1988010</v>
      </c>
      <c r="D454">
        <v>2</v>
      </c>
      <c r="E454" t="s">
        <v>2831</v>
      </c>
      <c r="F454" t="s">
        <v>9</v>
      </c>
    </row>
    <row r="455" spans="1:6" x14ac:dyDescent="0.3">
      <c r="A455" t="s">
        <v>204</v>
      </c>
      <c r="B455" t="s">
        <v>205</v>
      </c>
      <c r="C455" t="str">
        <f>HYPERLINK("http://service.sap.com/sap/support/notes/1989940","1989940")</f>
        <v>1989940</v>
      </c>
      <c r="D455">
        <v>1</v>
      </c>
      <c r="E455" t="s">
        <v>2832</v>
      </c>
      <c r="F455" t="s">
        <v>9</v>
      </c>
    </row>
    <row r="456" spans="1:6" x14ac:dyDescent="0.3">
      <c r="A456" t="s">
        <v>204</v>
      </c>
      <c r="B456" t="s">
        <v>205</v>
      </c>
      <c r="C456" t="str">
        <f>HYPERLINK("http://service.sap.com/sap/support/notes/1998875","1998875")</f>
        <v>1998875</v>
      </c>
      <c r="D456">
        <v>9</v>
      </c>
      <c r="E456" t="s">
        <v>3364</v>
      </c>
      <c r="F456" t="s">
        <v>9</v>
      </c>
    </row>
    <row r="457" spans="1:6" x14ac:dyDescent="0.3">
      <c r="A457" t="s">
        <v>204</v>
      </c>
      <c r="B457" t="s">
        <v>205</v>
      </c>
      <c r="C457" t="str">
        <f>HYPERLINK("http://service.sap.com/sap/support/notes/2004018","2004018")</f>
        <v>2004018</v>
      </c>
      <c r="D457">
        <v>3</v>
      </c>
      <c r="E457" t="s">
        <v>3365</v>
      </c>
      <c r="F457" t="s">
        <v>9</v>
      </c>
    </row>
    <row r="458" spans="1:6" x14ac:dyDescent="0.3">
      <c r="A458" t="s">
        <v>204</v>
      </c>
      <c r="B458" t="s">
        <v>205</v>
      </c>
      <c r="C458" t="str">
        <f>HYPERLINK("http://service.sap.com/sap/support/notes/2006167","2006167")</f>
        <v>2006167</v>
      </c>
      <c r="D458">
        <v>2</v>
      </c>
      <c r="E458" t="s">
        <v>3366</v>
      </c>
      <c r="F458" t="s">
        <v>9</v>
      </c>
    </row>
    <row r="459" spans="1:6" x14ac:dyDescent="0.3">
      <c r="A459" t="s">
        <v>204</v>
      </c>
      <c r="B459" t="s">
        <v>205</v>
      </c>
      <c r="C459" t="str">
        <f>HYPERLINK("http://service.sap.com/sap/support/notes/2008325","2008325")</f>
        <v>2008325</v>
      </c>
      <c r="D459">
        <v>1</v>
      </c>
      <c r="E459" t="s">
        <v>3367</v>
      </c>
      <c r="F459" t="s">
        <v>9</v>
      </c>
    </row>
    <row r="460" spans="1:6" x14ac:dyDescent="0.3">
      <c r="A460" t="s">
        <v>204</v>
      </c>
      <c r="B460" t="s">
        <v>205</v>
      </c>
      <c r="C460" t="str">
        <f>HYPERLINK("http://service.sap.com/sap/support/notes/2008666","2008666")</f>
        <v>2008666</v>
      </c>
      <c r="D460">
        <v>2</v>
      </c>
      <c r="E460" t="s">
        <v>3368</v>
      </c>
      <c r="F460" t="s">
        <v>9</v>
      </c>
    </row>
    <row r="461" spans="1:6" x14ac:dyDescent="0.3">
      <c r="A461" t="s">
        <v>204</v>
      </c>
      <c r="B461" t="s">
        <v>1147</v>
      </c>
      <c r="C461" t="str">
        <f>HYPERLINK("http://service.sap.com/sap/support/notes/2005435","2005435")</f>
        <v>2005435</v>
      </c>
      <c r="D461">
        <v>4</v>
      </c>
      <c r="E461" t="s">
        <v>4034</v>
      </c>
      <c r="F461" t="s">
        <v>9</v>
      </c>
    </row>
    <row r="462" spans="1:6" x14ac:dyDescent="0.3">
      <c r="A462" t="s">
        <v>204</v>
      </c>
      <c r="B462" t="s">
        <v>1147</v>
      </c>
      <c r="C462" t="str">
        <f>HYPERLINK("http://service.sap.com/sap/support/notes/2018201","2018201")</f>
        <v>2018201</v>
      </c>
      <c r="D462">
        <v>2</v>
      </c>
      <c r="E462" t="s">
        <v>4035</v>
      </c>
      <c r="F462" t="s">
        <v>16</v>
      </c>
    </row>
    <row r="463" spans="1:6" x14ac:dyDescent="0.3">
      <c r="A463" t="s">
        <v>204</v>
      </c>
      <c r="B463" t="s">
        <v>1147</v>
      </c>
      <c r="C463" t="str">
        <f>HYPERLINK("http://service.sap.com/sap/support/notes/2020285","2020285")</f>
        <v>2020285</v>
      </c>
      <c r="D463">
        <v>2</v>
      </c>
      <c r="E463" t="s">
        <v>4036</v>
      </c>
      <c r="F463" t="s">
        <v>9</v>
      </c>
    </row>
    <row r="464" spans="1:6" x14ac:dyDescent="0.3">
      <c r="A464" t="s">
        <v>204</v>
      </c>
      <c r="B464" t="s">
        <v>1147</v>
      </c>
      <c r="C464" t="str">
        <f>HYPERLINK("http://service.sap.com/sap/support/notes/1908743","1908743")</f>
        <v>1908743</v>
      </c>
      <c r="D464">
        <v>1</v>
      </c>
      <c r="E464" t="s">
        <v>208</v>
      </c>
      <c r="F464" t="s">
        <v>16</v>
      </c>
    </row>
    <row r="465" spans="1:6" x14ac:dyDescent="0.3">
      <c r="A465" t="s">
        <v>204</v>
      </c>
      <c r="B465" t="s">
        <v>1147</v>
      </c>
      <c r="C465" t="str">
        <f>HYPERLINK("http://service.sap.com/sap/support/notes/2008916","2008916")</f>
        <v>2008916</v>
      </c>
      <c r="D465">
        <v>1</v>
      </c>
      <c r="E465" t="s">
        <v>4398</v>
      </c>
      <c r="F465" t="s">
        <v>9</v>
      </c>
    </row>
    <row r="466" spans="1:6" x14ac:dyDescent="0.3">
      <c r="A466" t="s">
        <v>204</v>
      </c>
      <c r="B466" t="s">
        <v>1147</v>
      </c>
      <c r="C466" t="str">
        <f>HYPERLINK("http://service.sap.com/sap/support/notes/2031755","2031755")</f>
        <v>2031755</v>
      </c>
      <c r="D466">
        <v>2</v>
      </c>
      <c r="E466" t="s">
        <v>4399</v>
      </c>
      <c r="F466" t="s">
        <v>28</v>
      </c>
    </row>
    <row r="467" spans="1:6" x14ac:dyDescent="0.3">
      <c r="A467" t="s">
        <v>204</v>
      </c>
      <c r="B467" t="s">
        <v>1147</v>
      </c>
      <c r="C467" t="str">
        <f>HYPERLINK("http://service.sap.com/sap/support/notes/2032421","2032421")</f>
        <v>2032421</v>
      </c>
      <c r="D467">
        <v>1</v>
      </c>
      <c r="E467" t="s">
        <v>213</v>
      </c>
      <c r="F467" t="s">
        <v>16</v>
      </c>
    </row>
    <row r="468" spans="1:6" x14ac:dyDescent="0.3">
      <c r="A468" t="s">
        <v>204</v>
      </c>
      <c r="B468" t="s">
        <v>1147</v>
      </c>
      <c r="C468" t="str">
        <f>HYPERLINK("http://service.sap.com/sap/support/notes/2031755","2031755")</f>
        <v>2031755</v>
      </c>
      <c r="D468">
        <v>2</v>
      </c>
      <c r="E468" t="s">
        <v>4399</v>
      </c>
      <c r="F468" t="s">
        <v>28</v>
      </c>
    </row>
    <row r="469" spans="1:6" x14ac:dyDescent="0.3">
      <c r="A469" t="s">
        <v>204</v>
      </c>
      <c r="B469" t="s">
        <v>1147</v>
      </c>
      <c r="C469" t="str">
        <f>HYPERLINK("http://service.sap.com/sap/support/notes/2036813","2036813")</f>
        <v>2036813</v>
      </c>
      <c r="D469">
        <v>1</v>
      </c>
      <c r="E469" t="s">
        <v>4706</v>
      </c>
      <c r="F469" t="s">
        <v>9</v>
      </c>
    </row>
    <row r="470" spans="1:6" x14ac:dyDescent="0.3">
      <c r="A470" t="s">
        <v>204</v>
      </c>
      <c r="B470" t="s">
        <v>1147</v>
      </c>
      <c r="C470" t="str">
        <f>HYPERLINK("http://service.sap.com/sap/support/notes/2038487","2038487")</f>
        <v>2038487</v>
      </c>
      <c r="D470">
        <v>1</v>
      </c>
      <c r="E470" t="s">
        <v>4707</v>
      </c>
      <c r="F470" t="s">
        <v>9</v>
      </c>
    </row>
    <row r="471" spans="1:6" x14ac:dyDescent="0.3">
      <c r="A471" t="s">
        <v>204</v>
      </c>
      <c r="B471" t="s">
        <v>1147</v>
      </c>
      <c r="C471" t="str">
        <f>HYPERLINK("http://service.sap.com/sap/support/notes/2041730","2041730")</f>
        <v>2041730</v>
      </c>
      <c r="D471">
        <v>5</v>
      </c>
      <c r="E471" t="s">
        <v>4708</v>
      </c>
      <c r="F471" t="s">
        <v>9</v>
      </c>
    </row>
    <row r="472" spans="1:6" x14ac:dyDescent="0.3">
      <c r="A472" t="s">
        <v>204</v>
      </c>
      <c r="B472" t="s">
        <v>1147</v>
      </c>
      <c r="C472" t="str">
        <f>HYPERLINK("http://service.sap.com/sap/support/notes/2044055","2044055")</f>
        <v>2044055</v>
      </c>
      <c r="D472">
        <v>5</v>
      </c>
      <c r="E472" t="s">
        <v>4709</v>
      </c>
      <c r="F472" t="s">
        <v>9</v>
      </c>
    </row>
    <row r="473" spans="1:6" x14ac:dyDescent="0.3">
      <c r="A473" t="s">
        <v>204</v>
      </c>
      <c r="B473" t="s">
        <v>1147</v>
      </c>
      <c r="C473" t="str">
        <f>HYPERLINK("http://service.sap.com/sap/support/notes/2045637","2045637")</f>
        <v>2045637</v>
      </c>
      <c r="D473">
        <v>1</v>
      </c>
      <c r="E473" t="s">
        <v>4710</v>
      </c>
      <c r="F473" t="s">
        <v>9</v>
      </c>
    </row>
    <row r="474" spans="1:6" x14ac:dyDescent="0.3">
      <c r="A474" t="s">
        <v>204</v>
      </c>
      <c r="B474" t="s">
        <v>1147</v>
      </c>
      <c r="C474" t="str">
        <f>HYPERLINK("http://service.sap.com/sap/support/notes/2046423","2046423")</f>
        <v>2046423</v>
      </c>
      <c r="D474">
        <v>2</v>
      </c>
      <c r="E474" t="s">
        <v>4711</v>
      </c>
      <c r="F474" t="s">
        <v>9</v>
      </c>
    </row>
    <row r="475" spans="1:6" x14ac:dyDescent="0.3">
      <c r="A475" t="s">
        <v>204</v>
      </c>
      <c r="B475" t="s">
        <v>1147</v>
      </c>
      <c r="C475" t="str">
        <f>HYPERLINK("http://service.sap.com/sap/support/notes/2046659","2046659")</f>
        <v>2046659</v>
      </c>
      <c r="D475">
        <v>2</v>
      </c>
      <c r="E475" t="s">
        <v>5076</v>
      </c>
      <c r="F475" t="s">
        <v>9</v>
      </c>
    </row>
    <row r="476" spans="1:6" x14ac:dyDescent="0.3">
      <c r="A476" t="s">
        <v>204</v>
      </c>
      <c r="B476" t="s">
        <v>1147</v>
      </c>
      <c r="C476" t="str">
        <f>HYPERLINK("http://service.sap.com/sap/support/notes/2050554","2050554")</f>
        <v>2050554</v>
      </c>
      <c r="D476">
        <v>1</v>
      </c>
      <c r="E476" t="s">
        <v>5077</v>
      </c>
      <c r="F476" t="s">
        <v>9</v>
      </c>
    </row>
    <row r="477" spans="1:6" x14ac:dyDescent="0.3">
      <c r="A477" t="s">
        <v>204</v>
      </c>
      <c r="B477" t="s">
        <v>1147</v>
      </c>
      <c r="C477" t="str">
        <f>HYPERLINK("http://service.sap.com/sap/support/notes/2051117","2051117")</f>
        <v>2051117</v>
      </c>
      <c r="D477">
        <v>1</v>
      </c>
      <c r="E477" t="s">
        <v>5078</v>
      </c>
      <c r="F477" t="s">
        <v>9</v>
      </c>
    </row>
    <row r="478" spans="1:6" x14ac:dyDescent="0.3">
      <c r="A478" t="s">
        <v>204</v>
      </c>
      <c r="B478" t="s">
        <v>1147</v>
      </c>
      <c r="C478" t="str">
        <f>HYPERLINK("http://service.sap.com/sap/support/notes/2051120","2051120")</f>
        <v>2051120</v>
      </c>
      <c r="D478">
        <v>3</v>
      </c>
      <c r="E478" t="s">
        <v>5079</v>
      </c>
      <c r="F478" t="s">
        <v>16</v>
      </c>
    </row>
    <row r="479" spans="1:6" x14ac:dyDescent="0.3">
      <c r="A479" t="s">
        <v>204</v>
      </c>
      <c r="B479" t="s">
        <v>1147</v>
      </c>
      <c r="C479" t="str">
        <f>HYPERLINK("http://service.sap.com/sap/support/notes/2054170","2054170")</f>
        <v>2054170</v>
      </c>
      <c r="D479">
        <v>1</v>
      </c>
      <c r="E479" t="s">
        <v>5080</v>
      </c>
      <c r="F479" t="s">
        <v>9</v>
      </c>
    </row>
    <row r="480" spans="1:6" x14ac:dyDescent="0.3">
      <c r="A480" t="s">
        <v>204</v>
      </c>
      <c r="B480" t="s">
        <v>1147</v>
      </c>
      <c r="C480" t="str">
        <f>HYPERLINK("http://service.sap.com/sap/support/notes/2054985","2054985")</f>
        <v>2054985</v>
      </c>
      <c r="D480">
        <v>7</v>
      </c>
      <c r="E480" t="s">
        <v>5081</v>
      </c>
      <c r="F480" t="s">
        <v>9</v>
      </c>
    </row>
    <row r="481" spans="1:6" x14ac:dyDescent="0.3">
      <c r="A481" t="s">
        <v>204</v>
      </c>
      <c r="B481" t="s">
        <v>1147</v>
      </c>
      <c r="C481" t="str">
        <f>HYPERLINK("http://service.sap.com/sap/support/notes/2055206","2055206")</f>
        <v>2055206</v>
      </c>
      <c r="D481">
        <v>1</v>
      </c>
      <c r="E481" t="s">
        <v>5082</v>
      </c>
      <c r="F481" t="s">
        <v>9</v>
      </c>
    </row>
    <row r="482" spans="1:6" x14ac:dyDescent="0.3">
      <c r="A482" t="s">
        <v>204</v>
      </c>
      <c r="B482" t="s">
        <v>1147</v>
      </c>
      <c r="C482" t="str">
        <f>HYPERLINK("http://service.sap.com/sap/support/notes/2055226","2055226")</f>
        <v>2055226</v>
      </c>
      <c r="D482">
        <v>3</v>
      </c>
      <c r="E482" t="s">
        <v>5083</v>
      </c>
      <c r="F482" t="s">
        <v>9</v>
      </c>
    </row>
    <row r="483" spans="1:6" x14ac:dyDescent="0.3">
      <c r="A483" t="s">
        <v>204</v>
      </c>
      <c r="B483" t="s">
        <v>1147</v>
      </c>
      <c r="C483" t="str">
        <f>HYPERLINK("http://service.sap.com/sap/support/notes/2059146","2059146")</f>
        <v>2059146</v>
      </c>
      <c r="D483">
        <v>6</v>
      </c>
      <c r="E483" t="s">
        <v>5409</v>
      </c>
      <c r="F483" t="s">
        <v>9</v>
      </c>
    </row>
    <row r="484" spans="1:6" x14ac:dyDescent="0.3">
      <c r="A484" t="s">
        <v>204</v>
      </c>
      <c r="B484" t="s">
        <v>1147</v>
      </c>
      <c r="C484" t="str">
        <f>HYPERLINK("http://service.sap.com/sap/support/notes/2060194","2060194")</f>
        <v>2060194</v>
      </c>
      <c r="D484">
        <v>1</v>
      </c>
      <c r="E484" t="s">
        <v>5410</v>
      </c>
      <c r="F484" t="s">
        <v>9</v>
      </c>
    </row>
    <row r="485" spans="1:6" x14ac:dyDescent="0.3">
      <c r="A485" t="s">
        <v>204</v>
      </c>
      <c r="B485" t="s">
        <v>1147</v>
      </c>
      <c r="C485" t="str">
        <f>HYPERLINK("http://service.sap.com/sap/support/notes/2061687","2061687")</f>
        <v>2061687</v>
      </c>
      <c r="D485">
        <v>1</v>
      </c>
      <c r="E485" t="s">
        <v>5411</v>
      </c>
      <c r="F485" t="s">
        <v>9</v>
      </c>
    </row>
    <row r="486" spans="1:6" x14ac:dyDescent="0.3">
      <c r="A486" t="s">
        <v>204</v>
      </c>
      <c r="B486" t="s">
        <v>1147</v>
      </c>
      <c r="C486" t="str">
        <f>HYPERLINK("http://service.sap.com/sap/support/notes/2062448","2062448")</f>
        <v>2062448</v>
      </c>
      <c r="D486">
        <v>1</v>
      </c>
      <c r="E486" t="s">
        <v>5412</v>
      </c>
      <c r="F486" t="s">
        <v>9</v>
      </c>
    </row>
    <row r="487" spans="1:6" x14ac:dyDescent="0.3">
      <c r="A487" t="s">
        <v>204</v>
      </c>
      <c r="B487" t="s">
        <v>1147</v>
      </c>
      <c r="C487" t="str">
        <f>HYPERLINK("http://service.sap.com/sap/support/notes/2066410","2066410")</f>
        <v>2066410</v>
      </c>
      <c r="D487">
        <v>2</v>
      </c>
      <c r="E487" t="s">
        <v>5413</v>
      </c>
      <c r="F487" t="s">
        <v>9</v>
      </c>
    </row>
    <row r="488" spans="1:6" x14ac:dyDescent="0.3">
      <c r="A488" t="s">
        <v>217</v>
      </c>
      <c r="B488" t="s">
        <v>218</v>
      </c>
      <c r="C488" t="str">
        <f>HYPERLINK("http://service.sap.com/sap/support/notes/1913878","1913878")</f>
        <v>1913878</v>
      </c>
      <c r="D488">
        <v>1</v>
      </c>
      <c r="E488" t="s">
        <v>219</v>
      </c>
      <c r="F488" t="s">
        <v>9</v>
      </c>
    </row>
    <row r="489" spans="1:6" x14ac:dyDescent="0.3">
      <c r="A489" t="s">
        <v>217</v>
      </c>
      <c r="B489" t="s">
        <v>218</v>
      </c>
      <c r="C489" t="str">
        <f>HYPERLINK("http://service.sap.com/sap/support/notes/1929941","1929941")</f>
        <v>1929941</v>
      </c>
      <c r="D489">
        <v>1</v>
      </c>
      <c r="E489" t="s">
        <v>220</v>
      </c>
      <c r="F489" t="s">
        <v>9</v>
      </c>
    </row>
    <row r="490" spans="1:6" x14ac:dyDescent="0.3">
      <c r="A490" t="s">
        <v>217</v>
      </c>
      <c r="B490" t="s">
        <v>218</v>
      </c>
      <c r="C490" t="str">
        <f>HYPERLINK("http://service.sap.com/sap/support/notes/1931363","1931363")</f>
        <v>1931363</v>
      </c>
      <c r="D490">
        <v>5</v>
      </c>
      <c r="E490" t="s">
        <v>1151</v>
      </c>
      <c r="F490" t="s">
        <v>9</v>
      </c>
    </row>
    <row r="491" spans="1:6" x14ac:dyDescent="0.3">
      <c r="A491" t="s">
        <v>217</v>
      </c>
      <c r="B491" t="s">
        <v>218</v>
      </c>
      <c r="C491" t="str">
        <f>HYPERLINK("http://service.sap.com/sap/support/notes/1952507","1952507")</f>
        <v>1952507</v>
      </c>
      <c r="D491">
        <v>4</v>
      </c>
      <c r="E491" t="s">
        <v>1506</v>
      </c>
      <c r="F491" t="s">
        <v>9</v>
      </c>
    </row>
    <row r="492" spans="1:6" x14ac:dyDescent="0.3">
      <c r="A492" t="s">
        <v>217</v>
      </c>
      <c r="B492" t="s">
        <v>218</v>
      </c>
      <c r="C492" t="str">
        <f>HYPERLINK("http://service.sap.com/sap/support/notes/1958510","1958510")</f>
        <v>1958510</v>
      </c>
      <c r="D492">
        <v>2</v>
      </c>
      <c r="E492" t="s">
        <v>1507</v>
      </c>
      <c r="F492" t="s">
        <v>28</v>
      </c>
    </row>
    <row r="493" spans="1:6" x14ac:dyDescent="0.3">
      <c r="A493" t="s">
        <v>217</v>
      </c>
      <c r="B493" t="s">
        <v>218</v>
      </c>
      <c r="C493" t="str">
        <f>HYPERLINK("http://service.sap.com/sap/support/notes/1963717","1963717")</f>
        <v>1963717</v>
      </c>
      <c r="D493">
        <v>1</v>
      </c>
      <c r="E493" t="s">
        <v>2077</v>
      </c>
      <c r="F493" t="s">
        <v>9</v>
      </c>
    </row>
    <row r="494" spans="1:6" x14ac:dyDescent="0.3">
      <c r="A494" t="s">
        <v>217</v>
      </c>
      <c r="B494" t="s">
        <v>218</v>
      </c>
      <c r="C494" t="str">
        <f>HYPERLINK("http://service.sap.com/sap/support/notes/1931363","1931363")</f>
        <v>1931363</v>
      </c>
      <c r="D494">
        <v>5</v>
      </c>
      <c r="E494" t="s">
        <v>1151</v>
      </c>
      <c r="F494" t="s">
        <v>9</v>
      </c>
    </row>
    <row r="495" spans="1:6" x14ac:dyDescent="0.3">
      <c r="A495" t="s">
        <v>217</v>
      </c>
      <c r="B495" t="s">
        <v>218</v>
      </c>
      <c r="C495" t="str">
        <f>HYPERLINK("http://service.sap.com/sap/support/notes/1978571","1978571")</f>
        <v>1978571</v>
      </c>
      <c r="D495">
        <v>1</v>
      </c>
      <c r="E495" t="s">
        <v>2410</v>
      </c>
      <c r="F495" t="s">
        <v>9</v>
      </c>
    </row>
    <row r="496" spans="1:6" x14ac:dyDescent="0.3">
      <c r="A496" t="s">
        <v>217</v>
      </c>
      <c r="B496" t="s">
        <v>218</v>
      </c>
      <c r="C496" t="str">
        <f>HYPERLINK("http://service.sap.com/sap/support/notes/1979700","1979700")</f>
        <v>1979700</v>
      </c>
      <c r="D496">
        <v>2</v>
      </c>
      <c r="E496" t="s">
        <v>2411</v>
      </c>
      <c r="F496" t="s">
        <v>9</v>
      </c>
    </row>
    <row r="497" spans="1:6" x14ac:dyDescent="0.3">
      <c r="A497" t="s">
        <v>217</v>
      </c>
      <c r="B497" t="s">
        <v>218</v>
      </c>
      <c r="C497" t="str">
        <f>HYPERLINK("http://service.sap.com/sap/support/notes/1980833","1980833")</f>
        <v>1980833</v>
      </c>
      <c r="D497">
        <v>2</v>
      </c>
      <c r="E497" t="s">
        <v>2412</v>
      </c>
      <c r="F497" t="s">
        <v>28</v>
      </c>
    </row>
    <row r="498" spans="1:6" x14ac:dyDescent="0.3">
      <c r="A498" t="s">
        <v>217</v>
      </c>
      <c r="B498" t="s">
        <v>218</v>
      </c>
      <c r="C498" t="str">
        <f>HYPERLINK("http://service.sap.com/sap/support/notes/1982278","1982278")</f>
        <v>1982278</v>
      </c>
      <c r="D498">
        <v>3</v>
      </c>
      <c r="E498" t="s">
        <v>2413</v>
      </c>
      <c r="F498" t="s">
        <v>9</v>
      </c>
    </row>
    <row r="499" spans="1:6" x14ac:dyDescent="0.3">
      <c r="A499" t="s">
        <v>217</v>
      </c>
      <c r="B499" t="s">
        <v>218</v>
      </c>
      <c r="C499" t="str">
        <f>HYPERLINK("http://service.sap.com/sap/support/notes/1982278","1982278")</f>
        <v>1982278</v>
      </c>
      <c r="D499">
        <v>3</v>
      </c>
      <c r="E499" t="s">
        <v>2413</v>
      </c>
      <c r="F499" t="s">
        <v>9</v>
      </c>
    </row>
    <row r="500" spans="1:6" x14ac:dyDescent="0.3">
      <c r="A500" t="s">
        <v>217</v>
      </c>
      <c r="B500" t="s">
        <v>218</v>
      </c>
      <c r="C500" t="str">
        <f>HYPERLINK("http://service.sap.com/sap/support/notes/1983359","1983359")</f>
        <v>1983359</v>
      </c>
      <c r="D500">
        <v>2</v>
      </c>
      <c r="E500" t="s">
        <v>2833</v>
      </c>
      <c r="F500" t="s">
        <v>9</v>
      </c>
    </row>
    <row r="501" spans="1:6" x14ac:dyDescent="0.3">
      <c r="A501" t="s">
        <v>217</v>
      </c>
      <c r="B501" t="s">
        <v>218</v>
      </c>
      <c r="C501" t="str">
        <f>HYPERLINK("http://service.sap.com/sap/support/notes/1984534","1984534")</f>
        <v>1984534</v>
      </c>
      <c r="D501">
        <v>1</v>
      </c>
      <c r="E501" t="s">
        <v>2834</v>
      </c>
      <c r="F501" t="s">
        <v>9</v>
      </c>
    </row>
    <row r="502" spans="1:6" x14ac:dyDescent="0.3">
      <c r="A502" t="s">
        <v>217</v>
      </c>
      <c r="B502" t="s">
        <v>218</v>
      </c>
      <c r="C502" t="str">
        <f>HYPERLINK("http://service.sap.com/sap/support/notes/1988791","1988791")</f>
        <v>1988791</v>
      </c>
      <c r="D502">
        <v>1</v>
      </c>
      <c r="E502" t="s">
        <v>2835</v>
      </c>
      <c r="F502" t="s">
        <v>9</v>
      </c>
    </row>
    <row r="503" spans="1:6" x14ac:dyDescent="0.3">
      <c r="A503" t="s">
        <v>217</v>
      </c>
      <c r="B503" t="s">
        <v>218</v>
      </c>
      <c r="C503" t="str">
        <f>HYPERLINK("http://service.sap.com/sap/support/notes/1992471","1992471")</f>
        <v>1992471</v>
      </c>
      <c r="D503">
        <v>1</v>
      </c>
      <c r="E503" t="s">
        <v>2836</v>
      </c>
      <c r="F503" t="s">
        <v>9</v>
      </c>
    </row>
    <row r="504" spans="1:6" x14ac:dyDescent="0.3">
      <c r="A504" t="s">
        <v>217</v>
      </c>
      <c r="B504" t="s">
        <v>218</v>
      </c>
      <c r="C504" t="str">
        <f>HYPERLINK("http://service.sap.com/sap/support/notes/1994090","1994090")</f>
        <v>1994090</v>
      </c>
      <c r="D504">
        <v>1</v>
      </c>
      <c r="E504" t="s">
        <v>2837</v>
      </c>
      <c r="F504" t="s">
        <v>9</v>
      </c>
    </row>
    <row r="505" spans="1:6" x14ac:dyDescent="0.3">
      <c r="A505" t="s">
        <v>217</v>
      </c>
      <c r="B505" t="s">
        <v>218</v>
      </c>
      <c r="C505" t="str">
        <f>HYPERLINK("http://service.sap.com/sap/support/notes/1996222","1996222")</f>
        <v>1996222</v>
      </c>
      <c r="D505">
        <v>1</v>
      </c>
      <c r="E505" t="s">
        <v>3369</v>
      </c>
      <c r="F505" t="s">
        <v>9</v>
      </c>
    </row>
    <row r="506" spans="1:6" x14ac:dyDescent="0.3">
      <c r="A506" t="s">
        <v>217</v>
      </c>
      <c r="B506" t="s">
        <v>218</v>
      </c>
      <c r="C506" t="str">
        <f>HYPERLINK("http://service.sap.com/sap/support/notes/1998619","1998619")</f>
        <v>1998619</v>
      </c>
      <c r="D506">
        <v>1</v>
      </c>
      <c r="E506" t="s">
        <v>3370</v>
      </c>
      <c r="F506" t="s">
        <v>9</v>
      </c>
    </row>
    <row r="507" spans="1:6" x14ac:dyDescent="0.3">
      <c r="A507" t="s">
        <v>217</v>
      </c>
      <c r="B507" t="s">
        <v>218</v>
      </c>
      <c r="C507" t="str">
        <f>HYPERLINK("http://service.sap.com/sap/support/notes/2006826","2006826")</f>
        <v>2006826</v>
      </c>
      <c r="D507">
        <v>2</v>
      </c>
      <c r="E507" t="s">
        <v>3371</v>
      </c>
      <c r="F507" t="s">
        <v>9</v>
      </c>
    </row>
    <row r="508" spans="1:6" x14ac:dyDescent="0.3">
      <c r="A508" t="s">
        <v>217</v>
      </c>
      <c r="B508" t="s">
        <v>218</v>
      </c>
      <c r="C508" t="str">
        <f>HYPERLINK("http://service.sap.com/sap/support/notes/2006265","2006265")</f>
        <v>2006265</v>
      </c>
      <c r="D508">
        <v>1</v>
      </c>
      <c r="E508" t="s">
        <v>4037</v>
      </c>
      <c r="F508" t="s">
        <v>9</v>
      </c>
    </row>
    <row r="509" spans="1:6" x14ac:dyDescent="0.3">
      <c r="A509" t="s">
        <v>217</v>
      </c>
      <c r="B509" t="s">
        <v>218</v>
      </c>
      <c r="C509" t="str">
        <f>HYPERLINK("http://service.sap.com/sap/support/notes/2010236","2010236")</f>
        <v>2010236</v>
      </c>
      <c r="D509">
        <v>2</v>
      </c>
      <c r="E509" t="s">
        <v>4038</v>
      </c>
      <c r="F509" t="s">
        <v>9</v>
      </c>
    </row>
    <row r="510" spans="1:6" x14ac:dyDescent="0.3">
      <c r="A510" t="s">
        <v>217</v>
      </c>
      <c r="B510" t="s">
        <v>218</v>
      </c>
      <c r="C510" t="str">
        <f>HYPERLINK("http://service.sap.com/sap/support/notes/2015147","2015147")</f>
        <v>2015147</v>
      </c>
      <c r="D510">
        <v>1</v>
      </c>
      <c r="E510" t="s">
        <v>4039</v>
      </c>
      <c r="F510" t="s">
        <v>9</v>
      </c>
    </row>
    <row r="511" spans="1:6" x14ac:dyDescent="0.3">
      <c r="A511" t="s">
        <v>217</v>
      </c>
      <c r="B511" t="s">
        <v>218</v>
      </c>
      <c r="C511" t="str">
        <f>HYPERLINK("http://service.sap.com/sap/support/notes/2015892","2015892")</f>
        <v>2015892</v>
      </c>
      <c r="D511">
        <v>1</v>
      </c>
      <c r="E511" t="s">
        <v>4040</v>
      </c>
      <c r="F511" t="s">
        <v>9</v>
      </c>
    </row>
    <row r="512" spans="1:6" x14ac:dyDescent="0.3">
      <c r="A512" t="s">
        <v>217</v>
      </c>
      <c r="B512" t="s">
        <v>218</v>
      </c>
      <c r="C512" t="str">
        <f>HYPERLINK("http://service.sap.com/sap/support/notes/2006265","2006265")</f>
        <v>2006265</v>
      </c>
      <c r="D512">
        <v>1</v>
      </c>
      <c r="E512" t="s">
        <v>4037</v>
      </c>
      <c r="F512" t="s">
        <v>9</v>
      </c>
    </row>
    <row r="513" spans="1:6" x14ac:dyDescent="0.3">
      <c r="A513" t="s">
        <v>217</v>
      </c>
      <c r="B513" t="s">
        <v>218</v>
      </c>
      <c r="C513" t="str">
        <f>HYPERLINK("http://service.sap.com/sap/support/notes/2029478","2029478")</f>
        <v>2029478</v>
      </c>
      <c r="D513">
        <v>1</v>
      </c>
      <c r="E513" t="s">
        <v>4400</v>
      </c>
      <c r="F513" t="s">
        <v>9</v>
      </c>
    </row>
    <row r="514" spans="1:6" x14ac:dyDescent="0.3">
      <c r="A514" t="s">
        <v>217</v>
      </c>
      <c r="B514" t="s">
        <v>218</v>
      </c>
      <c r="C514" t="str">
        <f>HYPERLINK("http://service.sap.com/sap/support/notes/2032744","2032744")</f>
        <v>2032744</v>
      </c>
      <c r="D514">
        <v>1</v>
      </c>
      <c r="E514" t="s">
        <v>4401</v>
      </c>
      <c r="F514" t="s">
        <v>9</v>
      </c>
    </row>
    <row r="515" spans="1:6" x14ac:dyDescent="0.3">
      <c r="A515" t="s">
        <v>217</v>
      </c>
      <c r="B515" t="s">
        <v>218</v>
      </c>
      <c r="C515" t="str">
        <f>HYPERLINK("http://service.sap.com/sap/support/notes/1998635","1998635")</f>
        <v>1998635</v>
      </c>
      <c r="D515">
        <v>1</v>
      </c>
      <c r="E515" t="s">
        <v>4712</v>
      </c>
      <c r="F515" t="s">
        <v>9</v>
      </c>
    </row>
    <row r="516" spans="1:6" x14ac:dyDescent="0.3">
      <c r="A516" t="s">
        <v>217</v>
      </c>
      <c r="B516" t="s">
        <v>218</v>
      </c>
      <c r="C516" t="str">
        <f>HYPERLINK("http://service.sap.com/sap/support/notes/2028521","2028521")</f>
        <v>2028521</v>
      </c>
      <c r="D516">
        <v>1</v>
      </c>
      <c r="E516" t="s">
        <v>4713</v>
      </c>
      <c r="F516" t="s">
        <v>9</v>
      </c>
    </row>
    <row r="517" spans="1:6" x14ac:dyDescent="0.3">
      <c r="A517" t="s">
        <v>217</v>
      </c>
      <c r="B517" t="s">
        <v>218</v>
      </c>
      <c r="C517" t="str">
        <f>HYPERLINK("http://service.sap.com/sap/support/notes/2039927","2039927")</f>
        <v>2039927</v>
      </c>
      <c r="D517">
        <v>1</v>
      </c>
      <c r="E517" t="s">
        <v>4714</v>
      </c>
      <c r="F517" t="s">
        <v>9</v>
      </c>
    </row>
    <row r="518" spans="1:6" x14ac:dyDescent="0.3">
      <c r="A518" t="s">
        <v>217</v>
      </c>
      <c r="B518" t="s">
        <v>218</v>
      </c>
      <c r="C518" t="str">
        <f>HYPERLINK("http://service.sap.com/sap/support/notes/1998635","1998635")</f>
        <v>1998635</v>
      </c>
      <c r="D518">
        <v>1</v>
      </c>
      <c r="E518" t="s">
        <v>4712</v>
      </c>
      <c r="F518" t="s">
        <v>9</v>
      </c>
    </row>
    <row r="519" spans="1:6" x14ac:dyDescent="0.3">
      <c r="A519" t="s">
        <v>217</v>
      </c>
      <c r="B519" t="s">
        <v>218</v>
      </c>
      <c r="C519" t="str">
        <f>HYPERLINK("http://service.sap.com/sap/support/notes/2032714","2032714")</f>
        <v>2032714</v>
      </c>
      <c r="D519">
        <v>1</v>
      </c>
      <c r="E519" t="s">
        <v>5084</v>
      </c>
      <c r="F519" t="s">
        <v>9</v>
      </c>
    </row>
    <row r="520" spans="1:6" x14ac:dyDescent="0.3">
      <c r="A520" t="s">
        <v>217</v>
      </c>
      <c r="B520" t="s">
        <v>218</v>
      </c>
      <c r="C520" t="str">
        <f>HYPERLINK("http://service.sap.com/sap/support/notes/2047718","2047718")</f>
        <v>2047718</v>
      </c>
      <c r="D520">
        <v>3</v>
      </c>
      <c r="E520" t="s">
        <v>5085</v>
      </c>
      <c r="F520" t="s">
        <v>9</v>
      </c>
    </row>
    <row r="521" spans="1:6" x14ac:dyDescent="0.3">
      <c r="A521" t="s">
        <v>217</v>
      </c>
      <c r="B521" t="s">
        <v>218</v>
      </c>
      <c r="C521" t="str">
        <f>HYPERLINK("http://service.sap.com/sap/support/notes/2054285","2054285")</f>
        <v>2054285</v>
      </c>
      <c r="D521">
        <v>3</v>
      </c>
      <c r="E521" t="s">
        <v>5086</v>
      </c>
      <c r="F521" t="s">
        <v>9</v>
      </c>
    </row>
    <row r="522" spans="1:6" x14ac:dyDescent="0.3">
      <c r="A522" t="s">
        <v>217</v>
      </c>
      <c r="B522" t="s">
        <v>218</v>
      </c>
      <c r="C522" t="str">
        <f>HYPERLINK("http://service.sap.com/sap/support/notes/2055971","2055971")</f>
        <v>2055971</v>
      </c>
      <c r="D522">
        <v>3</v>
      </c>
      <c r="E522" t="s">
        <v>5087</v>
      </c>
      <c r="F522" t="s">
        <v>9</v>
      </c>
    </row>
    <row r="523" spans="1:6" x14ac:dyDescent="0.3">
      <c r="A523" t="s">
        <v>217</v>
      </c>
      <c r="B523" t="s">
        <v>218</v>
      </c>
      <c r="C523" t="str">
        <f>HYPERLINK("http://service.sap.com/sap/support/notes/2054285","2054285")</f>
        <v>2054285</v>
      </c>
      <c r="D523">
        <v>3</v>
      </c>
      <c r="E523" t="s">
        <v>5086</v>
      </c>
      <c r="F523" t="s">
        <v>9</v>
      </c>
    </row>
    <row r="524" spans="1:6" x14ac:dyDescent="0.3">
      <c r="A524" t="s">
        <v>217</v>
      </c>
      <c r="B524" t="s">
        <v>218</v>
      </c>
      <c r="C524" t="str">
        <f>HYPERLINK("http://service.sap.com/sap/support/notes/2059078","2059078")</f>
        <v>2059078</v>
      </c>
      <c r="D524">
        <v>2</v>
      </c>
      <c r="E524" t="s">
        <v>5414</v>
      </c>
      <c r="F524" t="s">
        <v>9</v>
      </c>
    </row>
    <row r="525" spans="1:6" x14ac:dyDescent="0.3">
      <c r="A525" t="s">
        <v>217</v>
      </c>
      <c r="B525" t="s">
        <v>218</v>
      </c>
      <c r="C525" t="str">
        <f>HYPERLINK("http://service.sap.com/sap/support/notes/2066253","2066253")</f>
        <v>2066253</v>
      </c>
      <c r="D525">
        <v>1</v>
      </c>
      <c r="E525" t="s">
        <v>5415</v>
      </c>
      <c r="F525" t="s">
        <v>9</v>
      </c>
    </row>
    <row r="526" spans="1:6" x14ac:dyDescent="0.3">
      <c r="A526" t="s">
        <v>217</v>
      </c>
      <c r="B526" t="s">
        <v>218</v>
      </c>
      <c r="C526" t="str">
        <f>HYPERLINK("http://service.sap.com/sap/support/notes/2068982","2068982")</f>
        <v>2068982</v>
      </c>
      <c r="D526">
        <v>1</v>
      </c>
      <c r="E526" t="s">
        <v>5416</v>
      </c>
      <c r="F526" t="s">
        <v>9</v>
      </c>
    </row>
    <row r="527" spans="1:6" x14ac:dyDescent="0.3">
      <c r="A527" t="s">
        <v>1152</v>
      </c>
      <c r="B527" t="s">
        <v>943</v>
      </c>
      <c r="C527" t="str">
        <f>HYPERLINK("http://service.sap.com/sap/support/notes/1934898","1934898")</f>
        <v>1934898</v>
      </c>
      <c r="D527">
        <v>1</v>
      </c>
      <c r="E527" t="s">
        <v>1153</v>
      </c>
      <c r="F527" t="s">
        <v>9</v>
      </c>
    </row>
    <row r="528" spans="1:6" x14ac:dyDescent="0.3">
      <c r="A528" t="s">
        <v>1152</v>
      </c>
      <c r="B528" t="s">
        <v>943</v>
      </c>
      <c r="C528" t="str">
        <f>HYPERLINK("http://service.sap.com/sap/support/notes/1947887","1947887")</f>
        <v>1947887</v>
      </c>
      <c r="D528">
        <v>1</v>
      </c>
      <c r="E528" t="s">
        <v>1508</v>
      </c>
      <c r="F528" t="s">
        <v>9</v>
      </c>
    </row>
    <row r="529" spans="1:6" x14ac:dyDescent="0.3">
      <c r="A529" t="s">
        <v>1152</v>
      </c>
      <c r="B529" t="s">
        <v>943</v>
      </c>
      <c r="C529" t="str">
        <f>HYPERLINK("http://service.sap.com/sap/support/notes/1988065","1988065")</f>
        <v>1988065</v>
      </c>
      <c r="D529">
        <v>2</v>
      </c>
      <c r="E529" t="s">
        <v>2838</v>
      </c>
      <c r="F529" t="s">
        <v>9</v>
      </c>
    </row>
    <row r="530" spans="1:6" x14ac:dyDescent="0.3">
      <c r="A530" t="s">
        <v>1152</v>
      </c>
      <c r="B530" t="s">
        <v>943</v>
      </c>
      <c r="C530" t="str">
        <f>HYPERLINK("http://service.sap.com/sap/support/notes/1992993","1992993")</f>
        <v>1992993</v>
      </c>
      <c r="D530">
        <v>1</v>
      </c>
      <c r="E530" t="s">
        <v>2839</v>
      </c>
      <c r="F530" t="s">
        <v>9</v>
      </c>
    </row>
    <row r="531" spans="1:6" x14ac:dyDescent="0.3">
      <c r="A531" t="s">
        <v>1152</v>
      </c>
      <c r="B531" t="s">
        <v>943</v>
      </c>
      <c r="C531" t="str">
        <f>HYPERLINK("http://service.sap.com/sap/support/notes/2004287","2004287")</f>
        <v>2004287</v>
      </c>
      <c r="D531">
        <v>1</v>
      </c>
      <c r="E531" t="s">
        <v>3372</v>
      </c>
      <c r="F531" t="s">
        <v>9</v>
      </c>
    </row>
    <row r="532" spans="1:6" x14ac:dyDescent="0.3">
      <c r="A532" t="s">
        <v>1152</v>
      </c>
      <c r="B532" t="s">
        <v>943</v>
      </c>
      <c r="C532" t="str">
        <f>HYPERLINK("http://service.sap.com/sap/support/notes/2005558","2005558")</f>
        <v>2005558</v>
      </c>
      <c r="D532">
        <v>1</v>
      </c>
      <c r="E532" t="s">
        <v>3373</v>
      </c>
      <c r="F532" t="s">
        <v>9</v>
      </c>
    </row>
    <row r="533" spans="1:6" x14ac:dyDescent="0.3">
      <c r="A533" t="s">
        <v>1152</v>
      </c>
      <c r="B533" t="s">
        <v>943</v>
      </c>
      <c r="C533" t="str">
        <f>HYPERLINK("http://service.sap.com/sap/support/notes/2028119","2028119")</f>
        <v>2028119</v>
      </c>
      <c r="D533">
        <v>1</v>
      </c>
      <c r="E533" t="s">
        <v>4402</v>
      </c>
      <c r="F533" t="s">
        <v>9</v>
      </c>
    </row>
    <row r="534" spans="1:6" x14ac:dyDescent="0.3">
      <c r="A534" t="s">
        <v>1152</v>
      </c>
      <c r="B534" t="s">
        <v>943</v>
      </c>
      <c r="C534" t="str">
        <f>HYPERLINK("http://service.sap.com/sap/support/notes/2065133","2065133")</f>
        <v>2065133</v>
      </c>
      <c r="D534">
        <v>1</v>
      </c>
      <c r="E534" t="s">
        <v>5417</v>
      </c>
      <c r="F534" t="s">
        <v>9</v>
      </c>
    </row>
    <row r="535" spans="1:6" x14ac:dyDescent="0.3">
      <c r="A535" t="s">
        <v>221</v>
      </c>
      <c r="B535" t="s">
        <v>222</v>
      </c>
      <c r="C535" t="str">
        <f>HYPERLINK("http://service.sap.com/sap/support/notes/1923368","1923368")</f>
        <v>1923368</v>
      </c>
      <c r="D535">
        <v>1</v>
      </c>
      <c r="E535" t="s">
        <v>223</v>
      </c>
      <c r="F535" t="s">
        <v>16</v>
      </c>
    </row>
    <row r="536" spans="1:6" x14ac:dyDescent="0.3">
      <c r="A536" t="s">
        <v>221</v>
      </c>
      <c r="B536" t="s">
        <v>222</v>
      </c>
      <c r="C536" t="str">
        <f>HYPERLINK("http://service.sap.com/sap/support/notes/1924994","1924994")</f>
        <v>1924994</v>
      </c>
      <c r="D536">
        <v>1</v>
      </c>
      <c r="E536" t="s">
        <v>224</v>
      </c>
      <c r="F536" t="s">
        <v>16</v>
      </c>
    </row>
    <row r="537" spans="1:6" x14ac:dyDescent="0.3">
      <c r="A537" t="s">
        <v>221</v>
      </c>
      <c r="B537" t="s">
        <v>222</v>
      </c>
      <c r="C537" t="str">
        <f>HYPERLINK("http://service.sap.com/sap/support/notes/1926681","1926681")</f>
        <v>1926681</v>
      </c>
      <c r="D537">
        <v>1</v>
      </c>
      <c r="E537" t="s">
        <v>225</v>
      </c>
      <c r="F537" t="s">
        <v>9</v>
      </c>
    </row>
    <row r="538" spans="1:6" x14ac:dyDescent="0.3">
      <c r="A538" t="s">
        <v>221</v>
      </c>
      <c r="B538" t="s">
        <v>222</v>
      </c>
      <c r="C538" t="str">
        <f>HYPERLINK("http://service.sap.com/sap/support/notes/1988227","1988227")</f>
        <v>1988227</v>
      </c>
      <c r="D538">
        <v>4</v>
      </c>
      <c r="E538" t="s">
        <v>2840</v>
      </c>
      <c r="F538" t="s">
        <v>9</v>
      </c>
    </row>
    <row r="539" spans="1:6" x14ac:dyDescent="0.3">
      <c r="A539" t="s">
        <v>221</v>
      </c>
      <c r="B539" t="s">
        <v>222</v>
      </c>
      <c r="C539" t="str">
        <f>HYPERLINK("http://service.sap.com/sap/support/notes/2011458","2011458")</f>
        <v>2011458</v>
      </c>
      <c r="D539">
        <v>1</v>
      </c>
      <c r="E539" t="s">
        <v>4041</v>
      </c>
      <c r="F539" t="s">
        <v>9</v>
      </c>
    </row>
    <row r="540" spans="1:6" x14ac:dyDescent="0.3">
      <c r="A540" t="s">
        <v>226</v>
      </c>
      <c r="B540" t="s">
        <v>227</v>
      </c>
      <c r="C540" t="str">
        <f>HYPERLINK("http://service.sap.com/sap/support/notes/1841509","1841509")</f>
        <v>1841509</v>
      </c>
      <c r="D540">
        <v>2</v>
      </c>
      <c r="E540" t="s">
        <v>228</v>
      </c>
      <c r="F540" t="s">
        <v>16</v>
      </c>
    </row>
    <row r="541" spans="1:6" x14ac:dyDescent="0.3">
      <c r="A541" t="s">
        <v>226</v>
      </c>
      <c r="B541" t="s">
        <v>227</v>
      </c>
      <c r="C541" t="str">
        <f>HYPERLINK("http://service.sap.com/sap/support/notes/1853228","1853228")</f>
        <v>1853228</v>
      </c>
      <c r="D541">
        <v>2</v>
      </c>
      <c r="E541" t="s">
        <v>229</v>
      </c>
      <c r="F541" t="s">
        <v>16</v>
      </c>
    </row>
    <row r="542" spans="1:6" x14ac:dyDescent="0.3">
      <c r="A542" t="s">
        <v>226</v>
      </c>
      <c r="B542" t="s">
        <v>227</v>
      </c>
      <c r="C542" t="str">
        <f>HYPERLINK("http://service.sap.com/sap/support/notes/1909569","1909569")</f>
        <v>1909569</v>
      </c>
      <c r="D542">
        <v>1</v>
      </c>
      <c r="E542" t="s">
        <v>230</v>
      </c>
      <c r="F542" t="s">
        <v>16</v>
      </c>
    </row>
    <row r="543" spans="1:6" x14ac:dyDescent="0.3">
      <c r="A543" t="s">
        <v>226</v>
      </c>
      <c r="B543" t="s">
        <v>227</v>
      </c>
      <c r="C543" t="str">
        <f>HYPERLINK("http://service.sap.com/sap/support/notes/1930994","1930994")</f>
        <v>1930994</v>
      </c>
      <c r="D543">
        <v>1</v>
      </c>
      <c r="E543" t="s">
        <v>231</v>
      </c>
      <c r="F543" t="s">
        <v>9</v>
      </c>
    </row>
    <row r="544" spans="1:6" x14ac:dyDescent="0.3">
      <c r="A544" t="s">
        <v>226</v>
      </c>
      <c r="B544" t="s">
        <v>227</v>
      </c>
      <c r="C544" t="str">
        <f>HYPERLINK("http://service.sap.com/sap/support/notes/1931226","1931226")</f>
        <v>1931226</v>
      </c>
      <c r="D544">
        <v>1</v>
      </c>
      <c r="E544" t="s">
        <v>232</v>
      </c>
      <c r="F544" t="s">
        <v>16</v>
      </c>
    </row>
    <row r="545" spans="1:6" x14ac:dyDescent="0.3">
      <c r="A545" t="s">
        <v>226</v>
      </c>
      <c r="B545" t="s">
        <v>227</v>
      </c>
      <c r="C545" t="str">
        <f>HYPERLINK("http://service.sap.com/sap/support/notes/1919150","1919150")</f>
        <v>1919150</v>
      </c>
      <c r="D545">
        <v>8</v>
      </c>
      <c r="E545" t="s">
        <v>1154</v>
      </c>
      <c r="F545" t="s">
        <v>9</v>
      </c>
    </row>
    <row r="546" spans="1:6" x14ac:dyDescent="0.3">
      <c r="A546" t="s">
        <v>226</v>
      </c>
      <c r="B546" t="s">
        <v>227</v>
      </c>
      <c r="C546" t="str">
        <f>HYPERLINK("http://service.sap.com/sap/support/notes/1929152","1929152")</f>
        <v>1929152</v>
      </c>
      <c r="D546">
        <v>3</v>
      </c>
      <c r="E546" t="s">
        <v>2078</v>
      </c>
      <c r="F546" t="s">
        <v>9</v>
      </c>
    </row>
    <row r="547" spans="1:6" x14ac:dyDescent="0.3">
      <c r="A547" t="s">
        <v>226</v>
      </c>
      <c r="B547" t="s">
        <v>227</v>
      </c>
      <c r="C547" t="str">
        <f>HYPERLINK("http://service.sap.com/sap/support/notes/1976932","1976932")</f>
        <v>1976932</v>
      </c>
      <c r="D547">
        <v>4</v>
      </c>
      <c r="E547" t="s">
        <v>2414</v>
      </c>
      <c r="F547" t="s">
        <v>9</v>
      </c>
    </row>
    <row r="548" spans="1:6" x14ac:dyDescent="0.3">
      <c r="A548" t="s">
        <v>226</v>
      </c>
      <c r="B548" t="s">
        <v>227</v>
      </c>
      <c r="C548" t="str">
        <f>HYPERLINK("http://service.sap.com/sap/support/notes/1976932","1976932")</f>
        <v>1976932</v>
      </c>
      <c r="D548">
        <v>4</v>
      </c>
      <c r="E548" t="s">
        <v>2414</v>
      </c>
      <c r="F548" t="s">
        <v>9</v>
      </c>
    </row>
    <row r="549" spans="1:6" x14ac:dyDescent="0.3">
      <c r="A549" t="s">
        <v>226</v>
      </c>
      <c r="B549" t="s">
        <v>227</v>
      </c>
      <c r="C549" t="str">
        <f>HYPERLINK("http://service.sap.com/sap/support/notes/1995948","1995948")</f>
        <v>1995948</v>
      </c>
      <c r="D549">
        <v>2</v>
      </c>
      <c r="E549" t="s">
        <v>3374</v>
      </c>
      <c r="F549" t="s">
        <v>28</v>
      </c>
    </row>
    <row r="550" spans="1:6" x14ac:dyDescent="0.3">
      <c r="A550" t="s">
        <v>226</v>
      </c>
      <c r="B550" t="s">
        <v>227</v>
      </c>
      <c r="C550" t="str">
        <f>HYPERLINK("http://service.sap.com/sap/support/notes/1996041","1996041")</f>
        <v>1996041</v>
      </c>
      <c r="D550">
        <v>7</v>
      </c>
      <c r="E550" t="s">
        <v>3375</v>
      </c>
      <c r="F550" t="s">
        <v>28</v>
      </c>
    </row>
    <row r="551" spans="1:6" x14ac:dyDescent="0.3">
      <c r="A551" t="s">
        <v>226</v>
      </c>
      <c r="B551" t="s">
        <v>227</v>
      </c>
      <c r="C551" t="str">
        <f>HYPERLINK("http://service.sap.com/sap/support/notes/1996442","1996442")</f>
        <v>1996442</v>
      </c>
      <c r="D551">
        <v>2</v>
      </c>
      <c r="E551" t="s">
        <v>3376</v>
      </c>
      <c r="F551" t="s">
        <v>16</v>
      </c>
    </row>
    <row r="552" spans="1:6" x14ac:dyDescent="0.3">
      <c r="A552" t="s">
        <v>226</v>
      </c>
      <c r="B552" t="s">
        <v>227</v>
      </c>
      <c r="C552" t="str">
        <f>HYPERLINK("http://service.sap.com/sap/support/notes/1967356","1967356")</f>
        <v>1967356</v>
      </c>
      <c r="D552">
        <v>2</v>
      </c>
      <c r="E552" t="s">
        <v>4042</v>
      </c>
      <c r="F552" t="s">
        <v>9</v>
      </c>
    </row>
    <row r="553" spans="1:6" x14ac:dyDescent="0.3">
      <c r="A553" t="s">
        <v>226</v>
      </c>
      <c r="B553" t="s">
        <v>227</v>
      </c>
      <c r="C553" t="str">
        <f>HYPERLINK("http://service.sap.com/sap/support/notes/2015036","2015036")</f>
        <v>2015036</v>
      </c>
      <c r="D553">
        <v>4</v>
      </c>
      <c r="E553" t="s">
        <v>4403</v>
      </c>
      <c r="F553" t="s">
        <v>9</v>
      </c>
    </row>
    <row r="554" spans="1:6" x14ac:dyDescent="0.3">
      <c r="A554" t="s">
        <v>226</v>
      </c>
      <c r="B554" t="s">
        <v>227</v>
      </c>
      <c r="C554" t="str">
        <f>HYPERLINK("http://service.sap.com/sap/support/notes/2016147","2016147")</f>
        <v>2016147</v>
      </c>
      <c r="D554">
        <v>3</v>
      </c>
      <c r="E554" t="s">
        <v>4404</v>
      </c>
      <c r="F554" t="s">
        <v>9</v>
      </c>
    </row>
    <row r="555" spans="1:6" x14ac:dyDescent="0.3">
      <c r="A555" t="s">
        <v>226</v>
      </c>
      <c r="B555" t="s">
        <v>227</v>
      </c>
      <c r="C555" t="str">
        <f>HYPERLINK("http://service.sap.com/sap/support/notes/2032124","2032124")</f>
        <v>2032124</v>
      </c>
      <c r="D555">
        <v>1</v>
      </c>
      <c r="E555" t="s">
        <v>4715</v>
      </c>
      <c r="F555" t="s">
        <v>9</v>
      </c>
    </row>
    <row r="556" spans="1:6" x14ac:dyDescent="0.3">
      <c r="A556" t="s">
        <v>226</v>
      </c>
      <c r="B556" t="s">
        <v>227</v>
      </c>
      <c r="C556" t="str">
        <f>HYPERLINK("http://service.sap.com/sap/support/notes/2051850","2051850")</f>
        <v>2051850</v>
      </c>
      <c r="D556">
        <v>1</v>
      </c>
      <c r="E556" t="s">
        <v>5088</v>
      </c>
      <c r="F556" t="s">
        <v>9</v>
      </c>
    </row>
    <row r="557" spans="1:6" x14ac:dyDescent="0.3">
      <c r="A557" t="s">
        <v>226</v>
      </c>
      <c r="B557" t="s">
        <v>227</v>
      </c>
      <c r="C557" t="str">
        <f>HYPERLINK("http://service.sap.com/sap/support/notes/2054777","2054777")</f>
        <v>2054777</v>
      </c>
      <c r="D557">
        <v>3</v>
      </c>
      <c r="E557" t="s">
        <v>5418</v>
      </c>
      <c r="F557" t="s">
        <v>9</v>
      </c>
    </row>
    <row r="558" spans="1:6" x14ac:dyDescent="0.3">
      <c r="A558" t="s">
        <v>233</v>
      </c>
      <c r="B558" t="s">
        <v>234</v>
      </c>
      <c r="C558" t="str">
        <f>HYPERLINK("http://service.sap.com/sap/support/notes/1843256","1843256")</f>
        <v>1843256</v>
      </c>
      <c r="D558">
        <v>6</v>
      </c>
      <c r="E558" t="s">
        <v>235</v>
      </c>
      <c r="F558" t="s">
        <v>9</v>
      </c>
    </row>
    <row r="559" spans="1:6" x14ac:dyDescent="0.3">
      <c r="A559" t="s">
        <v>233</v>
      </c>
      <c r="B559" t="s">
        <v>234</v>
      </c>
      <c r="C559" t="str">
        <f>HYPERLINK("http://service.sap.com/sap/support/notes/1896985","1896985")</f>
        <v>1896985</v>
      </c>
      <c r="D559">
        <v>2</v>
      </c>
      <c r="E559" t="s">
        <v>236</v>
      </c>
      <c r="F559" t="s">
        <v>28</v>
      </c>
    </row>
    <row r="560" spans="1:6" x14ac:dyDescent="0.3">
      <c r="A560" t="s">
        <v>233</v>
      </c>
      <c r="B560" t="s">
        <v>234</v>
      </c>
      <c r="C560" t="str">
        <f>HYPERLINK("http://service.sap.com/sap/support/notes/1936657","1936657")</f>
        <v>1936657</v>
      </c>
      <c r="D560">
        <v>1</v>
      </c>
      <c r="E560" t="s">
        <v>1409</v>
      </c>
      <c r="F560" t="s">
        <v>28</v>
      </c>
    </row>
    <row r="561" spans="1:6" x14ac:dyDescent="0.3">
      <c r="A561" t="s">
        <v>233</v>
      </c>
      <c r="B561" t="s">
        <v>234</v>
      </c>
      <c r="C561" t="str">
        <f>HYPERLINK("http://service.sap.com/sap/support/notes/1850612","1850612")</f>
        <v>1850612</v>
      </c>
      <c r="D561">
        <v>3</v>
      </c>
      <c r="E561" t="s">
        <v>1509</v>
      </c>
      <c r="F561" t="s">
        <v>9</v>
      </c>
    </row>
    <row r="562" spans="1:6" x14ac:dyDescent="0.3">
      <c r="A562" t="s">
        <v>233</v>
      </c>
      <c r="B562" t="s">
        <v>234</v>
      </c>
      <c r="C562" t="str">
        <f>HYPERLINK("http://service.sap.com/sap/support/notes/1940877","1940877")</f>
        <v>1940877</v>
      </c>
      <c r="D562">
        <v>5</v>
      </c>
      <c r="E562" t="s">
        <v>2079</v>
      </c>
      <c r="F562" t="s">
        <v>9</v>
      </c>
    </row>
    <row r="563" spans="1:6" x14ac:dyDescent="0.3">
      <c r="A563" t="s">
        <v>233</v>
      </c>
      <c r="B563" t="s">
        <v>234</v>
      </c>
      <c r="C563" t="str">
        <f>HYPERLINK("http://service.sap.com/sap/support/notes/1978926","1978926")</f>
        <v>1978926</v>
      </c>
      <c r="D563">
        <v>3</v>
      </c>
      <c r="E563" t="s">
        <v>2841</v>
      </c>
      <c r="F563" t="s">
        <v>9</v>
      </c>
    </row>
    <row r="564" spans="1:6" x14ac:dyDescent="0.3">
      <c r="A564" t="s">
        <v>233</v>
      </c>
      <c r="B564" t="s">
        <v>234</v>
      </c>
      <c r="C564" t="str">
        <f>HYPERLINK("http://service.sap.com/sap/support/notes/1955454","1955454")</f>
        <v>1955454</v>
      </c>
      <c r="D564">
        <v>11</v>
      </c>
      <c r="E564" t="s">
        <v>3377</v>
      </c>
      <c r="F564" t="s">
        <v>28</v>
      </c>
    </row>
    <row r="565" spans="1:6" x14ac:dyDescent="0.3">
      <c r="A565" t="s">
        <v>233</v>
      </c>
      <c r="B565" t="s">
        <v>234</v>
      </c>
      <c r="C565" t="str">
        <f>HYPERLINK("http://service.sap.com/sap/support/notes/1963951","1963951")</f>
        <v>1963951</v>
      </c>
      <c r="D565">
        <v>6</v>
      </c>
      <c r="E565" t="s">
        <v>3378</v>
      </c>
      <c r="F565" t="s">
        <v>28</v>
      </c>
    </row>
    <row r="566" spans="1:6" x14ac:dyDescent="0.3">
      <c r="A566" t="s">
        <v>233</v>
      </c>
      <c r="B566" t="s">
        <v>234</v>
      </c>
      <c r="C566" t="str">
        <f>HYPERLINK("http://service.sap.com/sap/support/notes/1977044","1977044")</f>
        <v>1977044</v>
      </c>
      <c r="D566">
        <v>4</v>
      </c>
      <c r="E566" t="s">
        <v>3379</v>
      </c>
      <c r="F566" t="s">
        <v>9</v>
      </c>
    </row>
    <row r="567" spans="1:6" x14ac:dyDescent="0.3">
      <c r="A567" t="s">
        <v>233</v>
      </c>
      <c r="B567" t="s">
        <v>234</v>
      </c>
      <c r="C567" t="str">
        <f>HYPERLINK("http://service.sap.com/sap/support/notes/1996004","1996004")</f>
        <v>1996004</v>
      </c>
      <c r="D567">
        <v>5</v>
      </c>
      <c r="E567" t="s">
        <v>3380</v>
      </c>
      <c r="F567" t="s">
        <v>28</v>
      </c>
    </row>
    <row r="568" spans="1:6" x14ac:dyDescent="0.3">
      <c r="A568" t="s">
        <v>233</v>
      </c>
      <c r="B568" t="s">
        <v>234</v>
      </c>
      <c r="C568" t="str">
        <f>HYPERLINK("http://service.sap.com/sap/support/notes/2043692","2043692")</f>
        <v>2043692</v>
      </c>
      <c r="D568">
        <v>1</v>
      </c>
      <c r="E568" t="s">
        <v>4716</v>
      </c>
      <c r="F568" t="s">
        <v>9</v>
      </c>
    </row>
    <row r="569" spans="1:6" x14ac:dyDescent="0.3">
      <c r="A569" t="s">
        <v>233</v>
      </c>
      <c r="B569" t="s">
        <v>234</v>
      </c>
      <c r="C569" t="str">
        <f>HYPERLINK("http://service.sap.com/sap/support/notes/2049361","2049361")</f>
        <v>2049361</v>
      </c>
      <c r="D569">
        <v>1</v>
      </c>
      <c r="E569" t="s">
        <v>5089</v>
      </c>
      <c r="F569" t="s">
        <v>9</v>
      </c>
    </row>
    <row r="570" spans="1:6" x14ac:dyDescent="0.3">
      <c r="A570" t="s">
        <v>233</v>
      </c>
      <c r="B570" t="s">
        <v>234</v>
      </c>
      <c r="C570" t="str">
        <f>HYPERLINK("http://service.sap.com/sap/support/notes/2062610","2062610")</f>
        <v>2062610</v>
      </c>
      <c r="D570">
        <v>3</v>
      </c>
      <c r="E570" t="s">
        <v>5419</v>
      </c>
      <c r="F570" t="s">
        <v>9</v>
      </c>
    </row>
    <row r="571" spans="1:6" x14ac:dyDescent="0.3">
      <c r="A571" t="s">
        <v>4717</v>
      </c>
      <c r="B571" t="s">
        <v>1400</v>
      </c>
      <c r="C571" t="str">
        <f>HYPERLINK("http://service.sap.com/sap/support/notes/2028931","2028931")</f>
        <v>2028931</v>
      </c>
      <c r="D571">
        <v>2</v>
      </c>
      <c r="E571" t="s">
        <v>4718</v>
      </c>
      <c r="F571" t="s">
        <v>9</v>
      </c>
    </row>
    <row r="572" spans="1:6" x14ac:dyDescent="0.3">
      <c r="A572" t="s">
        <v>237</v>
      </c>
      <c r="B572" t="s">
        <v>238</v>
      </c>
      <c r="C572" t="str">
        <f>HYPERLINK("http://service.sap.com/sap/support/notes/1008585","1008585")</f>
        <v>1008585</v>
      </c>
      <c r="D572">
        <v>1</v>
      </c>
      <c r="E572" t="s">
        <v>239</v>
      </c>
      <c r="F572" t="s">
        <v>35</v>
      </c>
    </row>
    <row r="573" spans="1:6" x14ac:dyDescent="0.3">
      <c r="A573" t="s">
        <v>237</v>
      </c>
      <c r="B573" t="s">
        <v>238</v>
      </c>
      <c r="C573" t="str">
        <f>HYPERLINK("http://service.sap.com/sap/support/notes/1740042","1740042")</f>
        <v>1740042</v>
      </c>
      <c r="D573">
        <v>5</v>
      </c>
      <c r="E573" t="s">
        <v>240</v>
      </c>
      <c r="F573" t="s">
        <v>9</v>
      </c>
    </row>
    <row r="574" spans="1:6" x14ac:dyDescent="0.3">
      <c r="A574" t="s">
        <v>237</v>
      </c>
      <c r="B574" t="s">
        <v>238</v>
      </c>
      <c r="C574" t="str">
        <f>HYPERLINK("http://service.sap.com/sap/support/notes/1782028","1782028")</f>
        <v>1782028</v>
      </c>
      <c r="D574">
        <v>1</v>
      </c>
      <c r="E574" t="s">
        <v>241</v>
      </c>
      <c r="F574" t="s">
        <v>16</v>
      </c>
    </row>
    <row r="575" spans="1:6" x14ac:dyDescent="0.3">
      <c r="A575" t="s">
        <v>237</v>
      </c>
      <c r="B575" t="s">
        <v>238</v>
      </c>
      <c r="C575" t="str">
        <f>HYPERLINK("http://service.sap.com/sap/support/notes/1800384","1800384")</f>
        <v>1800384</v>
      </c>
      <c r="D575">
        <v>5</v>
      </c>
      <c r="E575" t="s">
        <v>242</v>
      </c>
      <c r="F575" t="s">
        <v>28</v>
      </c>
    </row>
    <row r="576" spans="1:6" x14ac:dyDescent="0.3">
      <c r="A576" t="s">
        <v>237</v>
      </c>
      <c r="B576" t="s">
        <v>238</v>
      </c>
      <c r="C576" t="str">
        <f>HYPERLINK("http://service.sap.com/sap/support/notes/1849782","1849782")</f>
        <v>1849782</v>
      </c>
      <c r="D576">
        <v>1</v>
      </c>
      <c r="E576" t="s">
        <v>243</v>
      </c>
      <c r="F576" t="s">
        <v>9</v>
      </c>
    </row>
    <row r="577" spans="1:6" x14ac:dyDescent="0.3">
      <c r="A577" t="s">
        <v>237</v>
      </c>
      <c r="B577" t="s">
        <v>238</v>
      </c>
      <c r="C577" t="str">
        <f>HYPERLINK("http://service.sap.com/sap/support/notes/1849902","1849902")</f>
        <v>1849902</v>
      </c>
      <c r="D577">
        <v>3</v>
      </c>
      <c r="E577" t="s">
        <v>244</v>
      </c>
      <c r="F577" t="s">
        <v>9</v>
      </c>
    </row>
    <row r="578" spans="1:6" x14ac:dyDescent="0.3">
      <c r="A578" t="s">
        <v>237</v>
      </c>
      <c r="B578" t="s">
        <v>238</v>
      </c>
      <c r="C578" t="str">
        <f>HYPERLINK("http://service.sap.com/sap/support/notes/1851067","1851067")</f>
        <v>1851067</v>
      </c>
      <c r="D578">
        <v>1</v>
      </c>
      <c r="E578" t="s">
        <v>245</v>
      </c>
      <c r="F578" t="s">
        <v>9</v>
      </c>
    </row>
    <row r="579" spans="1:6" x14ac:dyDescent="0.3">
      <c r="A579" t="s">
        <v>237</v>
      </c>
      <c r="B579" t="s">
        <v>238</v>
      </c>
      <c r="C579" t="str">
        <f>HYPERLINK("http://service.sap.com/sap/support/notes/1852357","1852357")</f>
        <v>1852357</v>
      </c>
      <c r="D579">
        <v>1</v>
      </c>
      <c r="E579" t="s">
        <v>246</v>
      </c>
      <c r="F579" t="s">
        <v>9</v>
      </c>
    </row>
    <row r="580" spans="1:6" x14ac:dyDescent="0.3">
      <c r="A580" t="s">
        <v>237</v>
      </c>
      <c r="B580" t="s">
        <v>238</v>
      </c>
      <c r="C580" t="str">
        <f>HYPERLINK("http://service.sap.com/sap/support/notes/1854900","1854900")</f>
        <v>1854900</v>
      </c>
      <c r="D580">
        <v>1</v>
      </c>
      <c r="E580" t="s">
        <v>247</v>
      </c>
      <c r="F580" t="s">
        <v>9</v>
      </c>
    </row>
    <row r="581" spans="1:6" x14ac:dyDescent="0.3">
      <c r="A581" t="s">
        <v>237</v>
      </c>
      <c r="B581" t="s">
        <v>238</v>
      </c>
      <c r="C581" t="str">
        <f>HYPERLINK("http://service.sap.com/sap/support/notes/1856869","1856869")</f>
        <v>1856869</v>
      </c>
      <c r="D581">
        <v>1</v>
      </c>
      <c r="E581" t="s">
        <v>248</v>
      </c>
      <c r="F581" t="s">
        <v>9</v>
      </c>
    </row>
    <row r="582" spans="1:6" x14ac:dyDescent="0.3">
      <c r="A582" t="s">
        <v>237</v>
      </c>
      <c r="B582" t="s">
        <v>238</v>
      </c>
      <c r="C582" t="str">
        <f>HYPERLINK("http://service.sap.com/sap/support/notes/1857098","1857098")</f>
        <v>1857098</v>
      </c>
      <c r="D582">
        <v>1</v>
      </c>
      <c r="E582" t="s">
        <v>249</v>
      </c>
      <c r="F582" t="s">
        <v>9</v>
      </c>
    </row>
    <row r="583" spans="1:6" x14ac:dyDescent="0.3">
      <c r="A583" t="s">
        <v>237</v>
      </c>
      <c r="B583" t="s">
        <v>238</v>
      </c>
      <c r="C583" t="str">
        <f>HYPERLINK("http://service.sap.com/sap/support/notes/1858359","1858359")</f>
        <v>1858359</v>
      </c>
      <c r="D583">
        <v>6</v>
      </c>
      <c r="E583" t="s">
        <v>250</v>
      </c>
      <c r="F583" t="s">
        <v>28</v>
      </c>
    </row>
    <row r="584" spans="1:6" x14ac:dyDescent="0.3">
      <c r="A584" t="s">
        <v>237</v>
      </c>
      <c r="B584" t="s">
        <v>238</v>
      </c>
      <c r="C584" t="str">
        <f>HYPERLINK("http://service.sap.com/sap/support/notes/1858934","1858934")</f>
        <v>1858934</v>
      </c>
      <c r="D584">
        <v>1</v>
      </c>
      <c r="E584" t="s">
        <v>251</v>
      </c>
      <c r="F584" t="s">
        <v>9</v>
      </c>
    </row>
    <row r="585" spans="1:6" x14ac:dyDescent="0.3">
      <c r="A585" t="s">
        <v>237</v>
      </c>
      <c r="B585" t="s">
        <v>238</v>
      </c>
      <c r="C585" t="str">
        <f>HYPERLINK("http://service.sap.com/sap/support/notes/1861678","1861678")</f>
        <v>1861678</v>
      </c>
      <c r="D585">
        <v>2</v>
      </c>
      <c r="E585" t="s">
        <v>252</v>
      </c>
      <c r="F585" t="s">
        <v>28</v>
      </c>
    </row>
    <row r="586" spans="1:6" x14ac:dyDescent="0.3">
      <c r="A586" t="s">
        <v>237</v>
      </c>
      <c r="B586" t="s">
        <v>238</v>
      </c>
      <c r="C586" t="str">
        <f>HYPERLINK("http://service.sap.com/sap/support/notes/1861705","1861705")</f>
        <v>1861705</v>
      </c>
      <c r="D586">
        <v>1</v>
      </c>
      <c r="E586" t="s">
        <v>253</v>
      </c>
      <c r="F586" t="s">
        <v>9</v>
      </c>
    </row>
    <row r="587" spans="1:6" x14ac:dyDescent="0.3">
      <c r="A587" t="s">
        <v>237</v>
      </c>
      <c r="B587" t="s">
        <v>238</v>
      </c>
      <c r="C587" t="str">
        <f>HYPERLINK("http://service.sap.com/sap/support/notes/1861845","1861845")</f>
        <v>1861845</v>
      </c>
      <c r="D587">
        <v>1</v>
      </c>
      <c r="E587" t="s">
        <v>254</v>
      </c>
      <c r="F587" t="s">
        <v>9</v>
      </c>
    </row>
    <row r="588" spans="1:6" x14ac:dyDescent="0.3">
      <c r="A588" t="s">
        <v>237</v>
      </c>
      <c r="B588" t="s">
        <v>238</v>
      </c>
      <c r="C588" t="str">
        <f>HYPERLINK("http://service.sap.com/sap/support/notes/1862700","1862700")</f>
        <v>1862700</v>
      </c>
      <c r="D588">
        <v>1</v>
      </c>
      <c r="E588" t="s">
        <v>255</v>
      </c>
      <c r="F588" t="s">
        <v>9</v>
      </c>
    </row>
    <row r="589" spans="1:6" x14ac:dyDescent="0.3">
      <c r="A589" t="s">
        <v>237</v>
      </c>
      <c r="B589" t="s">
        <v>238</v>
      </c>
      <c r="C589" t="str">
        <f>HYPERLINK("http://service.sap.com/sap/support/notes/1863305","1863305")</f>
        <v>1863305</v>
      </c>
      <c r="D589">
        <v>1</v>
      </c>
      <c r="E589" t="s">
        <v>256</v>
      </c>
      <c r="F589" t="s">
        <v>9</v>
      </c>
    </row>
    <row r="590" spans="1:6" x14ac:dyDescent="0.3">
      <c r="A590" t="s">
        <v>237</v>
      </c>
      <c r="B590" t="s">
        <v>238</v>
      </c>
      <c r="C590" t="str">
        <f>HYPERLINK("http://service.sap.com/sap/support/notes/1864014","1864014")</f>
        <v>1864014</v>
      </c>
      <c r="D590">
        <v>1</v>
      </c>
      <c r="E590" t="s">
        <v>257</v>
      </c>
      <c r="F590" t="s">
        <v>9</v>
      </c>
    </row>
    <row r="591" spans="1:6" x14ac:dyDescent="0.3">
      <c r="A591" t="s">
        <v>237</v>
      </c>
      <c r="B591" t="s">
        <v>238</v>
      </c>
      <c r="C591" t="str">
        <f>HYPERLINK("http://service.sap.com/sap/support/notes/1864520","1864520")</f>
        <v>1864520</v>
      </c>
      <c r="D591">
        <v>2</v>
      </c>
      <c r="E591" t="s">
        <v>258</v>
      </c>
      <c r="F591" t="s">
        <v>9</v>
      </c>
    </row>
    <row r="592" spans="1:6" x14ac:dyDescent="0.3">
      <c r="A592" t="s">
        <v>237</v>
      </c>
      <c r="B592" t="s">
        <v>238</v>
      </c>
      <c r="C592" t="str">
        <f>HYPERLINK("http://service.sap.com/sap/support/notes/1865040","1865040")</f>
        <v>1865040</v>
      </c>
      <c r="D592">
        <v>1</v>
      </c>
      <c r="E592" t="s">
        <v>259</v>
      </c>
      <c r="F592" t="s">
        <v>9</v>
      </c>
    </row>
    <row r="593" spans="1:6" x14ac:dyDescent="0.3">
      <c r="A593" t="s">
        <v>237</v>
      </c>
      <c r="B593" t="s">
        <v>238</v>
      </c>
      <c r="C593" t="str">
        <f>HYPERLINK("http://service.sap.com/sap/support/notes/1865877","1865877")</f>
        <v>1865877</v>
      </c>
      <c r="D593">
        <v>1</v>
      </c>
      <c r="E593" t="s">
        <v>260</v>
      </c>
      <c r="F593" t="s">
        <v>9</v>
      </c>
    </row>
    <row r="594" spans="1:6" x14ac:dyDescent="0.3">
      <c r="A594" t="s">
        <v>237</v>
      </c>
      <c r="B594" t="s">
        <v>238</v>
      </c>
      <c r="C594" t="str">
        <f>HYPERLINK("http://service.sap.com/sap/support/notes/1866391","1866391")</f>
        <v>1866391</v>
      </c>
      <c r="D594">
        <v>3</v>
      </c>
      <c r="E594" t="s">
        <v>261</v>
      </c>
      <c r="F594" t="s">
        <v>9</v>
      </c>
    </row>
    <row r="595" spans="1:6" x14ac:dyDescent="0.3">
      <c r="A595" t="s">
        <v>237</v>
      </c>
      <c r="B595" t="s">
        <v>238</v>
      </c>
      <c r="C595" t="str">
        <f>HYPERLINK("http://service.sap.com/sap/support/notes/1867377","1867377")</f>
        <v>1867377</v>
      </c>
      <c r="D595">
        <v>3</v>
      </c>
      <c r="E595" t="s">
        <v>262</v>
      </c>
      <c r="F595" t="s">
        <v>28</v>
      </c>
    </row>
    <row r="596" spans="1:6" x14ac:dyDescent="0.3">
      <c r="A596" t="s">
        <v>237</v>
      </c>
      <c r="B596" t="s">
        <v>238</v>
      </c>
      <c r="C596" t="str">
        <f>HYPERLINK("http://service.sap.com/sap/support/notes/1867556","1867556")</f>
        <v>1867556</v>
      </c>
      <c r="D596">
        <v>1</v>
      </c>
      <c r="E596" t="s">
        <v>263</v>
      </c>
      <c r="F596" t="s">
        <v>16</v>
      </c>
    </row>
    <row r="597" spans="1:6" x14ac:dyDescent="0.3">
      <c r="A597" t="s">
        <v>237</v>
      </c>
      <c r="B597" t="s">
        <v>238</v>
      </c>
      <c r="C597" t="str">
        <f>HYPERLINK("http://service.sap.com/sap/support/notes/1869180","1869180")</f>
        <v>1869180</v>
      </c>
      <c r="D597">
        <v>2</v>
      </c>
      <c r="E597" t="s">
        <v>264</v>
      </c>
      <c r="F597" t="s">
        <v>9</v>
      </c>
    </row>
    <row r="598" spans="1:6" x14ac:dyDescent="0.3">
      <c r="A598" t="s">
        <v>237</v>
      </c>
      <c r="B598" t="s">
        <v>238</v>
      </c>
      <c r="C598" t="str">
        <f>HYPERLINK("http://service.sap.com/sap/support/notes/1874290","1874290")</f>
        <v>1874290</v>
      </c>
      <c r="D598">
        <v>1</v>
      </c>
      <c r="E598" t="s">
        <v>265</v>
      </c>
      <c r="F598" t="s">
        <v>9</v>
      </c>
    </row>
    <row r="599" spans="1:6" x14ac:dyDescent="0.3">
      <c r="A599" t="s">
        <v>237</v>
      </c>
      <c r="B599" t="s">
        <v>238</v>
      </c>
      <c r="C599" t="str">
        <f>HYPERLINK("http://service.sap.com/sap/support/notes/1875309","1875309")</f>
        <v>1875309</v>
      </c>
      <c r="D599">
        <v>1</v>
      </c>
      <c r="E599" t="s">
        <v>266</v>
      </c>
      <c r="F599" t="s">
        <v>9</v>
      </c>
    </row>
    <row r="600" spans="1:6" x14ac:dyDescent="0.3">
      <c r="A600" t="s">
        <v>237</v>
      </c>
      <c r="B600" t="s">
        <v>238</v>
      </c>
      <c r="C600" t="str">
        <f>HYPERLINK("http://service.sap.com/sap/support/notes/1876102","1876102")</f>
        <v>1876102</v>
      </c>
      <c r="D600">
        <v>4</v>
      </c>
      <c r="E600" t="s">
        <v>267</v>
      </c>
      <c r="F600" t="s">
        <v>28</v>
      </c>
    </row>
    <row r="601" spans="1:6" x14ac:dyDescent="0.3">
      <c r="A601" t="s">
        <v>237</v>
      </c>
      <c r="B601" t="s">
        <v>238</v>
      </c>
      <c r="C601" t="str">
        <f>HYPERLINK("http://service.sap.com/sap/support/notes/1878599","1878599")</f>
        <v>1878599</v>
      </c>
      <c r="D601">
        <v>1</v>
      </c>
      <c r="E601" t="s">
        <v>268</v>
      </c>
      <c r="F601" t="s">
        <v>9</v>
      </c>
    </row>
    <row r="602" spans="1:6" x14ac:dyDescent="0.3">
      <c r="A602" t="s">
        <v>237</v>
      </c>
      <c r="B602" t="s">
        <v>238</v>
      </c>
      <c r="C602" t="str">
        <f>HYPERLINK("http://service.sap.com/sap/support/notes/1879285","1879285")</f>
        <v>1879285</v>
      </c>
      <c r="D602">
        <v>3</v>
      </c>
      <c r="E602" t="s">
        <v>269</v>
      </c>
      <c r="F602" t="s">
        <v>9</v>
      </c>
    </row>
    <row r="603" spans="1:6" x14ac:dyDescent="0.3">
      <c r="A603" t="s">
        <v>237</v>
      </c>
      <c r="B603" t="s">
        <v>238</v>
      </c>
      <c r="C603" t="str">
        <f>HYPERLINK("http://service.sap.com/sap/support/notes/1880206","1880206")</f>
        <v>1880206</v>
      </c>
      <c r="D603">
        <v>1</v>
      </c>
      <c r="E603" t="s">
        <v>270</v>
      </c>
      <c r="F603" t="s">
        <v>28</v>
      </c>
    </row>
    <row r="604" spans="1:6" x14ac:dyDescent="0.3">
      <c r="A604" t="s">
        <v>237</v>
      </c>
      <c r="B604" t="s">
        <v>238</v>
      </c>
      <c r="C604" t="str">
        <f>HYPERLINK("http://service.sap.com/sap/support/notes/1881284","1881284")</f>
        <v>1881284</v>
      </c>
      <c r="D604">
        <v>1</v>
      </c>
      <c r="E604" t="s">
        <v>271</v>
      </c>
      <c r="F604" t="s">
        <v>9</v>
      </c>
    </row>
    <row r="605" spans="1:6" x14ac:dyDescent="0.3">
      <c r="A605" t="s">
        <v>237</v>
      </c>
      <c r="B605" t="s">
        <v>238</v>
      </c>
      <c r="C605" t="str">
        <f>HYPERLINK("http://service.sap.com/sap/support/notes/1881595","1881595")</f>
        <v>1881595</v>
      </c>
      <c r="D605">
        <v>3</v>
      </c>
      <c r="E605" t="s">
        <v>272</v>
      </c>
      <c r="F605" t="s">
        <v>28</v>
      </c>
    </row>
    <row r="606" spans="1:6" x14ac:dyDescent="0.3">
      <c r="A606" t="s">
        <v>237</v>
      </c>
      <c r="B606" t="s">
        <v>238</v>
      </c>
      <c r="C606" t="str">
        <f>HYPERLINK("http://service.sap.com/sap/support/notes/1882552","1882552")</f>
        <v>1882552</v>
      </c>
      <c r="D606">
        <v>2</v>
      </c>
      <c r="E606" t="s">
        <v>273</v>
      </c>
      <c r="F606" t="s">
        <v>9</v>
      </c>
    </row>
    <row r="607" spans="1:6" x14ac:dyDescent="0.3">
      <c r="A607" t="s">
        <v>237</v>
      </c>
      <c r="B607" t="s">
        <v>238</v>
      </c>
      <c r="C607" t="str">
        <f>HYPERLINK("http://service.sap.com/sap/support/notes/1882968","1882968")</f>
        <v>1882968</v>
      </c>
      <c r="D607">
        <v>2</v>
      </c>
      <c r="E607" t="s">
        <v>274</v>
      </c>
      <c r="F607" t="s">
        <v>16</v>
      </c>
    </row>
    <row r="608" spans="1:6" x14ac:dyDescent="0.3">
      <c r="A608" t="s">
        <v>237</v>
      </c>
      <c r="B608" t="s">
        <v>238</v>
      </c>
      <c r="C608" t="str">
        <f>HYPERLINK("http://service.sap.com/sap/support/notes/1883014","1883014")</f>
        <v>1883014</v>
      </c>
      <c r="D608">
        <v>5</v>
      </c>
      <c r="E608" t="s">
        <v>275</v>
      </c>
      <c r="F608" t="s">
        <v>28</v>
      </c>
    </row>
    <row r="609" spans="1:6" x14ac:dyDescent="0.3">
      <c r="A609" t="s">
        <v>237</v>
      </c>
      <c r="B609" t="s">
        <v>238</v>
      </c>
      <c r="C609" t="str">
        <f>HYPERLINK("http://service.sap.com/sap/support/notes/1885953","1885953")</f>
        <v>1885953</v>
      </c>
      <c r="D609">
        <v>2</v>
      </c>
      <c r="E609" t="s">
        <v>276</v>
      </c>
      <c r="F609" t="s">
        <v>16</v>
      </c>
    </row>
    <row r="610" spans="1:6" x14ac:dyDescent="0.3">
      <c r="A610" t="s">
        <v>237</v>
      </c>
      <c r="B610" t="s">
        <v>238</v>
      </c>
      <c r="C610" t="str">
        <f>HYPERLINK("http://service.sap.com/sap/support/notes/1888555","1888555")</f>
        <v>1888555</v>
      </c>
      <c r="D610">
        <v>1</v>
      </c>
      <c r="E610" t="s">
        <v>277</v>
      </c>
      <c r="F610" t="s">
        <v>16</v>
      </c>
    </row>
    <row r="611" spans="1:6" x14ac:dyDescent="0.3">
      <c r="A611" t="s">
        <v>237</v>
      </c>
      <c r="B611" t="s">
        <v>238</v>
      </c>
      <c r="C611" t="str">
        <f>HYPERLINK("http://service.sap.com/sap/support/notes/1892814","1892814")</f>
        <v>1892814</v>
      </c>
      <c r="D611">
        <v>1</v>
      </c>
      <c r="E611" t="s">
        <v>278</v>
      </c>
      <c r="F611" t="s">
        <v>9</v>
      </c>
    </row>
    <row r="612" spans="1:6" x14ac:dyDescent="0.3">
      <c r="A612" t="s">
        <v>237</v>
      </c>
      <c r="B612" t="s">
        <v>238</v>
      </c>
      <c r="C612" t="str">
        <f>HYPERLINK("http://service.sap.com/sap/support/notes/1893321","1893321")</f>
        <v>1893321</v>
      </c>
      <c r="D612">
        <v>3</v>
      </c>
      <c r="E612" t="s">
        <v>279</v>
      </c>
      <c r="F612" t="s">
        <v>9</v>
      </c>
    </row>
    <row r="613" spans="1:6" x14ac:dyDescent="0.3">
      <c r="A613" t="s">
        <v>237</v>
      </c>
      <c r="B613" t="s">
        <v>238</v>
      </c>
      <c r="C613" t="str">
        <f>HYPERLINK("http://service.sap.com/sap/support/notes/1893756","1893756")</f>
        <v>1893756</v>
      </c>
      <c r="D613">
        <v>1</v>
      </c>
      <c r="E613" t="s">
        <v>280</v>
      </c>
      <c r="F613" t="s">
        <v>9</v>
      </c>
    </row>
    <row r="614" spans="1:6" x14ac:dyDescent="0.3">
      <c r="A614" t="s">
        <v>237</v>
      </c>
      <c r="B614" t="s">
        <v>238</v>
      </c>
      <c r="C614" t="str">
        <f>HYPERLINK("http://service.sap.com/sap/support/notes/1894573","1894573")</f>
        <v>1894573</v>
      </c>
      <c r="D614">
        <v>2</v>
      </c>
      <c r="E614" t="s">
        <v>281</v>
      </c>
      <c r="F614" t="s">
        <v>16</v>
      </c>
    </row>
    <row r="615" spans="1:6" x14ac:dyDescent="0.3">
      <c r="A615" t="s">
        <v>237</v>
      </c>
      <c r="B615" t="s">
        <v>238</v>
      </c>
      <c r="C615" t="str">
        <f>HYPERLINK("http://service.sap.com/sap/support/notes/1896150","1896150")</f>
        <v>1896150</v>
      </c>
      <c r="D615">
        <v>2</v>
      </c>
      <c r="E615" t="s">
        <v>282</v>
      </c>
      <c r="F615" t="s">
        <v>9</v>
      </c>
    </row>
    <row r="616" spans="1:6" x14ac:dyDescent="0.3">
      <c r="A616" t="s">
        <v>237</v>
      </c>
      <c r="B616" t="s">
        <v>238</v>
      </c>
      <c r="C616" t="str">
        <f>HYPERLINK("http://service.sap.com/sap/support/notes/1898008","1898008")</f>
        <v>1898008</v>
      </c>
      <c r="D616">
        <v>2</v>
      </c>
      <c r="E616" t="s">
        <v>283</v>
      </c>
      <c r="F616" t="s">
        <v>35</v>
      </c>
    </row>
    <row r="617" spans="1:6" x14ac:dyDescent="0.3">
      <c r="A617" t="s">
        <v>237</v>
      </c>
      <c r="B617" t="s">
        <v>238</v>
      </c>
      <c r="C617" t="str">
        <f>HYPERLINK("http://service.sap.com/sap/support/notes/1900336","1900336")</f>
        <v>1900336</v>
      </c>
      <c r="D617">
        <v>1</v>
      </c>
      <c r="E617" t="s">
        <v>284</v>
      </c>
      <c r="F617" t="s">
        <v>9</v>
      </c>
    </row>
    <row r="618" spans="1:6" x14ac:dyDescent="0.3">
      <c r="A618" t="s">
        <v>237</v>
      </c>
      <c r="B618" t="s">
        <v>238</v>
      </c>
      <c r="C618" t="str">
        <f>HYPERLINK("http://service.sap.com/sap/support/notes/1901750","1901750")</f>
        <v>1901750</v>
      </c>
      <c r="D618">
        <v>1</v>
      </c>
      <c r="E618" t="s">
        <v>285</v>
      </c>
      <c r="F618" t="s">
        <v>9</v>
      </c>
    </row>
    <row r="619" spans="1:6" x14ac:dyDescent="0.3">
      <c r="A619" t="s">
        <v>237</v>
      </c>
      <c r="B619" t="s">
        <v>238</v>
      </c>
      <c r="C619" t="str">
        <f>HYPERLINK("http://service.sap.com/sap/support/notes/1904795","1904795")</f>
        <v>1904795</v>
      </c>
      <c r="D619">
        <v>2</v>
      </c>
      <c r="E619" t="s">
        <v>286</v>
      </c>
      <c r="F619" t="s">
        <v>9</v>
      </c>
    </row>
    <row r="620" spans="1:6" x14ac:dyDescent="0.3">
      <c r="A620" t="s">
        <v>237</v>
      </c>
      <c r="B620" t="s">
        <v>238</v>
      </c>
      <c r="C620" t="str">
        <f>HYPERLINK("http://service.sap.com/sap/support/notes/1906119","1906119")</f>
        <v>1906119</v>
      </c>
      <c r="D620">
        <v>16</v>
      </c>
      <c r="E620" t="s">
        <v>287</v>
      </c>
      <c r="F620" t="s">
        <v>9</v>
      </c>
    </row>
    <row r="621" spans="1:6" x14ac:dyDescent="0.3">
      <c r="A621" t="s">
        <v>237</v>
      </c>
      <c r="B621" t="s">
        <v>238</v>
      </c>
      <c r="C621" t="str">
        <f>HYPERLINK("http://service.sap.com/sap/support/notes/1908882","1908882")</f>
        <v>1908882</v>
      </c>
      <c r="D621">
        <v>4</v>
      </c>
      <c r="E621" t="s">
        <v>288</v>
      </c>
      <c r="F621" t="s">
        <v>9</v>
      </c>
    </row>
    <row r="622" spans="1:6" x14ac:dyDescent="0.3">
      <c r="A622" t="s">
        <v>237</v>
      </c>
      <c r="B622" t="s">
        <v>238</v>
      </c>
      <c r="C622" t="str">
        <f>HYPERLINK("http://service.sap.com/sap/support/notes/1909470","1909470")</f>
        <v>1909470</v>
      </c>
      <c r="D622">
        <v>2</v>
      </c>
      <c r="E622" t="s">
        <v>289</v>
      </c>
      <c r="F622" t="s">
        <v>9</v>
      </c>
    </row>
    <row r="623" spans="1:6" x14ac:dyDescent="0.3">
      <c r="A623" t="s">
        <v>237</v>
      </c>
      <c r="B623" t="s">
        <v>238</v>
      </c>
      <c r="C623" t="str">
        <f>HYPERLINK("http://service.sap.com/sap/support/notes/1910367","1910367")</f>
        <v>1910367</v>
      </c>
      <c r="D623">
        <v>1</v>
      </c>
      <c r="E623" t="s">
        <v>290</v>
      </c>
      <c r="F623" t="s">
        <v>9</v>
      </c>
    </row>
    <row r="624" spans="1:6" x14ac:dyDescent="0.3">
      <c r="A624" t="s">
        <v>237</v>
      </c>
      <c r="B624" t="s">
        <v>238</v>
      </c>
      <c r="C624" t="str">
        <f>HYPERLINK("http://service.sap.com/sap/support/notes/1910478","1910478")</f>
        <v>1910478</v>
      </c>
      <c r="D624">
        <v>1</v>
      </c>
      <c r="E624" t="s">
        <v>291</v>
      </c>
      <c r="F624" t="s">
        <v>9</v>
      </c>
    </row>
    <row r="625" spans="1:6" x14ac:dyDescent="0.3">
      <c r="A625" t="s">
        <v>237</v>
      </c>
      <c r="B625" t="s">
        <v>238</v>
      </c>
      <c r="C625" t="str">
        <f>HYPERLINK("http://service.sap.com/sap/support/notes/1912159","1912159")</f>
        <v>1912159</v>
      </c>
      <c r="D625">
        <v>1</v>
      </c>
      <c r="E625" t="s">
        <v>292</v>
      </c>
      <c r="F625" t="s">
        <v>9</v>
      </c>
    </row>
    <row r="626" spans="1:6" x14ac:dyDescent="0.3">
      <c r="A626" t="s">
        <v>237</v>
      </c>
      <c r="B626" t="s">
        <v>238</v>
      </c>
      <c r="C626" t="str">
        <f>HYPERLINK("http://service.sap.com/sap/support/notes/1914044","1914044")</f>
        <v>1914044</v>
      </c>
      <c r="D626">
        <v>1</v>
      </c>
      <c r="E626" t="s">
        <v>293</v>
      </c>
      <c r="F626" t="s">
        <v>16</v>
      </c>
    </row>
    <row r="627" spans="1:6" x14ac:dyDescent="0.3">
      <c r="A627" t="s">
        <v>237</v>
      </c>
      <c r="B627" t="s">
        <v>238</v>
      </c>
      <c r="C627" t="str">
        <f>HYPERLINK("http://service.sap.com/sap/support/notes/1914228","1914228")</f>
        <v>1914228</v>
      </c>
      <c r="D627">
        <v>1</v>
      </c>
      <c r="E627" t="s">
        <v>294</v>
      </c>
      <c r="F627" t="s">
        <v>9</v>
      </c>
    </row>
    <row r="628" spans="1:6" x14ac:dyDescent="0.3">
      <c r="A628" t="s">
        <v>237</v>
      </c>
      <c r="B628" t="s">
        <v>238</v>
      </c>
      <c r="C628" t="str">
        <f>HYPERLINK("http://service.sap.com/sap/support/notes/1916557","1916557")</f>
        <v>1916557</v>
      </c>
      <c r="D628">
        <v>2</v>
      </c>
      <c r="E628" t="s">
        <v>295</v>
      </c>
      <c r="F628" t="s">
        <v>9</v>
      </c>
    </row>
    <row r="629" spans="1:6" x14ac:dyDescent="0.3">
      <c r="A629" t="s">
        <v>237</v>
      </c>
      <c r="B629" t="s">
        <v>238</v>
      </c>
      <c r="C629" t="str">
        <f>HYPERLINK("http://service.sap.com/sap/support/notes/1919076","1919076")</f>
        <v>1919076</v>
      </c>
      <c r="D629">
        <v>1</v>
      </c>
      <c r="E629" t="s">
        <v>296</v>
      </c>
      <c r="F629" t="s">
        <v>9</v>
      </c>
    </row>
    <row r="630" spans="1:6" x14ac:dyDescent="0.3">
      <c r="A630" t="s">
        <v>237</v>
      </c>
      <c r="B630" t="s">
        <v>238</v>
      </c>
      <c r="C630" t="str">
        <f>HYPERLINK("http://service.sap.com/sap/support/notes/1919916","1919916")</f>
        <v>1919916</v>
      </c>
      <c r="D630">
        <v>1</v>
      </c>
      <c r="E630" t="s">
        <v>297</v>
      </c>
      <c r="F630" t="s">
        <v>9</v>
      </c>
    </row>
    <row r="631" spans="1:6" x14ac:dyDescent="0.3">
      <c r="A631" t="s">
        <v>237</v>
      </c>
      <c r="B631" t="s">
        <v>238</v>
      </c>
      <c r="C631" t="str">
        <f>HYPERLINK("http://service.sap.com/sap/support/notes/1920731","1920731")</f>
        <v>1920731</v>
      </c>
      <c r="D631">
        <v>1</v>
      </c>
      <c r="E631" t="s">
        <v>298</v>
      </c>
      <c r="F631" t="s">
        <v>9</v>
      </c>
    </row>
    <row r="632" spans="1:6" x14ac:dyDescent="0.3">
      <c r="A632" t="s">
        <v>237</v>
      </c>
      <c r="B632" t="s">
        <v>238</v>
      </c>
      <c r="C632" t="str">
        <f>HYPERLINK("http://service.sap.com/sap/support/notes/1923797","1923797")</f>
        <v>1923797</v>
      </c>
      <c r="D632">
        <v>1</v>
      </c>
      <c r="E632" t="s">
        <v>299</v>
      </c>
      <c r="F632" t="s">
        <v>9</v>
      </c>
    </row>
    <row r="633" spans="1:6" x14ac:dyDescent="0.3">
      <c r="A633" t="s">
        <v>237</v>
      </c>
      <c r="B633" t="s">
        <v>238</v>
      </c>
      <c r="C633" t="str">
        <f>HYPERLINK("http://service.sap.com/sap/support/notes/1924123","1924123")</f>
        <v>1924123</v>
      </c>
      <c r="D633">
        <v>1</v>
      </c>
      <c r="E633" t="s">
        <v>300</v>
      </c>
      <c r="F633" t="s">
        <v>9</v>
      </c>
    </row>
    <row r="634" spans="1:6" x14ac:dyDescent="0.3">
      <c r="A634" t="s">
        <v>237</v>
      </c>
      <c r="B634" t="s">
        <v>238</v>
      </c>
      <c r="C634" t="str">
        <f>HYPERLINK("http://service.sap.com/sap/support/notes/1924932","1924932")</f>
        <v>1924932</v>
      </c>
      <c r="D634">
        <v>1</v>
      </c>
      <c r="E634" t="s">
        <v>301</v>
      </c>
      <c r="F634" t="s">
        <v>9</v>
      </c>
    </row>
    <row r="635" spans="1:6" x14ac:dyDescent="0.3">
      <c r="A635" t="s">
        <v>237</v>
      </c>
      <c r="B635" t="s">
        <v>238</v>
      </c>
      <c r="C635" t="str">
        <f>HYPERLINK("http://service.sap.com/sap/support/notes/1926493","1926493")</f>
        <v>1926493</v>
      </c>
      <c r="D635">
        <v>1</v>
      </c>
      <c r="E635" t="s">
        <v>302</v>
      </c>
      <c r="F635" t="s">
        <v>9</v>
      </c>
    </row>
    <row r="636" spans="1:6" x14ac:dyDescent="0.3">
      <c r="A636" t="s">
        <v>237</v>
      </c>
      <c r="B636" t="s">
        <v>238</v>
      </c>
      <c r="C636" t="str">
        <f>HYPERLINK("http://service.sap.com/sap/support/notes/1927682","1927682")</f>
        <v>1927682</v>
      </c>
      <c r="D636">
        <v>1</v>
      </c>
      <c r="E636" t="s">
        <v>303</v>
      </c>
      <c r="F636" t="s">
        <v>9</v>
      </c>
    </row>
    <row r="637" spans="1:6" x14ac:dyDescent="0.3">
      <c r="A637" t="s">
        <v>237</v>
      </c>
      <c r="B637" t="s">
        <v>238</v>
      </c>
      <c r="C637" t="str">
        <f>HYPERLINK("http://service.sap.com/sap/support/notes/1929583","1929583")</f>
        <v>1929583</v>
      </c>
      <c r="D637">
        <v>1</v>
      </c>
      <c r="E637" t="s">
        <v>304</v>
      </c>
      <c r="F637" t="s">
        <v>9</v>
      </c>
    </row>
    <row r="638" spans="1:6" x14ac:dyDescent="0.3">
      <c r="A638" t="s">
        <v>237</v>
      </c>
      <c r="B638" t="s">
        <v>238</v>
      </c>
      <c r="C638" t="str">
        <f>HYPERLINK("http://service.sap.com/sap/support/notes/1931415","1931415")</f>
        <v>1931415</v>
      </c>
      <c r="D638">
        <v>1</v>
      </c>
      <c r="E638" t="s">
        <v>305</v>
      </c>
      <c r="F638" t="s">
        <v>9</v>
      </c>
    </row>
    <row r="639" spans="1:6" x14ac:dyDescent="0.3">
      <c r="A639" t="s">
        <v>237</v>
      </c>
      <c r="B639" t="s">
        <v>238</v>
      </c>
      <c r="C639" t="str">
        <f>HYPERLINK("http://service.sap.com/sap/support/notes/1938939","1938939")</f>
        <v>1938939</v>
      </c>
      <c r="D639">
        <v>2</v>
      </c>
      <c r="E639" t="s">
        <v>1155</v>
      </c>
      <c r="F639" t="s">
        <v>9</v>
      </c>
    </row>
    <row r="640" spans="1:6" x14ac:dyDescent="0.3">
      <c r="A640" t="s">
        <v>237</v>
      </c>
      <c r="B640" t="s">
        <v>238</v>
      </c>
      <c r="C640" t="str">
        <f>HYPERLINK("http://service.sap.com/sap/support/notes/1950791","1950791")</f>
        <v>1950791</v>
      </c>
      <c r="D640">
        <v>2</v>
      </c>
      <c r="E640" t="s">
        <v>1510</v>
      </c>
      <c r="F640" t="s">
        <v>9</v>
      </c>
    </row>
    <row r="641" spans="1:6" x14ac:dyDescent="0.3">
      <c r="A641" t="s">
        <v>237</v>
      </c>
      <c r="B641" t="s">
        <v>238</v>
      </c>
      <c r="C641" t="str">
        <f>HYPERLINK("http://service.sap.com/sap/support/notes/1882972","1882972")</f>
        <v>1882972</v>
      </c>
      <c r="D641">
        <v>3</v>
      </c>
      <c r="E641" t="s">
        <v>2080</v>
      </c>
      <c r="F641" t="s">
        <v>9</v>
      </c>
    </row>
    <row r="642" spans="1:6" x14ac:dyDescent="0.3">
      <c r="A642" t="s">
        <v>237</v>
      </c>
      <c r="B642" t="s">
        <v>238</v>
      </c>
      <c r="C642" t="str">
        <f>HYPERLINK("http://service.sap.com/sap/support/notes/1965771","1965771")</f>
        <v>1965771</v>
      </c>
      <c r="D642">
        <v>1</v>
      </c>
      <c r="E642" t="s">
        <v>2081</v>
      </c>
      <c r="F642" t="s">
        <v>9</v>
      </c>
    </row>
    <row r="643" spans="1:6" x14ac:dyDescent="0.3">
      <c r="A643" t="s">
        <v>237</v>
      </c>
      <c r="B643" t="s">
        <v>238</v>
      </c>
      <c r="C643" t="str">
        <f>HYPERLINK("http://service.sap.com/sap/support/notes/1898008","1898008")</f>
        <v>1898008</v>
      </c>
      <c r="D643">
        <v>2</v>
      </c>
      <c r="E643" t="s">
        <v>283</v>
      </c>
      <c r="F643" t="s">
        <v>35</v>
      </c>
    </row>
    <row r="644" spans="1:6" x14ac:dyDescent="0.3">
      <c r="A644" t="s">
        <v>237</v>
      </c>
      <c r="B644" t="s">
        <v>238</v>
      </c>
      <c r="C644" t="str">
        <f>HYPERLINK("http://service.sap.com/sap/support/notes/1922673","1922673")</f>
        <v>1922673</v>
      </c>
      <c r="D644">
        <v>3</v>
      </c>
      <c r="E644" t="s">
        <v>3381</v>
      </c>
      <c r="F644" t="s">
        <v>9</v>
      </c>
    </row>
    <row r="645" spans="1:6" x14ac:dyDescent="0.3">
      <c r="A645" t="s">
        <v>237</v>
      </c>
      <c r="B645" t="s">
        <v>238</v>
      </c>
      <c r="C645" t="str">
        <f>HYPERLINK("http://service.sap.com/sap/support/notes/1931877","1931877")</f>
        <v>1931877</v>
      </c>
      <c r="D645">
        <v>4</v>
      </c>
      <c r="E645" t="s">
        <v>3382</v>
      </c>
      <c r="F645" t="s">
        <v>9</v>
      </c>
    </row>
    <row r="646" spans="1:6" x14ac:dyDescent="0.3">
      <c r="A646" t="s">
        <v>237</v>
      </c>
      <c r="B646" t="s">
        <v>238</v>
      </c>
      <c r="C646" t="str">
        <f>HYPERLINK("http://service.sap.com/sap/support/notes/1935581","1935581")</f>
        <v>1935581</v>
      </c>
      <c r="D646">
        <v>2</v>
      </c>
      <c r="E646" t="s">
        <v>3383</v>
      </c>
      <c r="F646" t="s">
        <v>9</v>
      </c>
    </row>
    <row r="647" spans="1:6" x14ac:dyDescent="0.3">
      <c r="A647" t="s">
        <v>237</v>
      </c>
      <c r="B647" t="s">
        <v>238</v>
      </c>
      <c r="C647" t="str">
        <f>HYPERLINK("http://service.sap.com/sap/support/notes/1938505","1938505")</f>
        <v>1938505</v>
      </c>
      <c r="D647">
        <v>1</v>
      </c>
      <c r="E647" t="s">
        <v>3384</v>
      </c>
      <c r="F647" t="s">
        <v>9</v>
      </c>
    </row>
    <row r="648" spans="1:6" x14ac:dyDescent="0.3">
      <c r="A648" t="s">
        <v>237</v>
      </c>
      <c r="B648" t="s">
        <v>238</v>
      </c>
      <c r="C648" t="str">
        <f>HYPERLINK("http://service.sap.com/sap/support/notes/1942119","1942119")</f>
        <v>1942119</v>
      </c>
      <c r="D648">
        <v>3</v>
      </c>
      <c r="E648" t="s">
        <v>264</v>
      </c>
      <c r="F648" t="s">
        <v>9</v>
      </c>
    </row>
    <row r="649" spans="1:6" x14ac:dyDescent="0.3">
      <c r="A649" t="s">
        <v>237</v>
      </c>
      <c r="B649" t="s">
        <v>238</v>
      </c>
      <c r="C649" t="str">
        <f>HYPERLINK("http://service.sap.com/sap/support/notes/1942122","1942122")</f>
        <v>1942122</v>
      </c>
      <c r="D649">
        <v>1</v>
      </c>
      <c r="E649" t="s">
        <v>3385</v>
      </c>
      <c r="F649" t="s">
        <v>9</v>
      </c>
    </row>
    <row r="650" spans="1:6" x14ac:dyDescent="0.3">
      <c r="A650" t="s">
        <v>237</v>
      </c>
      <c r="B650" t="s">
        <v>238</v>
      </c>
      <c r="C650" t="str">
        <f>HYPERLINK("http://service.sap.com/sap/support/notes/1945344","1945344")</f>
        <v>1945344</v>
      </c>
      <c r="D650">
        <v>5</v>
      </c>
      <c r="E650" t="s">
        <v>3386</v>
      </c>
      <c r="F650" t="s">
        <v>9</v>
      </c>
    </row>
    <row r="651" spans="1:6" x14ac:dyDescent="0.3">
      <c r="A651" t="s">
        <v>237</v>
      </c>
      <c r="B651" t="s">
        <v>238</v>
      </c>
      <c r="C651" t="str">
        <f>HYPERLINK("http://service.sap.com/sap/support/notes/1945965","1945965")</f>
        <v>1945965</v>
      </c>
      <c r="D651">
        <v>2</v>
      </c>
      <c r="E651" t="s">
        <v>3387</v>
      </c>
      <c r="F651" t="s">
        <v>9</v>
      </c>
    </row>
    <row r="652" spans="1:6" x14ac:dyDescent="0.3">
      <c r="A652" t="s">
        <v>237</v>
      </c>
      <c r="B652" t="s">
        <v>238</v>
      </c>
      <c r="C652" t="str">
        <f>HYPERLINK("http://service.sap.com/sap/support/notes/1947089","1947089")</f>
        <v>1947089</v>
      </c>
      <c r="D652">
        <v>4</v>
      </c>
      <c r="E652" t="s">
        <v>3388</v>
      </c>
      <c r="F652" t="s">
        <v>9</v>
      </c>
    </row>
    <row r="653" spans="1:6" x14ac:dyDescent="0.3">
      <c r="A653" t="s">
        <v>237</v>
      </c>
      <c r="B653" t="s">
        <v>238</v>
      </c>
      <c r="C653" t="str">
        <f>HYPERLINK("http://service.sap.com/sap/support/notes/1947383","1947383")</f>
        <v>1947383</v>
      </c>
      <c r="D653">
        <v>2</v>
      </c>
      <c r="E653" t="s">
        <v>3389</v>
      </c>
      <c r="F653" t="s">
        <v>9</v>
      </c>
    </row>
    <row r="654" spans="1:6" x14ac:dyDescent="0.3">
      <c r="A654" t="s">
        <v>237</v>
      </c>
      <c r="B654" t="s">
        <v>238</v>
      </c>
      <c r="C654" t="str">
        <f>HYPERLINK("http://service.sap.com/sap/support/notes/1947665","1947665")</f>
        <v>1947665</v>
      </c>
      <c r="D654">
        <v>2</v>
      </c>
      <c r="E654" t="s">
        <v>3390</v>
      </c>
      <c r="F654" t="s">
        <v>9</v>
      </c>
    </row>
    <row r="655" spans="1:6" x14ac:dyDescent="0.3">
      <c r="A655" t="s">
        <v>237</v>
      </c>
      <c r="B655" t="s">
        <v>238</v>
      </c>
      <c r="C655" t="str">
        <f>HYPERLINK("http://service.sap.com/sap/support/notes/1947678","1947678")</f>
        <v>1947678</v>
      </c>
      <c r="D655">
        <v>2</v>
      </c>
      <c r="E655" t="s">
        <v>3391</v>
      </c>
      <c r="F655" t="s">
        <v>9</v>
      </c>
    </row>
    <row r="656" spans="1:6" x14ac:dyDescent="0.3">
      <c r="A656" t="s">
        <v>237</v>
      </c>
      <c r="B656" t="s">
        <v>238</v>
      </c>
      <c r="C656" t="str">
        <f>HYPERLINK("http://service.sap.com/sap/support/notes/1949191","1949191")</f>
        <v>1949191</v>
      </c>
      <c r="D656">
        <v>3</v>
      </c>
      <c r="E656" t="s">
        <v>3392</v>
      </c>
      <c r="F656" t="s">
        <v>9</v>
      </c>
    </row>
    <row r="657" spans="1:6" x14ac:dyDescent="0.3">
      <c r="A657" t="s">
        <v>237</v>
      </c>
      <c r="B657" t="s">
        <v>238</v>
      </c>
      <c r="C657" t="str">
        <f>HYPERLINK("http://service.sap.com/sap/support/notes/1949437","1949437")</f>
        <v>1949437</v>
      </c>
      <c r="D657">
        <v>1</v>
      </c>
      <c r="E657" t="s">
        <v>3393</v>
      </c>
      <c r="F657" t="s">
        <v>9</v>
      </c>
    </row>
    <row r="658" spans="1:6" x14ac:dyDescent="0.3">
      <c r="A658" t="s">
        <v>237</v>
      </c>
      <c r="B658" t="s">
        <v>238</v>
      </c>
      <c r="C658" t="str">
        <f>HYPERLINK("http://service.sap.com/sap/support/notes/1951260","1951260")</f>
        <v>1951260</v>
      </c>
      <c r="D658">
        <v>1</v>
      </c>
      <c r="E658" t="s">
        <v>3394</v>
      </c>
      <c r="F658" t="s">
        <v>9</v>
      </c>
    </row>
    <row r="659" spans="1:6" x14ac:dyDescent="0.3">
      <c r="A659" t="s">
        <v>237</v>
      </c>
      <c r="B659" t="s">
        <v>238</v>
      </c>
      <c r="C659" t="str">
        <f>HYPERLINK("http://service.sap.com/sap/support/notes/1951569","1951569")</f>
        <v>1951569</v>
      </c>
      <c r="D659">
        <v>1</v>
      </c>
      <c r="E659" t="s">
        <v>3395</v>
      </c>
      <c r="F659" t="s">
        <v>9</v>
      </c>
    </row>
    <row r="660" spans="1:6" x14ac:dyDescent="0.3">
      <c r="A660" t="s">
        <v>237</v>
      </c>
      <c r="B660" t="s">
        <v>238</v>
      </c>
      <c r="C660" t="str">
        <f>HYPERLINK("http://service.sap.com/sap/support/notes/1951957","1951957")</f>
        <v>1951957</v>
      </c>
      <c r="D660">
        <v>2</v>
      </c>
      <c r="E660" t="s">
        <v>3396</v>
      </c>
      <c r="F660" t="s">
        <v>9</v>
      </c>
    </row>
    <row r="661" spans="1:6" x14ac:dyDescent="0.3">
      <c r="A661" t="s">
        <v>237</v>
      </c>
      <c r="B661" t="s">
        <v>238</v>
      </c>
      <c r="C661" t="str">
        <f>HYPERLINK("http://service.sap.com/sap/support/notes/1952180","1952180")</f>
        <v>1952180</v>
      </c>
      <c r="D661">
        <v>1</v>
      </c>
      <c r="E661" t="s">
        <v>3397</v>
      </c>
      <c r="F661" t="s">
        <v>9</v>
      </c>
    </row>
    <row r="662" spans="1:6" x14ac:dyDescent="0.3">
      <c r="A662" t="s">
        <v>237</v>
      </c>
      <c r="B662" t="s">
        <v>238</v>
      </c>
      <c r="C662" t="str">
        <f>HYPERLINK("http://service.sap.com/sap/support/notes/1952656","1952656")</f>
        <v>1952656</v>
      </c>
      <c r="D662">
        <v>2</v>
      </c>
      <c r="E662" t="s">
        <v>3398</v>
      </c>
      <c r="F662" t="s">
        <v>9</v>
      </c>
    </row>
    <row r="663" spans="1:6" x14ac:dyDescent="0.3">
      <c r="A663" t="s">
        <v>237</v>
      </c>
      <c r="B663" t="s">
        <v>238</v>
      </c>
      <c r="C663" t="str">
        <f>HYPERLINK("http://service.sap.com/sap/support/notes/1952976","1952976")</f>
        <v>1952976</v>
      </c>
      <c r="D663">
        <v>1</v>
      </c>
      <c r="E663" t="s">
        <v>3399</v>
      </c>
      <c r="F663" t="s">
        <v>9</v>
      </c>
    </row>
    <row r="664" spans="1:6" x14ac:dyDescent="0.3">
      <c r="A664" t="s">
        <v>237</v>
      </c>
      <c r="B664" t="s">
        <v>238</v>
      </c>
      <c r="C664" t="str">
        <f>HYPERLINK("http://service.sap.com/sap/support/notes/1961216","1961216")</f>
        <v>1961216</v>
      </c>
      <c r="D664">
        <v>2</v>
      </c>
      <c r="E664" t="s">
        <v>3400</v>
      </c>
      <c r="F664" t="s">
        <v>9</v>
      </c>
    </row>
    <row r="665" spans="1:6" x14ac:dyDescent="0.3">
      <c r="A665" t="s">
        <v>237</v>
      </c>
      <c r="B665" t="s">
        <v>238</v>
      </c>
      <c r="C665" t="str">
        <f>HYPERLINK("http://service.sap.com/sap/support/notes/1962271","1962271")</f>
        <v>1962271</v>
      </c>
      <c r="D665">
        <v>1</v>
      </c>
      <c r="E665" t="s">
        <v>3401</v>
      </c>
      <c r="F665" t="s">
        <v>9</v>
      </c>
    </row>
    <row r="666" spans="1:6" x14ac:dyDescent="0.3">
      <c r="A666" t="s">
        <v>237</v>
      </c>
      <c r="B666" t="s">
        <v>238</v>
      </c>
      <c r="C666" t="str">
        <f>HYPERLINK("http://service.sap.com/sap/support/notes/1963949","1963949")</f>
        <v>1963949</v>
      </c>
      <c r="D666">
        <v>3</v>
      </c>
      <c r="E666" t="s">
        <v>3402</v>
      </c>
      <c r="F666" t="s">
        <v>9</v>
      </c>
    </row>
    <row r="667" spans="1:6" x14ac:dyDescent="0.3">
      <c r="A667" t="s">
        <v>237</v>
      </c>
      <c r="B667" t="s">
        <v>238</v>
      </c>
      <c r="C667" t="str">
        <f>HYPERLINK("http://service.sap.com/sap/support/notes/1964330","1964330")</f>
        <v>1964330</v>
      </c>
      <c r="D667">
        <v>1</v>
      </c>
      <c r="E667" t="s">
        <v>3403</v>
      </c>
      <c r="F667" t="s">
        <v>9</v>
      </c>
    </row>
    <row r="668" spans="1:6" x14ac:dyDescent="0.3">
      <c r="A668" t="s">
        <v>237</v>
      </c>
      <c r="B668" t="s">
        <v>238</v>
      </c>
      <c r="C668" t="str">
        <f>HYPERLINK("http://service.sap.com/sap/support/notes/1964550","1964550")</f>
        <v>1964550</v>
      </c>
      <c r="D668">
        <v>2</v>
      </c>
      <c r="E668" t="s">
        <v>3404</v>
      </c>
      <c r="F668" t="s">
        <v>9</v>
      </c>
    </row>
    <row r="669" spans="1:6" x14ac:dyDescent="0.3">
      <c r="A669" t="s">
        <v>237</v>
      </c>
      <c r="B669" t="s">
        <v>238</v>
      </c>
      <c r="C669" t="str">
        <f>HYPERLINK("http://service.sap.com/sap/support/notes/1966500","1966500")</f>
        <v>1966500</v>
      </c>
      <c r="D669">
        <v>2</v>
      </c>
      <c r="E669" t="s">
        <v>3405</v>
      </c>
      <c r="F669" t="s">
        <v>9</v>
      </c>
    </row>
    <row r="670" spans="1:6" x14ac:dyDescent="0.3">
      <c r="A670" t="s">
        <v>237</v>
      </c>
      <c r="B670" t="s">
        <v>238</v>
      </c>
      <c r="C670" t="str">
        <f>HYPERLINK("http://service.sap.com/sap/support/notes/1966970","1966970")</f>
        <v>1966970</v>
      </c>
      <c r="D670">
        <v>1</v>
      </c>
      <c r="E670" t="s">
        <v>3406</v>
      </c>
      <c r="F670" t="s">
        <v>9</v>
      </c>
    </row>
    <row r="671" spans="1:6" x14ac:dyDescent="0.3">
      <c r="A671" t="s">
        <v>237</v>
      </c>
      <c r="B671" t="s">
        <v>238</v>
      </c>
      <c r="C671" t="str">
        <f>HYPERLINK("http://service.sap.com/sap/support/notes/1967246","1967246")</f>
        <v>1967246</v>
      </c>
      <c r="D671">
        <v>1</v>
      </c>
      <c r="E671" t="s">
        <v>3407</v>
      </c>
      <c r="F671" t="s">
        <v>9</v>
      </c>
    </row>
    <row r="672" spans="1:6" x14ac:dyDescent="0.3">
      <c r="A672" t="s">
        <v>237</v>
      </c>
      <c r="B672" t="s">
        <v>238</v>
      </c>
      <c r="C672" t="str">
        <f>HYPERLINK("http://service.sap.com/sap/support/notes/1969726","1969726")</f>
        <v>1969726</v>
      </c>
      <c r="D672">
        <v>2</v>
      </c>
      <c r="E672" t="s">
        <v>3408</v>
      </c>
      <c r="F672" t="s">
        <v>9</v>
      </c>
    </row>
    <row r="673" spans="1:6" x14ac:dyDescent="0.3">
      <c r="A673" t="s">
        <v>237</v>
      </c>
      <c r="B673" t="s">
        <v>238</v>
      </c>
      <c r="C673" t="str">
        <f>HYPERLINK("http://service.sap.com/sap/support/notes/1970742","1970742")</f>
        <v>1970742</v>
      </c>
      <c r="D673">
        <v>2</v>
      </c>
      <c r="E673" t="s">
        <v>3409</v>
      </c>
      <c r="F673" t="s">
        <v>9</v>
      </c>
    </row>
    <row r="674" spans="1:6" x14ac:dyDescent="0.3">
      <c r="A674" t="s">
        <v>237</v>
      </c>
      <c r="B674" t="s">
        <v>238</v>
      </c>
      <c r="C674" t="str">
        <f>HYPERLINK("http://service.sap.com/sap/support/notes/1972038","1972038")</f>
        <v>1972038</v>
      </c>
      <c r="D674">
        <v>2</v>
      </c>
      <c r="E674" t="s">
        <v>3410</v>
      </c>
      <c r="F674" t="s">
        <v>9</v>
      </c>
    </row>
    <row r="675" spans="1:6" x14ac:dyDescent="0.3">
      <c r="A675" t="s">
        <v>237</v>
      </c>
      <c r="B675" t="s">
        <v>238</v>
      </c>
      <c r="C675" t="str">
        <f>HYPERLINK("http://service.sap.com/sap/support/notes/1972102","1972102")</f>
        <v>1972102</v>
      </c>
      <c r="D675">
        <v>2</v>
      </c>
      <c r="E675" t="s">
        <v>3411</v>
      </c>
      <c r="F675" t="s">
        <v>9</v>
      </c>
    </row>
    <row r="676" spans="1:6" x14ac:dyDescent="0.3">
      <c r="A676" t="s">
        <v>237</v>
      </c>
      <c r="B676" t="s">
        <v>238</v>
      </c>
      <c r="C676" t="str">
        <f>HYPERLINK("http://service.sap.com/sap/support/notes/1972285","1972285")</f>
        <v>1972285</v>
      </c>
      <c r="D676">
        <v>1</v>
      </c>
      <c r="E676" t="s">
        <v>3412</v>
      </c>
      <c r="F676" t="s">
        <v>9</v>
      </c>
    </row>
    <row r="677" spans="1:6" x14ac:dyDescent="0.3">
      <c r="A677" t="s">
        <v>237</v>
      </c>
      <c r="B677" t="s">
        <v>238</v>
      </c>
      <c r="C677" t="str">
        <f>HYPERLINK("http://service.sap.com/sap/support/notes/1972643","1972643")</f>
        <v>1972643</v>
      </c>
      <c r="D677">
        <v>2</v>
      </c>
      <c r="E677" t="s">
        <v>3413</v>
      </c>
      <c r="F677" t="s">
        <v>9</v>
      </c>
    </row>
    <row r="678" spans="1:6" x14ac:dyDescent="0.3">
      <c r="A678" t="s">
        <v>237</v>
      </c>
      <c r="B678" t="s">
        <v>238</v>
      </c>
      <c r="C678" t="str">
        <f>HYPERLINK("http://service.sap.com/sap/support/notes/1972648","1972648")</f>
        <v>1972648</v>
      </c>
      <c r="D678">
        <v>2</v>
      </c>
      <c r="E678" t="s">
        <v>3414</v>
      </c>
      <c r="F678" t="s">
        <v>9</v>
      </c>
    </row>
    <row r="679" spans="1:6" x14ac:dyDescent="0.3">
      <c r="A679" t="s">
        <v>237</v>
      </c>
      <c r="B679" t="s">
        <v>238</v>
      </c>
      <c r="C679" t="str">
        <f>HYPERLINK("http://service.sap.com/sap/support/notes/1974264","1974264")</f>
        <v>1974264</v>
      </c>
      <c r="D679">
        <v>2</v>
      </c>
      <c r="E679" t="s">
        <v>3415</v>
      </c>
      <c r="F679" t="s">
        <v>9</v>
      </c>
    </row>
    <row r="680" spans="1:6" x14ac:dyDescent="0.3">
      <c r="A680" t="s">
        <v>237</v>
      </c>
      <c r="B680" t="s">
        <v>238</v>
      </c>
      <c r="C680" t="str">
        <f>HYPERLINK("http://service.sap.com/sap/support/notes/1976322","1976322")</f>
        <v>1976322</v>
      </c>
      <c r="D680">
        <v>2</v>
      </c>
      <c r="E680" t="s">
        <v>3416</v>
      </c>
      <c r="F680" t="s">
        <v>9</v>
      </c>
    </row>
    <row r="681" spans="1:6" x14ac:dyDescent="0.3">
      <c r="A681" t="s">
        <v>237</v>
      </c>
      <c r="B681" t="s">
        <v>238</v>
      </c>
      <c r="C681" t="str">
        <f>HYPERLINK("http://service.sap.com/sap/support/notes/1976363","1976363")</f>
        <v>1976363</v>
      </c>
      <c r="D681">
        <v>3</v>
      </c>
      <c r="E681" t="s">
        <v>3417</v>
      </c>
      <c r="F681" t="s">
        <v>9</v>
      </c>
    </row>
    <row r="682" spans="1:6" x14ac:dyDescent="0.3">
      <c r="A682" t="s">
        <v>237</v>
      </c>
      <c r="B682" t="s">
        <v>238</v>
      </c>
      <c r="C682" t="str">
        <f>HYPERLINK("http://service.sap.com/sap/support/notes/1978208","1978208")</f>
        <v>1978208</v>
      </c>
      <c r="D682">
        <v>3</v>
      </c>
      <c r="E682" t="s">
        <v>3418</v>
      </c>
      <c r="F682" t="s">
        <v>9</v>
      </c>
    </row>
    <row r="683" spans="1:6" x14ac:dyDescent="0.3">
      <c r="A683" t="s">
        <v>237</v>
      </c>
      <c r="B683" t="s">
        <v>238</v>
      </c>
      <c r="C683" t="str">
        <f>HYPERLINK("http://service.sap.com/sap/support/notes/1978735","1978735")</f>
        <v>1978735</v>
      </c>
      <c r="D683">
        <v>3</v>
      </c>
      <c r="E683" t="s">
        <v>3419</v>
      </c>
      <c r="F683" t="s">
        <v>9</v>
      </c>
    </row>
    <row r="684" spans="1:6" x14ac:dyDescent="0.3">
      <c r="A684" t="s">
        <v>237</v>
      </c>
      <c r="B684" t="s">
        <v>238</v>
      </c>
      <c r="C684" t="str">
        <f>HYPERLINK("http://service.sap.com/sap/support/notes/1979352","1979352")</f>
        <v>1979352</v>
      </c>
      <c r="D684">
        <v>2</v>
      </c>
      <c r="E684" t="s">
        <v>3420</v>
      </c>
      <c r="F684" t="s">
        <v>9</v>
      </c>
    </row>
    <row r="685" spans="1:6" x14ac:dyDescent="0.3">
      <c r="A685" t="s">
        <v>237</v>
      </c>
      <c r="B685" t="s">
        <v>238</v>
      </c>
      <c r="C685" t="str">
        <f>HYPERLINK("http://service.sap.com/sap/support/notes/1986735","1986735")</f>
        <v>1986735</v>
      </c>
      <c r="D685">
        <v>1</v>
      </c>
      <c r="E685" t="s">
        <v>3421</v>
      </c>
      <c r="F685" t="s">
        <v>9</v>
      </c>
    </row>
    <row r="686" spans="1:6" x14ac:dyDescent="0.3">
      <c r="A686" t="s">
        <v>237</v>
      </c>
      <c r="B686" t="s">
        <v>238</v>
      </c>
      <c r="C686" t="str">
        <f>HYPERLINK("http://service.sap.com/sap/support/notes/1987977","1987977")</f>
        <v>1987977</v>
      </c>
      <c r="D686">
        <v>2</v>
      </c>
      <c r="E686" t="s">
        <v>3422</v>
      </c>
      <c r="F686" t="s">
        <v>9</v>
      </c>
    </row>
    <row r="687" spans="1:6" x14ac:dyDescent="0.3">
      <c r="A687" t="s">
        <v>237</v>
      </c>
      <c r="B687" t="s">
        <v>238</v>
      </c>
      <c r="C687" t="str">
        <f>HYPERLINK("http://service.sap.com/sap/support/notes/1988450","1988450")</f>
        <v>1988450</v>
      </c>
      <c r="D687">
        <v>1</v>
      </c>
      <c r="E687" t="s">
        <v>3423</v>
      </c>
      <c r="F687" t="s">
        <v>9</v>
      </c>
    </row>
    <row r="688" spans="1:6" x14ac:dyDescent="0.3">
      <c r="A688" t="s">
        <v>237</v>
      </c>
      <c r="B688" t="s">
        <v>238</v>
      </c>
      <c r="C688" t="str">
        <f>HYPERLINK("http://service.sap.com/sap/support/notes/1990097","1990097")</f>
        <v>1990097</v>
      </c>
      <c r="D688">
        <v>1</v>
      </c>
      <c r="E688" t="s">
        <v>3424</v>
      </c>
      <c r="F688" t="s">
        <v>9</v>
      </c>
    </row>
    <row r="689" spans="1:6" x14ac:dyDescent="0.3">
      <c r="A689" t="s">
        <v>237</v>
      </c>
      <c r="B689" t="s">
        <v>238</v>
      </c>
      <c r="C689" t="str">
        <f>HYPERLINK("http://service.sap.com/sap/support/notes/1990182","1990182")</f>
        <v>1990182</v>
      </c>
      <c r="D689">
        <v>2</v>
      </c>
      <c r="E689" t="s">
        <v>3425</v>
      </c>
      <c r="F689" t="s">
        <v>9</v>
      </c>
    </row>
    <row r="690" spans="1:6" x14ac:dyDescent="0.3">
      <c r="A690" t="s">
        <v>237</v>
      </c>
      <c r="B690" t="s">
        <v>238</v>
      </c>
      <c r="C690" t="str">
        <f>HYPERLINK("http://service.sap.com/sap/support/notes/1990437","1990437")</f>
        <v>1990437</v>
      </c>
      <c r="D690">
        <v>1</v>
      </c>
      <c r="E690" t="s">
        <v>3426</v>
      </c>
      <c r="F690" t="s">
        <v>16</v>
      </c>
    </row>
    <row r="691" spans="1:6" x14ac:dyDescent="0.3">
      <c r="A691" t="s">
        <v>237</v>
      </c>
      <c r="B691" t="s">
        <v>238</v>
      </c>
      <c r="C691" t="str">
        <f>HYPERLINK("http://service.sap.com/sap/support/notes/1991760","1991760")</f>
        <v>1991760</v>
      </c>
      <c r="D691">
        <v>2</v>
      </c>
      <c r="E691" t="s">
        <v>3427</v>
      </c>
      <c r="F691" t="s">
        <v>9</v>
      </c>
    </row>
    <row r="692" spans="1:6" x14ac:dyDescent="0.3">
      <c r="A692" t="s">
        <v>237</v>
      </c>
      <c r="B692" t="s">
        <v>238</v>
      </c>
      <c r="C692" t="str">
        <f>HYPERLINK("http://service.sap.com/sap/support/notes/1992197","1992197")</f>
        <v>1992197</v>
      </c>
      <c r="D692">
        <v>1</v>
      </c>
      <c r="E692" t="s">
        <v>3428</v>
      </c>
      <c r="F692" t="s">
        <v>9</v>
      </c>
    </row>
    <row r="693" spans="1:6" x14ac:dyDescent="0.3">
      <c r="A693" t="s">
        <v>237</v>
      </c>
      <c r="B693" t="s">
        <v>238</v>
      </c>
      <c r="C693" t="str">
        <f>HYPERLINK("http://service.sap.com/sap/support/notes/1992507","1992507")</f>
        <v>1992507</v>
      </c>
      <c r="D693">
        <v>1</v>
      </c>
      <c r="E693" t="s">
        <v>3429</v>
      </c>
      <c r="F693" t="s">
        <v>9</v>
      </c>
    </row>
    <row r="694" spans="1:6" x14ac:dyDescent="0.3">
      <c r="A694" t="s">
        <v>237</v>
      </c>
      <c r="B694" t="s">
        <v>238</v>
      </c>
      <c r="C694" t="str">
        <f>HYPERLINK("http://service.sap.com/sap/support/notes/1993511","1993511")</f>
        <v>1993511</v>
      </c>
      <c r="D694">
        <v>1</v>
      </c>
      <c r="E694" t="s">
        <v>3430</v>
      </c>
      <c r="F694" t="s">
        <v>9</v>
      </c>
    </row>
    <row r="695" spans="1:6" x14ac:dyDescent="0.3">
      <c r="A695" t="s">
        <v>237</v>
      </c>
      <c r="B695" t="s">
        <v>238</v>
      </c>
      <c r="C695" t="str">
        <f>HYPERLINK("http://service.sap.com/sap/support/notes/1994467","1994467")</f>
        <v>1994467</v>
      </c>
      <c r="D695">
        <v>1</v>
      </c>
      <c r="E695" t="s">
        <v>3431</v>
      </c>
      <c r="F695" t="s">
        <v>9</v>
      </c>
    </row>
    <row r="696" spans="1:6" x14ac:dyDescent="0.3">
      <c r="A696" t="s">
        <v>237</v>
      </c>
      <c r="B696" t="s">
        <v>238</v>
      </c>
      <c r="C696" t="str">
        <f>HYPERLINK("http://service.sap.com/sap/support/notes/1995354","1995354")</f>
        <v>1995354</v>
      </c>
      <c r="D696">
        <v>1</v>
      </c>
      <c r="E696" t="s">
        <v>3432</v>
      </c>
      <c r="F696" t="s">
        <v>9</v>
      </c>
    </row>
    <row r="697" spans="1:6" x14ac:dyDescent="0.3">
      <c r="A697" t="s">
        <v>237</v>
      </c>
      <c r="B697" t="s">
        <v>238</v>
      </c>
      <c r="C697" t="str">
        <f>HYPERLINK("http://service.sap.com/sap/support/notes/1996229","1996229")</f>
        <v>1996229</v>
      </c>
      <c r="D697">
        <v>3</v>
      </c>
      <c r="E697" t="s">
        <v>3433</v>
      </c>
      <c r="F697" t="s">
        <v>9</v>
      </c>
    </row>
    <row r="698" spans="1:6" x14ac:dyDescent="0.3">
      <c r="A698" t="s">
        <v>237</v>
      </c>
      <c r="B698" t="s">
        <v>238</v>
      </c>
      <c r="C698" t="str">
        <f>HYPERLINK("http://service.sap.com/sap/support/notes/1999877","1999877")</f>
        <v>1999877</v>
      </c>
      <c r="D698">
        <v>1</v>
      </c>
      <c r="E698" t="s">
        <v>3434</v>
      </c>
      <c r="F698" t="s">
        <v>9</v>
      </c>
    </row>
    <row r="699" spans="1:6" x14ac:dyDescent="0.3">
      <c r="A699" t="s">
        <v>237</v>
      </c>
      <c r="B699" t="s">
        <v>238</v>
      </c>
      <c r="C699" t="str">
        <f>HYPERLINK("http://service.sap.com/sap/support/notes/2000037","2000037")</f>
        <v>2000037</v>
      </c>
      <c r="D699">
        <v>2</v>
      </c>
      <c r="E699" t="s">
        <v>3435</v>
      </c>
      <c r="F699" t="s">
        <v>9</v>
      </c>
    </row>
    <row r="700" spans="1:6" x14ac:dyDescent="0.3">
      <c r="A700" t="s">
        <v>237</v>
      </c>
      <c r="B700" t="s">
        <v>238</v>
      </c>
      <c r="C700" t="str">
        <f>HYPERLINK("http://service.sap.com/sap/support/notes/2000244","2000244")</f>
        <v>2000244</v>
      </c>
      <c r="D700">
        <v>1</v>
      </c>
      <c r="E700" t="s">
        <v>3436</v>
      </c>
      <c r="F700" t="s">
        <v>9</v>
      </c>
    </row>
    <row r="701" spans="1:6" x14ac:dyDescent="0.3">
      <c r="A701" t="s">
        <v>237</v>
      </c>
      <c r="B701" t="s">
        <v>238</v>
      </c>
      <c r="C701" t="str">
        <f>HYPERLINK("http://service.sap.com/sap/support/notes/2001716","2001716")</f>
        <v>2001716</v>
      </c>
      <c r="D701">
        <v>1</v>
      </c>
      <c r="E701" t="s">
        <v>3437</v>
      </c>
      <c r="F701" t="s">
        <v>9</v>
      </c>
    </row>
    <row r="702" spans="1:6" x14ac:dyDescent="0.3">
      <c r="A702" t="s">
        <v>237</v>
      </c>
      <c r="B702" t="s">
        <v>238</v>
      </c>
      <c r="C702" t="str">
        <f>HYPERLINK("http://service.sap.com/sap/support/notes/2003760","2003760")</f>
        <v>2003760</v>
      </c>
      <c r="D702">
        <v>1</v>
      </c>
      <c r="E702" t="s">
        <v>3438</v>
      </c>
      <c r="F702" t="s">
        <v>9</v>
      </c>
    </row>
    <row r="703" spans="1:6" x14ac:dyDescent="0.3">
      <c r="A703" t="s">
        <v>237</v>
      </c>
      <c r="B703" t="s">
        <v>238</v>
      </c>
      <c r="C703" t="str">
        <f>HYPERLINK("http://service.sap.com/sap/support/notes/2004512","2004512")</f>
        <v>2004512</v>
      </c>
      <c r="D703">
        <v>1</v>
      </c>
      <c r="E703" t="s">
        <v>3439</v>
      </c>
      <c r="F703" t="s">
        <v>9</v>
      </c>
    </row>
    <row r="704" spans="1:6" x14ac:dyDescent="0.3">
      <c r="A704" t="s">
        <v>237</v>
      </c>
      <c r="B704" t="s">
        <v>238</v>
      </c>
      <c r="C704" t="str">
        <f>HYPERLINK("http://service.sap.com/sap/support/notes/2005135","2005135")</f>
        <v>2005135</v>
      </c>
      <c r="D704">
        <v>1</v>
      </c>
      <c r="E704" t="s">
        <v>3440</v>
      </c>
      <c r="F704" t="s">
        <v>9</v>
      </c>
    </row>
    <row r="705" spans="1:6" x14ac:dyDescent="0.3">
      <c r="A705" t="s">
        <v>237</v>
      </c>
      <c r="B705" t="s">
        <v>238</v>
      </c>
      <c r="C705" t="str">
        <f>HYPERLINK("http://service.sap.com/sap/support/notes/2006858","2006858")</f>
        <v>2006858</v>
      </c>
      <c r="D705">
        <v>3</v>
      </c>
      <c r="E705" t="s">
        <v>3441</v>
      </c>
      <c r="F705" t="s">
        <v>9</v>
      </c>
    </row>
    <row r="706" spans="1:6" x14ac:dyDescent="0.3">
      <c r="A706" t="s">
        <v>237</v>
      </c>
      <c r="B706" t="s">
        <v>238</v>
      </c>
      <c r="C706" t="str">
        <f>HYPERLINK("http://service.sap.com/sap/support/notes/2008695","2008695")</f>
        <v>2008695</v>
      </c>
      <c r="D706">
        <v>1</v>
      </c>
      <c r="E706" t="s">
        <v>3440</v>
      </c>
      <c r="F706" t="s">
        <v>9</v>
      </c>
    </row>
    <row r="707" spans="1:6" x14ac:dyDescent="0.3">
      <c r="A707" t="s">
        <v>237</v>
      </c>
      <c r="B707" t="s">
        <v>238</v>
      </c>
      <c r="C707" t="str">
        <f>HYPERLINK("http://service.sap.com/sap/support/notes/2009723","2009723")</f>
        <v>2009723</v>
      </c>
      <c r="D707">
        <v>1</v>
      </c>
      <c r="E707" t="s">
        <v>3442</v>
      </c>
      <c r="F707" t="s">
        <v>9</v>
      </c>
    </row>
    <row r="708" spans="1:6" x14ac:dyDescent="0.3">
      <c r="A708" t="s">
        <v>237</v>
      </c>
      <c r="B708" t="s">
        <v>238</v>
      </c>
      <c r="C708" t="str">
        <f>HYPERLINK("http://service.sap.com/sap/support/notes/2034113","2034113")</f>
        <v>2034113</v>
      </c>
      <c r="D708">
        <v>2</v>
      </c>
      <c r="E708" t="s">
        <v>3415</v>
      </c>
      <c r="F708" t="s">
        <v>9</v>
      </c>
    </row>
    <row r="709" spans="1:6" x14ac:dyDescent="0.3">
      <c r="A709" t="s">
        <v>237</v>
      </c>
      <c r="B709" t="s">
        <v>238</v>
      </c>
      <c r="C709" t="str">
        <f>HYPERLINK("http://service.sap.com/sap/support/notes/2015014","2015014")</f>
        <v>2015014</v>
      </c>
      <c r="D709">
        <v>2</v>
      </c>
      <c r="E709" t="s">
        <v>5420</v>
      </c>
      <c r="F709" t="s">
        <v>28</v>
      </c>
    </row>
    <row r="710" spans="1:6" x14ac:dyDescent="0.3">
      <c r="A710" t="s">
        <v>306</v>
      </c>
      <c r="B710" t="s">
        <v>109</v>
      </c>
      <c r="C710" t="str">
        <f>HYPERLINK("http://service.sap.com/sap/support/notes/1903281","1903281")</f>
        <v>1903281</v>
      </c>
      <c r="D710">
        <v>1</v>
      </c>
      <c r="E710" t="s">
        <v>307</v>
      </c>
      <c r="F710" t="s">
        <v>9</v>
      </c>
    </row>
    <row r="711" spans="1:6" x14ac:dyDescent="0.3">
      <c r="A711" t="s">
        <v>308</v>
      </c>
      <c r="B711" t="s">
        <v>309</v>
      </c>
      <c r="C711" t="str">
        <f>HYPERLINK("http://service.sap.com/sap/support/notes/1874120","1874120")</f>
        <v>1874120</v>
      </c>
      <c r="D711">
        <v>2</v>
      </c>
      <c r="E711" t="s">
        <v>310</v>
      </c>
      <c r="F711" t="s">
        <v>9</v>
      </c>
    </row>
    <row r="712" spans="1:6" x14ac:dyDescent="0.3">
      <c r="A712" t="s">
        <v>308</v>
      </c>
      <c r="B712" t="s">
        <v>309</v>
      </c>
      <c r="C712" t="str">
        <f>HYPERLINK("http://service.sap.com/sap/support/notes/1874360","1874360")</f>
        <v>1874360</v>
      </c>
      <c r="D712">
        <v>2</v>
      </c>
      <c r="E712" t="s">
        <v>311</v>
      </c>
      <c r="F712" t="s">
        <v>9</v>
      </c>
    </row>
    <row r="713" spans="1:6" x14ac:dyDescent="0.3">
      <c r="A713" t="s">
        <v>312</v>
      </c>
      <c r="B713" t="s">
        <v>313</v>
      </c>
      <c r="C713" t="str">
        <f>HYPERLINK("http://service.sap.com/sap/support/notes/1899912","1899912")</f>
        <v>1899912</v>
      </c>
      <c r="D713">
        <v>3</v>
      </c>
      <c r="E713" t="s">
        <v>314</v>
      </c>
      <c r="F713" t="s">
        <v>16</v>
      </c>
    </row>
    <row r="714" spans="1:6" x14ac:dyDescent="0.3">
      <c r="A714" t="s">
        <v>316</v>
      </c>
      <c r="B714" t="s">
        <v>317</v>
      </c>
      <c r="C714" t="str">
        <f>HYPERLINK("http://service.sap.com/sap/support/notes/1888932","1888932")</f>
        <v>1888932</v>
      </c>
      <c r="D714">
        <v>1</v>
      </c>
      <c r="E714" t="s">
        <v>318</v>
      </c>
      <c r="F714" t="s">
        <v>9</v>
      </c>
    </row>
    <row r="715" spans="1:6" x14ac:dyDescent="0.3">
      <c r="A715" t="s">
        <v>316</v>
      </c>
      <c r="B715" t="s">
        <v>317</v>
      </c>
      <c r="C715" t="str">
        <f>HYPERLINK("http://service.sap.com/sap/support/notes/1943896","1943896")</f>
        <v>1943896</v>
      </c>
      <c r="D715">
        <v>1</v>
      </c>
      <c r="E715" t="s">
        <v>3443</v>
      </c>
      <c r="F715" t="s">
        <v>9</v>
      </c>
    </row>
    <row r="716" spans="1:6" x14ac:dyDescent="0.3">
      <c r="A716" t="s">
        <v>2082</v>
      </c>
      <c r="B716" t="s">
        <v>1124</v>
      </c>
      <c r="C716" t="str">
        <f>HYPERLINK("http://service.sap.com/sap/support/notes/1869178","1869178")</f>
        <v>1869178</v>
      </c>
      <c r="D716">
        <v>1</v>
      </c>
      <c r="E716" t="s">
        <v>3444</v>
      </c>
      <c r="F716" t="s">
        <v>9</v>
      </c>
    </row>
    <row r="717" spans="1:6" x14ac:dyDescent="0.3">
      <c r="A717" t="s">
        <v>2083</v>
      </c>
      <c r="B717" t="s">
        <v>2084</v>
      </c>
      <c r="C717" t="str">
        <f>HYPERLINK("http://service.sap.com/sap/support/notes/1963647","1963647")</f>
        <v>1963647</v>
      </c>
      <c r="D717">
        <v>1</v>
      </c>
      <c r="E717" t="s">
        <v>2085</v>
      </c>
      <c r="F717" t="s">
        <v>9</v>
      </c>
    </row>
    <row r="718" spans="1:6" x14ac:dyDescent="0.3">
      <c r="A718" t="s">
        <v>319</v>
      </c>
      <c r="B718" t="s">
        <v>320</v>
      </c>
      <c r="C718" t="str">
        <f>HYPERLINK("http://service.sap.com/sap/support/notes/1822068","1822068")</f>
        <v>1822068</v>
      </c>
      <c r="D718">
        <v>6</v>
      </c>
      <c r="E718" t="s">
        <v>321</v>
      </c>
      <c r="F718" t="s">
        <v>16</v>
      </c>
    </row>
    <row r="719" spans="1:6" x14ac:dyDescent="0.3">
      <c r="A719" t="s">
        <v>319</v>
      </c>
      <c r="B719" t="s">
        <v>320</v>
      </c>
      <c r="C719" t="str">
        <f>HYPERLINK("http://service.sap.com/sap/support/notes/1791493","1791493")</f>
        <v>1791493</v>
      </c>
      <c r="D719">
        <v>2</v>
      </c>
      <c r="E719" t="s">
        <v>3445</v>
      </c>
      <c r="F719" t="s">
        <v>9</v>
      </c>
    </row>
    <row r="720" spans="1:6" x14ac:dyDescent="0.3">
      <c r="A720" t="s">
        <v>319</v>
      </c>
      <c r="B720" t="s">
        <v>320</v>
      </c>
      <c r="C720" t="str">
        <f>HYPERLINK("http://service.sap.com/sap/support/notes/1855103","1855103")</f>
        <v>1855103</v>
      </c>
      <c r="D720">
        <v>1</v>
      </c>
      <c r="E720" t="s">
        <v>3446</v>
      </c>
      <c r="F720" t="s">
        <v>16</v>
      </c>
    </row>
    <row r="721" spans="1:6" x14ac:dyDescent="0.3">
      <c r="A721" t="s">
        <v>3447</v>
      </c>
      <c r="B721" t="s">
        <v>3448</v>
      </c>
      <c r="C721" t="str">
        <f>HYPERLINK("http://service.sap.com/sap/support/notes/2002438","2002438")</f>
        <v>2002438</v>
      </c>
      <c r="D721">
        <v>1</v>
      </c>
      <c r="E721" t="s">
        <v>3449</v>
      </c>
      <c r="F721" t="s">
        <v>9</v>
      </c>
    </row>
    <row r="722" spans="1:6" x14ac:dyDescent="0.3">
      <c r="A722" t="s">
        <v>322</v>
      </c>
      <c r="B722" t="s">
        <v>323</v>
      </c>
      <c r="C722" t="str">
        <f>HYPERLINK("http://service.sap.com/sap/support/notes/1927039","1927039")</f>
        <v>1927039</v>
      </c>
      <c r="D722">
        <v>1</v>
      </c>
      <c r="E722" t="s">
        <v>324</v>
      </c>
      <c r="F722" t="s">
        <v>16</v>
      </c>
    </row>
    <row r="723" spans="1:6" x14ac:dyDescent="0.3">
      <c r="A723" t="s">
        <v>322</v>
      </c>
      <c r="B723" t="s">
        <v>323</v>
      </c>
      <c r="C723" t="str">
        <f>HYPERLINK("http://service.sap.com/sap/support/notes/1957384","1957384")</f>
        <v>1957384</v>
      </c>
      <c r="D723">
        <v>1</v>
      </c>
      <c r="E723" t="s">
        <v>1511</v>
      </c>
      <c r="F723" t="s">
        <v>9</v>
      </c>
    </row>
    <row r="724" spans="1:6" x14ac:dyDescent="0.3">
      <c r="A724" t="s">
        <v>322</v>
      </c>
      <c r="B724" t="s">
        <v>2415</v>
      </c>
      <c r="C724" t="str">
        <f>HYPERLINK("http://service.sap.com/sap/support/notes/1963361","1963361")</f>
        <v>1963361</v>
      </c>
      <c r="D724">
        <v>4</v>
      </c>
      <c r="E724" t="s">
        <v>2416</v>
      </c>
      <c r="F724" t="s">
        <v>9</v>
      </c>
    </row>
    <row r="725" spans="1:6" x14ac:dyDescent="0.3">
      <c r="A725" t="s">
        <v>325</v>
      </c>
      <c r="B725" t="s">
        <v>326</v>
      </c>
      <c r="C725" t="str">
        <f>HYPERLINK("http://service.sap.com/sap/support/notes/1925531","1925531")</f>
        <v>1925531</v>
      </c>
      <c r="D725">
        <v>2</v>
      </c>
      <c r="E725" t="s">
        <v>327</v>
      </c>
      <c r="F725" t="s">
        <v>9</v>
      </c>
    </row>
    <row r="726" spans="1:6" x14ac:dyDescent="0.3">
      <c r="A726" t="s">
        <v>325</v>
      </c>
      <c r="B726" t="s">
        <v>1156</v>
      </c>
      <c r="C726" t="str">
        <f>HYPERLINK("http://service.sap.com/sap/support/notes/1911109","1911109")</f>
        <v>1911109</v>
      </c>
      <c r="D726">
        <v>2</v>
      </c>
      <c r="E726" t="s">
        <v>1157</v>
      </c>
      <c r="F726" t="s">
        <v>9</v>
      </c>
    </row>
    <row r="727" spans="1:6" x14ac:dyDescent="0.3">
      <c r="A727" t="s">
        <v>325</v>
      </c>
      <c r="B727" t="s">
        <v>1156</v>
      </c>
      <c r="C727" t="str">
        <f>HYPERLINK("http://service.sap.com/sap/support/notes/1930880","1930880")</f>
        <v>1930880</v>
      </c>
      <c r="D727">
        <v>2</v>
      </c>
      <c r="E727" t="s">
        <v>1158</v>
      </c>
      <c r="F727" t="s">
        <v>9</v>
      </c>
    </row>
    <row r="728" spans="1:6" x14ac:dyDescent="0.3">
      <c r="A728" t="s">
        <v>325</v>
      </c>
      <c r="B728" t="s">
        <v>1156</v>
      </c>
      <c r="C728" t="str">
        <f>HYPERLINK("http://service.sap.com/sap/support/notes/1933744","1933744")</f>
        <v>1933744</v>
      </c>
      <c r="D728">
        <v>1</v>
      </c>
      <c r="E728" t="s">
        <v>1159</v>
      </c>
      <c r="F728" t="s">
        <v>9</v>
      </c>
    </row>
    <row r="729" spans="1:6" x14ac:dyDescent="0.3">
      <c r="A729" t="s">
        <v>325</v>
      </c>
      <c r="B729" t="s">
        <v>1156</v>
      </c>
      <c r="C729" t="str">
        <f>HYPERLINK("http://service.sap.com/sap/support/notes/1935383","1935383")</f>
        <v>1935383</v>
      </c>
      <c r="D729">
        <v>1</v>
      </c>
      <c r="E729" t="s">
        <v>1160</v>
      </c>
      <c r="F729" t="s">
        <v>9</v>
      </c>
    </row>
    <row r="730" spans="1:6" x14ac:dyDescent="0.3">
      <c r="A730" t="s">
        <v>325</v>
      </c>
      <c r="B730" t="s">
        <v>326</v>
      </c>
      <c r="C730" t="str">
        <f>HYPERLINK("http://service.sap.com/sap/support/notes/1943446","1943446")</f>
        <v>1943446</v>
      </c>
      <c r="D730">
        <v>2</v>
      </c>
      <c r="E730" t="s">
        <v>2842</v>
      </c>
      <c r="F730" t="s">
        <v>9</v>
      </c>
    </row>
    <row r="731" spans="1:6" x14ac:dyDescent="0.3">
      <c r="A731" t="s">
        <v>325</v>
      </c>
      <c r="B731" t="s">
        <v>326</v>
      </c>
      <c r="C731" t="str">
        <f>HYPERLINK("http://service.sap.com/sap/support/notes/1967882","1967882")</f>
        <v>1967882</v>
      </c>
      <c r="D731">
        <v>2</v>
      </c>
      <c r="E731" t="s">
        <v>2843</v>
      </c>
      <c r="F731" t="s">
        <v>16</v>
      </c>
    </row>
    <row r="732" spans="1:6" x14ac:dyDescent="0.3">
      <c r="A732" t="s">
        <v>325</v>
      </c>
      <c r="B732" t="s">
        <v>326</v>
      </c>
      <c r="C732" t="str">
        <f>HYPERLINK("http://service.sap.com/sap/support/notes/1986564","1986564")</f>
        <v>1986564</v>
      </c>
      <c r="D732">
        <v>1</v>
      </c>
      <c r="E732" t="s">
        <v>2844</v>
      </c>
      <c r="F732" t="s">
        <v>9</v>
      </c>
    </row>
    <row r="733" spans="1:6" x14ac:dyDescent="0.3">
      <c r="A733" t="s">
        <v>325</v>
      </c>
      <c r="B733" t="s">
        <v>326</v>
      </c>
      <c r="C733" t="str">
        <f>HYPERLINK("http://service.sap.com/sap/support/notes/1910308","1910308")</f>
        <v>1910308</v>
      </c>
      <c r="D733">
        <v>6</v>
      </c>
      <c r="E733" t="s">
        <v>3450</v>
      </c>
      <c r="F733" t="s">
        <v>9</v>
      </c>
    </row>
    <row r="734" spans="1:6" x14ac:dyDescent="0.3">
      <c r="A734" t="s">
        <v>325</v>
      </c>
      <c r="B734" t="s">
        <v>326</v>
      </c>
      <c r="C734" t="str">
        <f>HYPERLINK("http://service.sap.com/sap/support/notes/1917425","1917425")</f>
        <v>1917425</v>
      </c>
      <c r="D734">
        <v>4</v>
      </c>
      <c r="E734" t="s">
        <v>3451</v>
      </c>
      <c r="F734" t="s">
        <v>9</v>
      </c>
    </row>
    <row r="735" spans="1:6" x14ac:dyDescent="0.3">
      <c r="A735" t="s">
        <v>325</v>
      </c>
      <c r="B735" t="s">
        <v>326</v>
      </c>
      <c r="C735" t="str">
        <f>HYPERLINK("http://service.sap.com/sap/support/notes/2000214","2000214")</f>
        <v>2000214</v>
      </c>
      <c r="D735">
        <v>4</v>
      </c>
      <c r="E735" t="s">
        <v>3452</v>
      </c>
      <c r="F735" t="s">
        <v>9</v>
      </c>
    </row>
    <row r="736" spans="1:6" x14ac:dyDescent="0.3">
      <c r="A736" t="s">
        <v>325</v>
      </c>
      <c r="B736" t="s">
        <v>1156</v>
      </c>
      <c r="C736" t="str">
        <f>HYPERLINK("http://service.sap.com/sap/support/notes/2006656","2006656")</f>
        <v>2006656</v>
      </c>
      <c r="D736">
        <v>2</v>
      </c>
      <c r="E736" t="s">
        <v>4043</v>
      </c>
      <c r="F736" t="s">
        <v>28</v>
      </c>
    </row>
    <row r="737" spans="1:6" x14ac:dyDescent="0.3">
      <c r="A737" t="s">
        <v>325</v>
      </c>
      <c r="B737" t="s">
        <v>1156</v>
      </c>
      <c r="C737" t="str">
        <f>HYPERLINK("http://service.sap.com/sap/support/notes/2009309","2009309")</f>
        <v>2009309</v>
      </c>
      <c r="D737">
        <v>4</v>
      </c>
      <c r="E737" t="s">
        <v>4719</v>
      </c>
      <c r="F737" t="s">
        <v>9</v>
      </c>
    </row>
    <row r="738" spans="1:6" x14ac:dyDescent="0.3">
      <c r="A738" t="s">
        <v>325</v>
      </c>
      <c r="B738" t="s">
        <v>1156</v>
      </c>
      <c r="C738" t="str">
        <f>HYPERLINK("http://service.sap.com/sap/support/notes/2011151","2011151")</f>
        <v>2011151</v>
      </c>
      <c r="D738">
        <v>2</v>
      </c>
      <c r="E738" t="s">
        <v>4720</v>
      </c>
      <c r="F738" t="s">
        <v>9</v>
      </c>
    </row>
    <row r="739" spans="1:6" x14ac:dyDescent="0.3">
      <c r="A739" t="s">
        <v>325</v>
      </c>
      <c r="B739" t="s">
        <v>1156</v>
      </c>
      <c r="C739" t="str">
        <f>HYPERLINK("http://service.sap.com/sap/support/notes/2014904","2014904")</f>
        <v>2014904</v>
      </c>
      <c r="D739">
        <v>2</v>
      </c>
      <c r="E739" t="s">
        <v>4721</v>
      </c>
      <c r="F739" t="s">
        <v>9</v>
      </c>
    </row>
    <row r="740" spans="1:6" x14ac:dyDescent="0.3">
      <c r="A740" t="s">
        <v>325</v>
      </c>
      <c r="B740" t="s">
        <v>1156</v>
      </c>
      <c r="C740" t="str">
        <f>HYPERLINK("http://service.sap.com/sap/support/notes/2018495","2018495")</f>
        <v>2018495</v>
      </c>
      <c r="D740">
        <v>1</v>
      </c>
      <c r="E740" t="s">
        <v>4722</v>
      </c>
      <c r="F740" t="s">
        <v>9</v>
      </c>
    </row>
    <row r="741" spans="1:6" x14ac:dyDescent="0.3">
      <c r="A741" t="s">
        <v>325</v>
      </c>
      <c r="B741" t="s">
        <v>1156</v>
      </c>
      <c r="C741" t="str">
        <f>HYPERLINK("http://service.sap.com/sap/support/notes/2052945","2052945")</f>
        <v>2052945</v>
      </c>
      <c r="D741">
        <v>2</v>
      </c>
      <c r="E741" t="s">
        <v>5421</v>
      </c>
      <c r="F741" t="s">
        <v>9</v>
      </c>
    </row>
    <row r="742" spans="1:6" x14ac:dyDescent="0.3">
      <c r="A742" t="s">
        <v>3453</v>
      </c>
      <c r="B742" t="s">
        <v>3454</v>
      </c>
      <c r="C742" t="str">
        <f>HYPERLINK("http://service.sap.com/sap/support/notes/1999410","1999410")</f>
        <v>1999410</v>
      </c>
      <c r="D742">
        <v>1</v>
      </c>
      <c r="E742" t="s">
        <v>3455</v>
      </c>
      <c r="F742" t="s">
        <v>9</v>
      </c>
    </row>
    <row r="743" spans="1:6" x14ac:dyDescent="0.3">
      <c r="A743" t="s">
        <v>328</v>
      </c>
      <c r="B743" t="s">
        <v>329</v>
      </c>
      <c r="C743" t="str">
        <f>HYPERLINK("http://service.sap.com/sap/support/notes/1594522","1594522")</f>
        <v>1594522</v>
      </c>
      <c r="D743">
        <v>3</v>
      </c>
      <c r="E743" t="s">
        <v>330</v>
      </c>
      <c r="F743" t="s">
        <v>16</v>
      </c>
    </row>
    <row r="744" spans="1:6" x14ac:dyDescent="0.3">
      <c r="A744" t="s">
        <v>328</v>
      </c>
      <c r="B744" t="s">
        <v>329</v>
      </c>
      <c r="C744" t="str">
        <f>HYPERLINK("http://service.sap.com/sap/support/notes/1721439","1721439")</f>
        <v>1721439</v>
      </c>
      <c r="D744">
        <v>11</v>
      </c>
      <c r="E744" t="s">
        <v>331</v>
      </c>
      <c r="F744" t="s">
        <v>16</v>
      </c>
    </row>
    <row r="745" spans="1:6" x14ac:dyDescent="0.3">
      <c r="A745" t="s">
        <v>328</v>
      </c>
      <c r="B745" t="s">
        <v>329</v>
      </c>
      <c r="C745" t="str">
        <f>HYPERLINK("http://service.sap.com/sap/support/notes/1868617","1868617")</f>
        <v>1868617</v>
      </c>
      <c r="D745">
        <v>1</v>
      </c>
      <c r="E745" t="s">
        <v>332</v>
      </c>
      <c r="F745" t="s">
        <v>16</v>
      </c>
    </row>
    <row r="746" spans="1:6" x14ac:dyDescent="0.3">
      <c r="A746" t="s">
        <v>328</v>
      </c>
      <c r="B746" t="s">
        <v>329</v>
      </c>
      <c r="C746" t="str">
        <f>HYPERLINK("http://service.sap.com/sap/support/notes/1895514","1895514")</f>
        <v>1895514</v>
      </c>
      <c r="D746">
        <v>3</v>
      </c>
      <c r="E746" t="s">
        <v>333</v>
      </c>
      <c r="F746" t="s">
        <v>16</v>
      </c>
    </row>
    <row r="747" spans="1:6" x14ac:dyDescent="0.3">
      <c r="A747" t="s">
        <v>328</v>
      </c>
      <c r="B747" t="s">
        <v>329</v>
      </c>
      <c r="C747" t="str">
        <f>HYPERLINK("http://service.sap.com/sap/support/notes/1932952","1932952")</f>
        <v>1932952</v>
      </c>
      <c r="D747">
        <v>2</v>
      </c>
      <c r="E747" t="s">
        <v>3456</v>
      </c>
      <c r="F747" t="s">
        <v>9</v>
      </c>
    </row>
    <row r="748" spans="1:6" x14ac:dyDescent="0.3">
      <c r="A748" t="s">
        <v>3457</v>
      </c>
      <c r="B748" t="s">
        <v>3458</v>
      </c>
      <c r="C748" t="str">
        <f>HYPERLINK("http://service.sap.com/sap/support/notes/1950434","1950434")</f>
        <v>1950434</v>
      </c>
      <c r="D748">
        <v>5</v>
      </c>
      <c r="E748" t="s">
        <v>3459</v>
      </c>
      <c r="F748" t="s">
        <v>9</v>
      </c>
    </row>
    <row r="749" spans="1:6" x14ac:dyDescent="0.3">
      <c r="A749" t="s">
        <v>3457</v>
      </c>
      <c r="B749" t="s">
        <v>3458</v>
      </c>
      <c r="C749" t="str">
        <f>HYPERLINK("http://service.sap.com/sap/support/notes/2006657","2006657")</f>
        <v>2006657</v>
      </c>
      <c r="D749">
        <v>1</v>
      </c>
      <c r="E749" t="s">
        <v>3460</v>
      </c>
      <c r="F749" t="s">
        <v>9</v>
      </c>
    </row>
    <row r="750" spans="1:6" x14ac:dyDescent="0.3">
      <c r="A750" t="s">
        <v>334</v>
      </c>
      <c r="B750" t="s">
        <v>335</v>
      </c>
      <c r="C750" t="str">
        <f>HYPERLINK("http://service.sap.com/sap/support/notes/1789425","1789425")</f>
        <v>1789425</v>
      </c>
      <c r="D750">
        <v>2</v>
      </c>
      <c r="E750" t="s">
        <v>336</v>
      </c>
      <c r="F750" t="s">
        <v>9</v>
      </c>
    </row>
    <row r="751" spans="1:6" x14ac:dyDescent="0.3">
      <c r="A751" t="s">
        <v>334</v>
      </c>
      <c r="B751" t="s">
        <v>335</v>
      </c>
      <c r="C751" t="str">
        <f>HYPERLINK("http://service.sap.com/sap/support/notes/1847355","1847355")</f>
        <v>1847355</v>
      </c>
      <c r="D751">
        <v>1</v>
      </c>
      <c r="E751" t="s">
        <v>337</v>
      </c>
      <c r="F751" t="s">
        <v>9</v>
      </c>
    </row>
    <row r="752" spans="1:6" x14ac:dyDescent="0.3">
      <c r="A752" t="s">
        <v>334</v>
      </c>
      <c r="B752" t="s">
        <v>335</v>
      </c>
      <c r="C752" t="str">
        <f>HYPERLINK("http://service.sap.com/sap/support/notes/1902726","1902726")</f>
        <v>1902726</v>
      </c>
      <c r="D752">
        <v>1</v>
      </c>
      <c r="E752" t="s">
        <v>338</v>
      </c>
      <c r="F752" t="s">
        <v>9</v>
      </c>
    </row>
    <row r="753" spans="1:6" x14ac:dyDescent="0.3">
      <c r="A753" t="s">
        <v>334</v>
      </c>
      <c r="B753" t="s">
        <v>335</v>
      </c>
      <c r="C753" t="str">
        <f>HYPERLINK("http://service.sap.com/sap/support/notes/1325906","1325906")</f>
        <v>1325906</v>
      </c>
      <c r="D753">
        <v>4</v>
      </c>
      <c r="E753" t="s">
        <v>3461</v>
      </c>
      <c r="F753" t="s">
        <v>9</v>
      </c>
    </row>
    <row r="754" spans="1:6" x14ac:dyDescent="0.3">
      <c r="A754" t="s">
        <v>334</v>
      </c>
      <c r="B754" t="s">
        <v>335</v>
      </c>
      <c r="C754" t="str">
        <f>HYPERLINK("http://service.sap.com/sap/support/notes/1999885","1999885")</f>
        <v>1999885</v>
      </c>
      <c r="D754">
        <v>1</v>
      </c>
      <c r="E754" t="s">
        <v>3462</v>
      </c>
      <c r="F754" t="s">
        <v>9</v>
      </c>
    </row>
    <row r="755" spans="1:6" x14ac:dyDescent="0.3">
      <c r="A755" t="s">
        <v>339</v>
      </c>
      <c r="B755" t="s">
        <v>340</v>
      </c>
      <c r="C755" t="str">
        <f>HYPERLINK("http://service.sap.com/sap/support/notes/1874384","1874384")</f>
        <v>1874384</v>
      </c>
      <c r="D755">
        <v>1</v>
      </c>
      <c r="E755" t="s">
        <v>341</v>
      </c>
      <c r="F755" t="s">
        <v>9</v>
      </c>
    </row>
    <row r="756" spans="1:6" x14ac:dyDescent="0.3">
      <c r="A756" t="s">
        <v>1161</v>
      </c>
      <c r="B756" t="s">
        <v>1162</v>
      </c>
      <c r="C756" t="str">
        <f>HYPERLINK("http://service.sap.com/sap/support/notes/1791356","1791356")</f>
        <v>1791356</v>
      </c>
      <c r="D756">
        <v>2</v>
      </c>
      <c r="E756" t="s">
        <v>1163</v>
      </c>
      <c r="F756" t="s">
        <v>16</v>
      </c>
    </row>
    <row r="757" spans="1:6" x14ac:dyDescent="0.3">
      <c r="A757" t="s">
        <v>343</v>
      </c>
      <c r="B757" t="s">
        <v>344</v>
      </c>
      <c r="C757" t="str">
        <f>HYPERLINK("http://service.sap.com/sap/support/notes/1316816","1316816")</f>
        <v>1316816</v>
      </c>
      <c r="D757">
        <v>2</v>
      </c>
      <c r="E757" t="s">
        <v>345</v>
      </c>
      <c r="F757" t="s">
        <v>16</v>
      </c>
    </row>
    <row r="758" spans="1:6" x14ac:dyDescent="0.3">
      <c r="A758" t="s">
        <v>343</v>
      </c>
      <c r="B758" t="s">
        <v>344</v>
      </c>
      <c r="C758" t="str">
        <f>HYPERLINK("http://service.sap.com/sap/support/notes/1851339","1851339")</f>
        <v>1851339</v>
      </c>
      <c r="D758">
        <v>1</v>
      </c>
      <c r="E758" t="s">
        <v>1512</v>
      </c>
      <c r="F758" t="s">
        <v>9</v>
      </c>
    </row>
    <row r="759" spans="1:6" x14ac:dyDescent="0.3">
      <c r="A759" t="s">
        <v>343</v>
      </c>
      <c r="B759" t="s">
        <v>344</v>
      </c>
      <c r="C759" t="str">
        <f>HYPERLINK("http://service.sap.com/sap/support/notes/1852744","1852744")</f>
        <v>1852744</v>
      </c>
      <c r="D759">
        <v>1</v>
      </c>
      <c r="E759" t="s">
        <v>1513</v>
      </c>
      <c r="F759" t="s">
        <v>9</v>
      </c>
    </row>
    <row r="760" spans="1:6" x14ac:dyDescent="0.3">
      <c r="A760" t="s">
        <v>343</v>
      </c>
      <c r="B760" t="s">
        <v>4406</v>
      </c>
      <c r="C760" t="str">
        <f>HYPERLINK("http://service.sap.com/sap/support/notes/1879684","1879684")</f>
        <v>1879684</v>
      </c>
      <c r="D760">
        <v>3</v>
      </c>
      <c r="E760" t="s">
        <v>5422</v>
      </c>
      <c r="F760" t="s">
        <v>9</v>
      </c>
    </row>
    <row r="761" spans="1:6" x14ac:dyDescent="0.3">
      <c r="A761" t="s">
        <v>346</v>
      </c>
      <c r="B761" t="s">
        <v>347</v>
      </c>
      <c r="C761" t="str">
        <f>HYPERLINK("http://service.sap.com/sap/support/notes/1452820","1452820")</f>
        <v>1452820</v>
      </c>
      <c r="D761">
        <v>2</v>
      </c>
      <c r="E761" t="s">
        <v>348</v>
      </c>
      <c r="F761" t="s">
        <v>9</v>
      </c>
    </row>
    <row r="762" spans="1:6" x14ac:dyDescent="0.3">
      <c r="A762" t="s">
        <v>346</v>
      </c>
      <c r="B762" t="s">
        <v>347</v>
      </c>
      <c r="C762" t="str">
        <f>HYPERLINK("http://service.sap.com/sap/support/notes/1949925","1949925")</f>
        <v>1949925</v>
      </c>
      <c r="D762">
        <v>1</v>
      </c>
      <c r="E762" t="s">
        <v>1514</v>
      </c>
      <c r="F762" t="s">
        <v>16</v>
      </c>
    </row>
    <row r="763" spans="1:6" x14ac:dyDescent="0.3">
      <c r="A763" t="s">
        <v>2845</v>
      </c>
      <c r="B763" t="s">
        <v>2846</v>
      </c>
      <c r="C763" t="str">
        <f>HYPERLINK("http://service.sap.com/sap/support/notes/1984531","1984531")</f>
        <v>1984531</v>
      </c>
      <c r="D763">
        <v>1</v>
      </c>
      <c r="E763" t="s">
        <v>440</v>
      </c>
      <c r="F763" t="s">
        <v>9</v>
      </c>
    </row>
    <row r="764" spans="1:6" x14ac:dyDescent="0.3">
      <c r="A764" t="s">
        <v>3463</v>
      </c>
      <c r="B764" t="s">
        <v>3464</v>
      </c>
      <c r="C764" t="str">
        <f>HYPERLINK("http://service.sap.com/sap/support/notes/1959502","1959502")</f>
        <v>1959502</v>
      </c>
      <c r="D764">
        <v>2</v>
      </c>
      <c r="E764" t="s">
        <v>3465</v>
      </c>
      <c r="F764" t="s">
        <v>9</v>
      </c>
    </row>
    <row r="765" spans="1:6" x14ac:dyDescent="0.3">
      <c r="A765" t="s">
        <v>349</v>
      </c>
      <c r="B765" t="s">
        <v>350</v>
      </c>
      <c r="C765" t="str">
        <f>HYPERLINK("http://service.sap.com/sap/support/notes/1877997","1877997")</f>
        <v>1877997</v>
      </c>
      <c r="D765">
        <v>6</v>
      </c>
      <c r="E765" t="s">
        <v>351</v>
      </c>
      <c r="F765" t="s">
        <v>9</v>
      </c>
    </row>
    <row r="766" spans="1:6" x14ac:dyDescent="0.3">
      <c r="A766" t="s">
        <v>349</v>
      </c>
      <c r="B766" t="s">
        <v>350</v>
      </c>
      <c r="C766" t="str">
        <f>HYPERLINK("http://service.sap.com/sap/support/notes/1918141","1918141")</f>
        <v>1918141</v>
      </c>
      <c r="D766">
        <v>1</v>
      </c>
      <c r="E766" t="s">
        <v>5423</v>
      </c>
      <c r="F766" t="s">
        <v>9</v>
      </c>
    </row>
    <row r="767" spans="1:6" x14ac:dyDescent="0.3">
      <c r="A767" t="s">
        <v>3466</v>
      </c>
      <c r="B767" t="s">
        <v>3467</v>
      </c>
      <c r="C767" t="str">
        <f>HYPERLINK("http://service.sap.com/sap/support/notes/1472316","1472316")</f>
        <v>1472316</v>
      </c>
      <c r="D767">
        <v>2</v>
      </c>
      <c r="E767" t="s">
        <v>5090</v>
      </c>
      <c r="F767" t="s">
        <v>9</v>
      </c>
    </row>
    <row r="768" spans="1:6" x14ac:dyDescent="0.3">
      <c r="A768" t="s">
        <v>3466</v>
      </c>
      <c r="B768" t="s">
        <v>3467</v>
      </c>
      <c r="C768" t="str">
        <f>HYPERLINK("http://service.sap.com/sap/support/notes/2050441","2050441")</f>
        <v>2050441</v>
      </c>
      <c r="D768">
        <v>2</v>
      </c>
      <c r="E768" t="s">
        <v>5091</v>
      </c>
      <c r="F768" t="s">
        <v>9</v>
      </c>
    </row>
    <row r="769" spans="1:6" x14ac:dyDescent="0.3">
      <c r="A769" t="s">
        <v>4405</v>
      </c>
      <c r="B769" t="s">
        <v>4406</v>
      </c>
      <c r="C769" t="str">
        <f>HYPERLINK("http://service.sap.com/sap/support/notes/1412224","1412224")</f>
        <v>1412224</v>
      </c>
      <c r="D769">
        <v>2</v>
      </c>
      <c r="E769" t="s">
        <v>4407</v>
      </c>
      <c r="F769" t="s">
        <v>9</v>
      </c>
    </row>
    <row r="770" spans="1:6" x14ac:dyDescent="0.3">
      <c r="A770" t="s">
        <v>3468</v>
      </c>
      <c r="B770" t="s">
        <v>3469</v>
      </c>
      <c r="C770" t="str">
        <f>HYPERLINK("http://service.sap.com/sap/support/notes/1859329","1859329")</f>
        <v>1859329</v>
      </c>
      <c r="D770">
        <v>4</v>
      </c>
      <c r="E770" t="s">
        <v>3470</v>
      </c>
      <c r="F770" t="s">
        <v>9</v>
      </c>
    </row>
    <row r="771" spans="1:6" x14ac:dyDescent="0.3">
      <c r="A771" t="s">
        <v>3468</v>
      </c>
      <c r="B771" t="s">
        <v>3469</v>
      </c>
      <c r="C771" t="str">
        <f>HYPERLINK("http://service.sap.com/sap/support/notes/2050459","2050459")</f>
        <v>2050459</v>
      </c>
      <c r="D771">
        <v>1</v>
      </c>
      <c r="E771" t="s">
        <v>5424</v>
      </c>
      <c r="F771" t="s">
        <v>9</v>
      </c>
    </row>
    <row r="772" spans="1:6" x14ac:dyDescent="0.3">
      <c r="A772" t="s">
        <v>352</v>
      </c>
      <c r="B772" t="s">
        <v>353</v>
      </c>
      <c r="C772" t="str">
        <f>HYPERLINK("http://service.sap.com/sap/support/notes/1892962","1892962")</f>
        <v>1892962</v>
      </c>
      <c r="D772">
        <v>1</v>
      </c>
      <c r="E772" t="s">
        <v>354</v>
      </c>
      <c r="F772" t="s">
        <v>9</v>
      </c>
    </row>
    <row r="773" spans="1:6" x14ac:dyDescent="0.3">
      <c r="A773" t="s">
        <v>352</v>
      </c>
      <c r="B773" t="s">
        <v>353</v>
      </c>
      <c r="C773" t="str">
        <f>HYPERLINK("http://service.sap.com/sap/support/notes/1946603","1946603")</f>
        <v>1946603</v>
      </c>
      <c r="D773">
        <v>1</v>
      </c>
      <c r="E773" t="s">
        <v>1515</v>
      </c>
      <c r="F773" t="s">
        <v>9</v>
      </c>
    </row>
    <row r="774" spans="1:6" x14ac:dyDescent="0.3">
      <c r="A774" t="s">
        <v>352</v>
      </c>
      <c r="B774" t="s">
        <v>2417</v>
      </c>
      <c r="C774" t="str">
        <f>HYPERLINK("http://service.sap.com/sap/support/notes/1968215","1968215")</f>
        <v>1968215</v>
      </c>
      <c r="D774">
        <v>1</v>
      </c>
      <c r="E774" t="s">
        <v>2418</v>
      </c>
      <c r="F774" t="s">
        <v>9</v>
      </c>
    </row>
    <row r="775" spans="1:6" x14ac:dyDescent="0.3">
      <c r="A775" t="s">
        <v>352</v>
      </c>
      <c r="B775" t="s">
        <v>2417</v>
      </c>
      <c r="C775" t="str">
        <f>HYPERLINK("http://service.sap.com/sap/support/notes/1398309","1398309")</f>
        <v>1398309</v>
      </c>
      <c r="D775">
        <v>4</v>
      </c>
      <c r="E775" t="s">
        <v>4044</v>
      </c>
      <c r="F775" t="s">
        <v>16</v>
      </c>
    </row>
    <row r="776" spans="1:6" x14ac:dyDescent="0.3">
      <c r="A776" t="s">
        <v>352</v>
      </c>
      <c r="B776" t="s">
        <v>2417</v>
      </c>
      <c r="C776" t="str">
        <f>HYPERLINK("http://service.sap.com/sap/support/notes/1321972","1321972")</f>
        <v>1321972</v>
      </c>
      <c r="D776">
        <v>4</v>
      </c>
      <c r="E776" t="s">
        <v>4408</v>
      </c>
      <c r="F776" t="s">
        <v>9</v>
      </c>
    </row>
    <row r="777" spans="1:6" x14ac:dyDescent="0.3">
      <c r="A777" t="s">
        <v>3471</v>
      </c>
      <c r="B777" t="s">
        <v>3472</v>
      </c>
      <c r="C777" t="str">
        <f>HYPERLINK("http://service.sap.com/sap/support/notes/2003627","2003627")</f>
        <v>2003627</v>
      </c>
      <c r="D777">
        <v>1</v>
      </c>
      <c r="E777" t="s">
        <v>3473</v>
      </c>
      <c r="F777" t="s">
        <v>9</v>
      </c>
    </row>
    <row r="778" spans="1:6" x14ac:dyDescent="0.3">
      <c r="A778" t="s">
        <v>3471</v>
      </c>
      <c r="B778" t="s">
        <v>3472</v>
      </c>
      <c r="C778" t="str">
        <f>HYPERLINK("http://service.sap.com/sap/support/notes/1596605","1596605")</f>
        <v>1596605</v>
      </c>
      <c r="D778">
        <v>2</v>
      </c>
      <c r="E778" t="s">
        <v>4409</v>
      </c>
      <c r="F778" t="s">
        <v>9</v>
      </c>
    </row>
    <row r="779" spans="1:6" x14ac:dyDescent="0.3">
      <c r="A779" t="s">
        <v>2419</v>
      </c>
      <c r="B779" t="s">
        <v>2420</v>
      </c>
      <c r="C779" t="str">
        <f>HYPERLINK("http://service.sap.com/sap/support/notes/1986979","1986979")</f>
        <v>1986979</v>
      </c>
      <c r="D779">
        <v>1</v>
      </c>
      <c r="E779" t="s">
        <v>2418</v>
      </c>
      <c r="F779" t="s">
        <v>9</v>
      </c>
    </row>
    <row r="780" spans="1:6" x14ac:dyDescent="0.3">
      <c r="A780" t="s">
        <v>2419</v>
      </c>
      <c r="B780" t="s">
        <v>2420</v>
      </c>
      <c r="C780" t="str">
        <f>HYPERLINK("http://service.sap.com/sap/support/notes/1986979","1986979")</f>
        <v>1986979</v>
      </c>
      <c r="D780">
        <v>1</v>
      </c>
      <c r="E780" t="s">
        <v>2418</v>
      </c>
      <c r="F780" t="s">
        <v>9</v>
      </c>
    </row>
    <row r="781" spans="1:6" x14ac:dyDescent="0.3">
      <c r="A781" t="s">
        <v>2419</v>
      </c>
      <c r="B781" t="s">
        <v>2420</v>
      </c>
      <c r="C781" t="str">
        <f>HYPERLINK("http://service.sap.com/sap/support/notes/1237668","1237668")</f>
        <v>1237668</v>
      </c>
      <c r="D781">
        <v>6</v>
      </c>
      <c r="E781" t="s">
        <v>4410</v>
      </c>
      <c r="F781" t="s">
        <v>16</v>
      </c>
    </row>
    <row r="782" spans="1:6" x14ac:dyDescent="0.3">
      <c r="A782" t="s">
        <v>2419</v>
      </c>
      <c r="B782" t="s">
        <v>2420</v>
      </c>
      <c r="C782" t="str">
        <f>HYPERLINK("http://service.sap.com/sap/support/notes/1381068","1381068")</f>
        <v>1381068</v>
      </c>
      <c r="D782">
        <v>4</v>
      </c>
      <c r="E782" t="s">
        <v>4411</v>
      </c>
      <c r="F782" t="s">
        <v>16</v>
      </c>
    </row>
    <row r="783" spans="1:6" x14ac:dyDescent="0.3">
      <c r="A783" t="s">
        <v>2419</v>
      </c>
      <c r="B783" t="s">
        <v>2420</v>
      </c>
      <c r="C783" t="str">
        <f>HYPERLINK("http://service.sap.com/sap/support/notes/1490662","1490662")</f>
        <v>1490662</v>
      </c>
      <c r="D783">
        <v>2</v>
      </c>
      <c r="E783" t="s">
        <v>4412</v>
      </c>
      <c r="F783" t="s">
        <v>9</v>
      </c>
    </row>
    <row r="784" spans="1:6" x14ac:dyDescent="0.3">
      <c r="A784" t="s">
        <v>2419</v>
      </c>
      <c r="B784" t="s">
        <v>2420</v>
      </c>
      <c r="C784" t="str">
        <f>HYPERLINK("http://service.sap.com/sap/support/notes/1893600","1893600")</f>
        <v>1893600</v>
      </c>
      <c r="D784">
        <v>2</v>
      </c>
      <c r="E784" t="s">
        <v>4413</v>
      </c>
      <c r="F784" t="s">
        <v>9</v>
      </c>
    </row>
    <row r="785" spans="1:6" x14ac:dyDescent="0.3">
      <c r="A785" t="s">
        <v>355</v>
      </c>
      <c r="B785" t="s">
        <v>356</v>
      </c>
      <c r="C785" t="str">
        <f>HYPERLINK("http://service.sap.com/sap/support/notes/1869358","1869358")</f>
        <v>1869358</v>
      </c>
      <c r="D785">
        <v>2</v>
      </c>
      <c r="E785" t="s">
        <v>357</v>
      </c>
      <c r="F785" t="s">
        <v>9</v>
      </c>
    </row>
    <row r="786" spans="1:6" x14ac:dyDescent="0.3">
      <c r="A786" t="s">
        <v>355</v>
      </c>
      <c r="B786" t="s">
        <v>356</v>
      </c>
      <c r="C786" t="str">
        <f>HYPERLINK("http://service.sap.com/sap/support/notes/1980496","1980496")</f>
        <v>1980496</v>
      </c>
      <c r="D786">
        <v>2</v>
      </c>
      <c r="E786" t="s">
        <v>3474</v>
      </c>
      <c r="F786" t="s">
        <v>9</v>
      </c>
    </row>
    <row r="787" spans="1:6" x14ac:dyDescent="0.3">
      <c r="A787" t="s">
        <v>358</v>
      </c>
      <c r="B787" t="s">
        <v>359</v>
      </c>
      <c r="C787" t="str">
        <f>HYPERLINK("http://service.sap.com/sap/support/notes/1550092","1550092")</f>
        <v>1550092</v>
      </c>
      <c r="D787">
        <v>4</v>
      </c>
      <c r="E787" t="s">
        <v>360</v>
      </c>
      <c r="F787" t="s">
        <v>16</v>
      </c>
    </row>
    <row r="788" spans="1:6" x14ac:dyDescent="0.3">
      <c r="A788" t="s">
        <v>358</v>
      </c>
      <c r="B788" t="s">
        <v>359</v>
      </c>
      <c r="C788" t="str">
        <f>HYPERLINK("http://service.sap.com/sap/support/notes/1834890","1834890")</f>
        <v>1834890</v>
      </c>
      <c r="D788">
        <v>4</v>
      </c>
      <c r="E788" t="s">
        <v>361</v>
      </c>
      <c r="F788" t="s">
        <v>16</v>
      </c>
    </row>
    <row r="789" spans="1:6" x14ac:dyDescent="0.3">
      <c r="A789" t="s">
        <v>358</v>
      </c>
      <c r="B789" t="s">
        <v>359</v>
      </c>
      <c r="C789" t="str">
        <f>HYPERLINK("http://service.sap.com/sap/support/notes/1868520","1868520")</f>
        <v>1868520</v>
      </c>
      <c r="D789">
        <v>2</v>
      </c>
      <c r="E789" t="s">
        <v>362</v>
      </c>
      <c r="F789" t="s">
        <v>9</v>
      </c>
    </row>
    <row r="790" spans="1:6" x14ac:dyDescent="0.3">
      <c r="A790" t="s">
        <v>358</v>
      </c>
      <c r="B790" t="s">
        <v>359</v>
      </c>
      <c r="C790" t="str">
        <f>HYPERLINK("http://service.sap.com/sap/support/notes/1871183","1871183")</f>
        <v>1871183</v>
      </c>
      <c r="D790">
        <v>3</v>
      </c>
      <c r="E790" t="s">
        <v>363</v>
      </c>
      <c r="F790" t="s">
        <v>9</v>
      </c>
    </row>
    <row r="791" spans="1:6" x14ac:dyDescent="0.3">
      <c r="A791" t="s">
        <v>358</v>
      </c>
      <c r="B791" t="s">
        <v>359</v>
      </c>
      <c r="C791" t="str">
        <f>HYPERLINK("http://service.sap.com/sap/support/notes/1871242","1871242")</f>
        <v>1871242</v>
      </c>
      <c r="D791">
        <v>4</v>
      </c>
      <c r="E791" t="s">
        <v>364</v>
      </c>
      <c r="F791" t="s">
        <v>9</v>
      </c>
    </row>
    <row r="792" spans="1:6" x14ac:dyDescent="0.3">
      <c r="A792" t="s">
        <v>358</v>
      </c>
      <c r="B792" t="s">
        <v>359</v>
      </c>
      <c r="C792" t="str">
        <f>HYPERLINK("http://service.sap.com/sap/support/notes/1872287","1872287")</f>
        <v>1872287</v>
      </c>
      <c r="D792">
        <v>3</v>
      </c>
      <c r="E792" t="s">
        <v>365</v>
      </c>
      <c r="F792" t="s">
        <v>16</v>
      </c>
    </row>
    <row r="793" spans="1:6" x14ac:dyDescent="0.3">
      <c r="A793" t="s">
        <v>358</v>
      </c>
      <c r="B793" t="s">
        <v>359</v>
      </c>
      <c r="C793" t="str">
        <f>HYPERLINK("http://service.sap.com/sap/support/notes/1879092","1879092")</f>
        <v>1879092</v>
      </c>
      <c r="D793">
        <v>3</v>
      </c>
      <c r="E793" t="s">
        <v>366</v>
      </c>
      <c r="F793" t="s">
        <v>16</v>
      </c>
    </row>
    <row r="794" spans="1:6" x14ac:dyDescent="0.3">
      <c r="A794" t="s">
        <v>358</v>
      </c>
      <c r="B794" t="s">
        <v>359</v>
      </c>
      <c r="C794" t="str">
        <f>HYPERLINK("http://service.sap.com/sap/support/notes/1925794","1925794")</f>
        <v>1925794</v>
      </c>
      <c r="D794">
        <v>1</v>
      </c>
      <c r="E794" t="s">
        <v>367</v>
      </c>
      <c r="F794" t="s">
        <v>9</v>
      </c>
    </row>
    <row r="795" spans="1:6" x14ac:dyDescent="0.3">
      <c r="A795" t="s">
        <v>358</v>
      </c>
      <c r="B795" t="s">
        <v>359</v>
      </c>
      <c r="C795" t="str">
        <f>HYPERLINK("http://service.sap.com/sap/support/notes/1930106","1930106")</f>
        <v>1930106</v>
      </c>
      <c r="D795">
        <v>1</v>
      </c>
      <c r="E795" t="s">
        <v>3475</v>
      </c>
      <c r="F795" t="s">
        <v>9</v>
      </c>
    </row>
    <row r="796" spans="1:6" x14ac:dyDescent="0.3">
      <c r="A796" t="s">
        <v>358</v>
      </c>
      <c r="B796" t="s">
        <v>359</v>
      </c>
      <c r="C796" t="str">
        <f>HYPERLINK("http://service.sap.com/sap/support/notes/1940301","1940301")</f>
        <v>1940301</v>
      </c>
      <c r="D796">
        <v>3</v>
      </c>
      <c r="E796" t="s">
        <v>3476</v>
      </c>
      <c r="F796" t="s">
        <v>9</v>
      </c>
    </row>
    <row r="797" spans="1:6" x14ac:dyDescent="0.3">
      <c r="A797" t="s">
        <v>358</v>
      </c>
      <c r="B797" t="s">
        <v>359</v>
      </c>
      <c r="C797" t="str">
        <f>HYPERLINK("http://service.sap.com/sap/support/notes/1943849","1943849")</f>
        <v>1943849</v>
      </c>
      <c r="D797">
        <v>1</v>
      </c>
      <c r="E797" t="s">
        <v>3477</v>
      </c>
      <c r="F797" t="s">
        <v>16</v>
      </c>
    </row>
    <row r="798" spans="1:6" x14ac:dyDescent="0.3">
      <c r="A798" t="s">
        <v>358</v>
      </c>
      <c r="B798" t="s">
        <v>359</v>
      </c>
      <c r="C798" t="str">
        <f>HYPERLINK("http://service.sap.com/sap/support/notes/1966322","1966322")</f>
        <v>1966322</v>
      </c>
      <c r="D798">
        <v>1</v>
      </c>
      <c r="E798" t="s">
        <v>3478</v>
      </c>
      <c r="F798" t="s">
        <v>9</v>
      </c>
    </row>
    <row r="799" spans="1:6" x14ac:dyDescent="0.3">
      <c r="A799" t="s">
        <v>358</v>
      </c>
      <c r="B799" t="s">
        <v>359</v>
      </c>
      <c r="C799" t="str">
        <f>HYPERLINK("http://service.sap.com/sap/support/notes/1969805","1969805")</f>
        <v>1969805</v>
      </c>
      <c r="D799">
        <v>3</v>
      </c>
      <c r="E799" t="s">
        <v>3479</v>
      </c>
      <c r="F799" t="s">
        <v>9</v>
      </c>
    </row>
    <row r="800" spans="1:6" x14ac:dyDescent="0.3">
      <c r="A800" t="s">
        <v>358</v>
      </c>
      <c r="B800" t="s">
        <v>359</v>
      </c>
      <c r="C800" t="str">
        <f>HYPERLINK("http://service.sap.com/sap/support/notes/1975603","1975603")</f>
        <v>1975603</v>
      </c>
      <c r="D800">
        <v>2</v>
      </c>
      <c r="E800" t="s">
        <v>3480</v>
      </c>
      <c r="F800" t="s">
        <v>9</v>
      </c>
    </row>
    <row r="801" spans="1:6" x14ac:dyDescent="0.3">
      <c r="A801" t="s">
        <v>368</v>
      </c>
      <c r="B801" t="s">
        <v>369</v>
      </c>
      <c r="C801" t="str">
        <f>HYPERLINK("http://service.sap.com/sap/support/notes/1279607","1279607")</f>
        <v>1279607</v>
      </c>
      <c r="D801">
        <v>2</v>
      </c>
      <c r="E801" t="s">
        <v>370</v>
      </c>
      <c r="F801" t="s">
        <v>9</v>
      </c>
    </row>
    <row r="802" spans="1:6" x14ac:dyDescent="0.3">
      <c r="A802" t="s">
        <v>368</v>
      </c>
      <c r="B802" t="s">
        <v>369</v>
      </c>
      <c r="C802" t="str">
        <f>HYPERLINK("http://service.sap.com/sap/support/notes/1837921","1837921")</f>
        <v>1837921</v>
      </c>
      <c r="D802">
        <v>3</v>
      </c>
      <c r="E802" t="s">
        <v>371</v>
      </c>
      <c r="F802" t="s">
        <v>9</v>
      </c>
    </row>
    <row r="803" spans="1:6" x14ac:dyDescent="0.3">
      <c r="A803" t="s">
        <v>368</v>
      </c>
      <c r="B803" t="s">
        <v>369</v>
      </c>
      <c r="C803" t="str">
        <f>HYPERLINK("http://service.sap.com/sap/support/notes/1887228","1887228")</f>
        <v>1887228</v>
      </c>
      <c r="D803">
        <v>1</v>
      </c>
      <c r="E803" t="s">
        <v>372</v>
      </c>
      <c r="F803" t="s">
        <v>9</v>
      </c>
    </row>
    <row r="804" spans="1:6" x14ac:dyDescent="0.3">
      <c r="A804" t="s">
        <v>368</v>
      </c>
      <c r="B804" t="s">
        <v>369</v>
      </c>
      <c r="C804" t="str">
        <f>HYPERLINK("http://service.sap.com/sap/support/notes/1894635","1894635")</f>
        <v>1894635</v>
      </c>
      <c r="D804">
        <v>2</v>
      </c>
      <c r="E804" t="s">
        <v>373</v>
      </c>
      <c r="F804" t="s">
        <v>9</v>
      </c>
    </row>
    <row r="805" spans="1:6" x14ac:dyDescent="0.3">
      <c r="A805" t="s">
        <v>368</v>
      </c>
      <c r="B805" t="s">
        <v>369</v>
      </c>
      <c r="C805" t="str">
        <f>HYPERLINK("http://service.sap.com/sap/support/notes/2003373","2003373")</f>
        <v>2003373</v>
      </c>
      <c r="D805">
        <v>1</v>
      </c>
      <c r="E805" t="s">
        <v>3481</v>
      </c>
      <c r="F805" t="s">
        <v>9</v>
      </c>
    </row>
    <row r="806" spans="1:6" x14ac:dyDescent="0.3">
      <c r="A806" t="s">
        <v>374</v>
      </c>
      <c r="B806" t="s">
        <v>375</v>
      </c>
      <c r="C806" t="str">
        <f>HYPERLINK("http://service.sap.com/sap/support/notes/1846108","1846108")</f>
        <v>1846108</v>
      </c>
      <c r="D806">
        <v>3</v>
      </c>
      <c r="E806" t="s">
        <v>376</v>
      </c>
      <c r="F806" t="s">
        <v>16</v>
      </c>
    </row>
    <row r="807" spans="1:6" x14ac:dyDescent="0.3">
      <c r="A807" t="s">
        <v>374</v>
      </c>
      <c r="B807" t="s">
        <v>375</v>
      </c>
      <c r="C807" t="str">
        <f>HYPERLINK("http://service.sap.com/sap/support/notes/1850393","1850393")</f>
        <v>1850393</v>
      </c>
      <c r="D807">
        <v>4</v>
      </c>
      <c r="E807" t="s">
        <v>377</v>
      </c>
      <c r="F807" t="s">
        <v>16</v>
      </c>
    </row>
    <row r="808" spans="1:6" x14ac:dyDescent="0.3">
      <c r="A808" t="s">
        <v>374</v>
      </c>
      <c r="B808" t="s">
        <v>375</v>
      </c>
      <c r="C808" t="str">
        <f>HYPERLINK("http://service.sap.com/sap/support/notes/1905017","1905017")</f>
        <v>1905017</v>
      </c>
      <c r="D808">
        <v>1</v>
      </c>
      <c r="E808" t="s">
        <v>378</v>
      </c>
      <c r="F808" t="s">
        <v>9</v>
      </c>
    </row>
    <row r="809" spans="1:6" x14ac:dyDescent="0.3">
      <c r="A809" t="s">
        <v>3482</v>
      </c>
      <c r="B809" t="s">
        <v>3483</v>
      </c>
      <c r="C809" t="str">
        <f>HYPERLINK("http://service.sap.com/sap/support/notes/1990361","1990361")</f>
        <v>1990361</v>
      </c>
      <c r="D809">
        <v>1</v>
      </c>
      <c r="E809" t="s">
        <v>3484</v>
      </c>
      <c r="F809" t="s">
        <v>9</v>
      </c>
    </row>
    <row r="810" spans="1:6" x14ac:dyDescent="0.3">
      <c r="A810" t="s">
        <v>3485</v>
      </c>
      <c r="B810" t="s">
        <v>3486</v>
      </c>
      <c r="C810" t="str">
        <f>HYPERLINK("http://service.sap.com/sap/support/notes/1942144","1942144")</f>
        <v>1942144</v>
      </c>
      <c r="D810">
        <v>2</v>
      </c>
      <c r="E810" t="s">
        <v>3487</v>
      </c>
      <c r="F810" t="s">
        <v>9</v>
      </c>
    </row>
    <row r="811" spans="1:6" x14ac:dyDescent="0.3">
      <c r="A811" t="s">
        <v>379</v>
      </c>
      <c r="B811" t="s">
        <v>380</v>
      </c>
      <c r="C811" t="str">
        <f>HYPERLINK("http://service.sap.com/sap/support/notes/1864843","1864843")</f>
        <v>1864843</v>
      </c>
      <c r="D811">
        <v>1</v>
      </c>
      <c r="E811" t="s">
        <v>381</v>
      </c>
      <c r="F811" t="s">
        <v>9</v>
      </c>
    </row>
    <row r="812" spans="1:6" x14ac:dyDescent="0.3">
      <c r="A812" t="s">
        <v>379</v>
      </c>
      <c r="B812" t="s">
        <v>380</v>
      </c>
      <c r="C812" t="str">
        <f>HYPERLINK("http://service.sap.com/sap/support/notes/1876259","1876259")</f>
        <v>1876259</v>
      </c>
      <c r="D812">
        <v>1</v>
      </c>
      <c r="E812" t="s">
        <v>382</v>
      </c>
      <c r="F812" t="s">
        <v>16</v>
      </c>
    </row>
    <row r="813" spans="1:6" x14ac:dyDescent="0.3">
      <c r="A813" t="s">
        <v>379</v>
      </c>
      <c r="B813" t="s">
        <v>380</v>
      </c>
      <c r="C813" t="str">
        <f>HYPERLINK("http://service.sap.com/sap/support/notes/1983579","1983579")</f>
        <v>1983579</v>
      </c>
      <c r="D813">
        <v>1</v>
      </c>
      <c r="E813" t="s">
        <v>3488</v>
      </c>
      <c r="F813" t="s">
        <v>9</v>
      </c>
    </row>
    <row r="814" spans="1:6" x14ac:dyDescent="0.3">
      <c r="A814" t="s">
        <v>383</v>
      </c>
      <c r="B814" t="s">
        <v>384</v>
      </c>
      <c r="C814" t="str">
        <f>HYPERLINK("http://service.sap.com/sap/support/notes/1654718","1654718")</f>
        <v>1654718</v>
      </c>
      <c r="D814">
        <v>4</v>
      </c>
      <c r="E814" t="s">
        <v>385</v>
      </c>
      <c r="F814" t="s">
        <v>9</v>
      </c>
    </row>
    <row r="815" spans="1:6" x14ac:dyDescent="0.3">
      <c r="A815" t="s">
        <v>383</v>
      </c>
      <c r="B815" t="s">
        <v>384</v>
      </c>
      <c r="C815" t="str">
        <f>HYPERLINK("http://service.sap.com/sap/support/notes/1722283","1722283")</f>
        <v>1722283</v>
      </c>
      <c r="D815">
        <v>2</v>
      </c>
      <c r="E815" t="s">
        <v>386</v>
      </c>
      <c r="F815" t="s">
        <v>16</v>
      </c>
    </row>
    <row r="816" spans="1:6" x14ac:dyDescent="0.3">
      <c r="A816" t="s">
        <v>383</v>
      </c>
      <c r="B816" t="s">
        <v>384</v>
      </c>
      <c r="C816" t="str">
        <f>HYPERLINK("http://service.sap.com/sap/support/notes/1802400","1802400")</f>
        <v>1802400</v>
      </c>
      <c r="D816">
        <v>4</v>
      </c>
      <c r="E816" t="s">
        <v>387</v>
      </c>
      <c r="F816" t="s">
        <v>16</v>
      </c>
    </row>
    <row r="817" spans="1:6" x14ac:dyDescent="0.3">
      <c r="A817" t="s">
        <v>383</v>
      </c>
      <c r="B817" t="s">
        <v>384</v>
      </c>
      <c r="C817" t="str">
        <f>HYPERLINK("http://service.sap.com/sap/support/notes/1851119","1851119")</f>
        <v>1851119</v>
      </c>
      <c r="D817">
        <v>4</v>
      </c>
      <c r="E817" t="s">
        <v>388</v>
      </c>
      <c r="F817" t="s">
        <v>9</v>
      </c>
    </row>
    <row r="818" spans="1:6" x14ac:dyDescent="0.3">
      <c r="A818" t="s">
        <v>383</v>
      </c>
      <c r="B818" t="s">
        <v>384</v>
      </c>
      <c r="C818" t="str">
        <f>HYPERLINK("http://service.sap.com/sap/support/notes/1864278","1864278")</f>
        <v>1864278</v>
      </c>
      <c r="D818">
        <v>1</v>
      </c>
      <c r="E818" t="s">
        <v>389</v>
      </c>
      <c r="F818" t="s">
        <v>9</v>
      </c>
    </row>
    <row r="819" spans="1:6" x14ac:dyDescent="0.3">
      <c r="A819" t="s">
        <v>383</v>
      </c>
      <c r="B819" t="s">
        <v>384</v>
      </c>
      <c r="C819" t="str">
        <f>HYPERLINK("http://service.sap.com/sap/support/notes/1867508","1867508")</f>
        <v>1867508</v>
      </c>
      <c r="D819">
        <v>1</v>
      </c>
      <c r="E819" t="s">
        <v>390</v>
      </c>
      <c r="F819" t="s">
        <v>9</v>
      </c>
    </row>
    <row r="820" spans="1:6" x14ac:dyDescent="0.3">
      <c r="A820" t="s">
        <v>383</v>
      </c>
      <c r="B820" t="s">
        <v>384</v>
      </c>
      <c r="C820" t="str">
        <f>HYPERLINK("http://service.sap.com/sap/support/notes/1874794","1874794")</f>
        <v>1874794</v>
      </c>
      <c r="D820">
        <v>1</v>
      </c>
      <c r="E820" t="s">
        <v>391</v>
      </c>
      <c r="F820" t="s">
        <v>9</v>
      </c>
    </row>
    <row r="821" spans="1:6" x14ac:dyDescent="0.3">
      <c r="A821" t="s">
        <v>383</v>
      </c>
      <c r="B821" t="s">
        <v>384</v>
      </c>
      <c r="C821" t="str">
        <f>HYPERLINK("http://service.sap.com/sap/support/notes/1875514","1875514")</f>
        <v>1875514</v>
      </c>
      <c r="D821">
        <v>2</v>
      </c>
      <c r="E821" t="s">
        <v>392</v>
      </c>
      <c r="F821" t="s">
        <v>16</v>
      </c>
    </row>
    <row r="822" spans="1:6" x14ac:dyDescent="0.3">
      <c r="A822" t="s">
        <v>383</v>
      </c>
      <c r="B822" t="s">
        <v>384</v>
      </c>
      <c r="C822" t="str">
        <f>HYPERLINK("http://service.sap.com/sap/support/notes/1877139","1877139")</f>
        <v>1877139</v>
      </c>
      <c r="D822">
        <v>1</v>
      </c>
      <c r="E822" t="s">
        <v>393</v>
      </c>
      <c r="F822" t="s">
        <v>9</v>
      </c>
    </row>
    <row r="823" spans="1:6" x14ac:dyDescent="0.3">
      <c r="A823" t="s">
        <v>383</v>
      </c>
      <c r="B823" t="s">
        <v>384</v>
      </c>
      <c r="C823" t="str">
        <f>HYPERLINK("http://service.sap.com/sap/support/notes/1887072","1887072")</f>
        <v>1887072</v>
      </c>
      <c r="D823">
        <v>5</v>
      </c>
      <c r="E823" t="s">
        <v>394</v>
      </c>
      <c r="F823" t="s">
        <v>9</v>
      </c>
    </row>
    <row r="824" spans="1:6" x14ac:dyDescent="0.3">
      <c r="A824" t="s">
        <v>383</v>
      </c>
      <c r="B824" t="s">
        <v>384</v>
      </c>
      <c r="C824" t="str">
        <f>HYPERLINK("http://service.sap.com/sap/support/notes/1887840","1887840")</f>
        <v>1887840</v>
      </c>
      <c r="D824">
        <v>1</v>
      </c>
      <c r="E824" t="s">
        <v>395</v>
      </c>
      <c r="F824" t="s">
        <v>16</v>
      </c>
    </row>
    <row r="825" spans="1:6" x14ac:dyDescent="0.3">
      <c r="A825" t="s">
        <v>383</v>
      </c>
      <c r="B825" t="s">
        <v>384</v>
      </c>
      <c r="C825" t="str">
        <f>HYPERLINK("http://service.sap.com/sap/support/notes/1898702","1898702")</f>
        <v>1898702</v>
      </c>
      <c r="D825">
        <v>3</v>
      </c>
      <c r="E825" t="s">
        <v>396</v>
      </c>
      <c r="F825" t="s">
        <v>9</v>
      </c>
    </row>
    <row r="826" spans="1:6" x14ac:dyDescent="0.3">
      <c r="A826" t="s">
        <v>383</v>
      </c>
      <c r="B826" t="s">
        <v>384</v>
      </c>
      <c r="C826" t="str">
        <f>HYPERLINK("http://service.sap.com/sap/support/notes/1900173","1900173")</f>
        <v>1900173</v>
      </c>
      <c r="D826">
        <v>3</v>
      </c>
      <c r="E826" t="s">
        <v>397</v>
      </c>
      <c r="F826" t="s">
        <v>16</v>
      </c>
    </row>
    <row r="827" spans="1:6" x14ac:dyDescent="0.3">
      <c r="A827" t="s">
        <v>383</v>
      </c>
      <c r="B827" t="s">
        <v>384</v>
      </c>
      <c r="C827" t="str">
        <f>HYPERLINK("http://service.sap.com/sap/support/notes/1900437","1900437")</f>
        <v>1900437</v>
      </c>
      <c r="D827">
        <v>2</v>
      </c>
      <c r="E827" t="s">
        <v>398</v>
      </c>
      <c r="F827" t="s">
        <v>28</v>
      </c>
    </row>
    <row r="828" spans="1:6" x14ac:dyDescent="0.3">
      <c r="A828" t="s">
        <v>383</v>
      </c>
      <c r="B828" t="s">
        <v>384</v>
      </c>
      <c r="C828" t="str">
        <f>HYPERLINK("http://service.sap.com/sap/support/notes/1915251","1915251")</f>
        <v>1915251</v>
      </c>
      <c r="D828">
        <v>1</v>
      </c>
      <c r="E828" t="s">
        <v>399</v>
      </c>
      <c r="F828" t="s">
        <v>9</v>
      </c>
    </row>
    <row r="829" spans="1:6" x14ac:dyDescent="0.3">
      <c r="A829" t="s">
        <v>383</v>
      </c>
      <c r="B829" t="s">
        <v>384</v>
      </c>
      <c r="C829" t="str">
        <f>HYPERLINK("http://service.sap.com/sap/support/notes/1925732","1925732")</f>
        <v>1925732</v>
      </c>
      <c r="D829">
        <v>1</v>
      </c>
      <c r="E829" t="s">
        <v>400</v>
      </c>
      <c r="F829" t="s">
        <v>16</v>
      </c>
    </row>
    <row r="830" spans="1:6" x14ac:dyDescent="0.3">
      <c r="A830" t="s">
        <v>383</v>
      </c>
      <c r="B830" t="s">
        <v>384</v>
      </c>
      <c r="C830" t="str">
        <f>HYPERLINK("http://service.sap.com/sap/support/notes/1928689","1928689")</f>
        <v>1928689</v>
      </c>
      <c r="D830">
        <v>1</v>
      </c>
      <c r="E830" t="s">
        <v>401</v>
      </c>
      <c r="F830" t="s">
        <v>9</v>
      </c>
    </row>
    <row r="831" spans="1:6" x14ac:dyDescent="0.3">
      <c r="A831" t="s">
        <v>383</v>
      </c>
      <c r="B831" t="s">
        <v>384</v>
      </c>
      <c r="C831" t="str">
        <f>HYPERLINK("http://service.sap.com/sap/support/notes/1942647","1942647")</f>
        <v>1942647</v>
      </c>
      <c r="D831">
        <v>3</v>
      </c>
      <c r="E831" t="s">
        <v>3489</v>
      </c>
      <c r="F831" t="s">
        <v>9</v>
      </c>
    </row>
    <row r="832" spans="1:6" x14ac:dyDescent="0.3">
      <c r="A832" t="s">
        <v>383</v>
      </c>
      <c r="B832" t="s">
        <v>384</v>
      </c>
      <c r="C832" t="str">
        <f>HYPERLINK("http://service.sap.com/sap/support/notes/1945557","1945557")</f>
        <v>1945557</v>
      </c>
      <c r="D832">
        <v>1</v>
      </c>
      <c r="E832" t="s">
        <v>3490</v>
      </c>
      <c r="F832" t="s">
        <v>9</v>
      </c>
    </row>
    <row r="833" spans="1:6" x14ac:dyDescent="0.3">
      <c r="A833" t="s">
        <v>383</v>
      </c>
      <c r="B833" t="s">
        <v>384</v>
      </c>
      <c r="C833" t="str">
        <f>HYPERLINK("http://service.sap.com/sap/support/notes/1952018","1952018")</f>
        <v>1952018</v>
      </c>
      <c r="D833">
        <v>4</v>
      </c>
      <c r="E833" t="s">
        <v>3491</v>
      </c>
      <c r="F833" t="s">
        <v>9</v>
      </c>
    </row>
    <row r="834" spans="1:6" x14ac:dyDescent="0.3">
      <c r="A834" t="s">
        <v>383</v>
      </c>
      <c r="B834" t="s">
        <v>384</v>
      </c>
      <c r="C834" t="str">
        <f>HYPERLINK("http://service.sap.com/sap/support/notes/1962158","1962158")</f>
        <v>1962158</v>
      </c>
      <c r="D834">
        <v>2</v>
      </c>
      <c r="E834" t="s">
        <v>3492</v>
      </c>
      <c r="F834" t="s">
        <v>9</v>
      </c>
    </row>
    <row r="835" spans="1:6" x14ac:dyDescent="0.3">
      <c r="A835" t="s">
        <v>383</v>
      </c>
      <c r="B835" t="s">
        <v>384</v>
      </c>
      <c r="C835" t="str">
        <f>HYPERLINK("http://service.sap.com/sap/support/notes/1963975","1963975")</f>
        <v>1963975</v>
      </c>
      <c r="D835">
        <v>3</v>
      </c>
      <c r="E835" t="s">
        <v>3493</v>
      </c>
      <c r="F835" t="s">
        <v>9</v>
      </c>
    </row>
    <row r="836" spans="1:6" x14ac:dyDescent="0.3">
      <c r="A836" t="s">
        <v>383</v>
      </c>
      <c r="B836" t="s">
        <v>384</v>
      </c>
      <c r="C836" t="str">
        <f>HYPERLINK("http://service.sap.com/sap/support/notes/1976061","1976061")</f>
        <v>1976061</v>
      </c>
      <c r="D836">
        <v>2</v>
      </c>
      <c r="E836" t="s">
        <v>3494</v>
      </c>
      <c r="F836" t="s">
        <v>9</v>
      </c>
    </row>
    <row r="837" spans="1:6" x14ac:dyDescent="0.3">
      <c r="A837" t="s">
        <v>383</v>
      </c>
      <c r="B837" t="s">
        <v>384</v>
      </c>
      <c r="C837" t="str">
        <f>HYPERLINK("http://service.sap.com/sap/support/notes/1991294","1991294")</f>
        <v>1991294</v>
      </c>
      <c r="D837">
        <v>1</v>
      </c>
      <c r="E837" t="s">
        <v>3495</v>
      </c>
      <c r="F837" t="s">
        <v>9</v>
      </c>
    </row>
    <row r="838" spans="1:6" x14ac:dyDescent="0.3">
      <c r="A838" t="s">
        <v>383</v>
      </c>
      <c r="B838" t="s">
        <v>384</v>
      </c>
      <c r="C838" t="str">
        <f>HYPERLINK("http://service.sap.com/sap/support/notes/2005371","2005371")</f>
        <v>2005371</v>
      </c>
      <c r="D838">
        <v>1</v>
      </c>
      <c r="E838" t="s">
        <v>3496</v>
      </c>
      <c r="F838" t="s">
        <v>9</v>
      </c>
    </row>
    <row r="839" spans="1:6" x14ac:dyDescent="0.3">
      <c r="A839" t="s">
        <v>383</v>
      </c>
      <c r="B839" t="s">
        <v>384</v>
      </c>
      <c r="C839" t="str">
        <f>HYPERLINK("http://service.sap.com/sap/support/notes/2009039","2009039")</f>
        <v>2009039</v>
      </c>
      <c r="D839">
        <v>2</v>
      </c>
      <c r="E839" t="s">
        <v>3497</v>
      </c>
      <c r="F839" t="s">
        <v>9</v>
      </c>
    </row>
    <row r="840" spans="1:6" x14ac:dyDescent="0.3">
      <c r="A840" t="s">
        <v>383</v>
      </c>
      <c r="B840" t="s">
        <v>2421</v>
      </c>
      <c r="C840" t="str">
        <f>HYPERLINK("http://service.sap.com/sap/support/notes/2049145","2049145")</f>
        <v>2049145</v>
      </c>
      <c r="D840">
        <v>1</v>
      </c>
      <c r="E840" t="s">
        <v>5092</v>
      </c>
      <c r="F840" t="s">
        <v>9</v>
      </c>
    </row>
    <row r="841" spans="1:6" x14ac:dyDescent="0.3">
      <c r="A841" t="s">
        <v>402</v>
      </c>
      <c r="B841" t="s">
        <v>403</v>
      </c>
      <c r="C841" t="str">
        <f>HYPERLINK("http://service.sap.com/sap/support/notes/1926228","1926228")</f>
        <v>1926228</v>
      </c>
      <c r="D841">
        <v>1</v>
      </c>
      <c r="E841" t="s">
        <v>404</v>
      </c>
      <c r="F841" t="s">
        <v>16</v>
      </c>
    </row>
    <row r="842" spans="1:6" x14ac:dyDescent="0.3">
      <c r="A842" t="s">
        <v>402</v>
      </c>
      <c r="B842" t="s">
        <v>403</v>
      </c>
      <c r="C842" t="str">
        <f>HYPERLINK("http://service.sap.com/sap/support/notes/2005259","2005259")</f>
        <v>2005259</v>
      </c>
      <c r="D842">
        <v>1</v>
      </c>
      <c r="E842" t="s">
        <v>3498</v>
      </c>
      <c r="F842" t="s">
        <v>9</v>
      </c>
    </row>
    <row r="843" spans="1:6" x14ac:dyDescent="0.3">
      <c r="A843" t="s">
        <v>405</v>
      </c>
      <c r="B843" t="s">
        <v>406</v>
      </c>
      <c r="C843" t="str">
        <f>HYPERLINK("http://service.sap.com/sap/support/notes/1853042","1853042")</f>
        <v>1853042</v>
      </c>
      <c r="D843">
        <v>4</v>
      </c>
      <c r="E843" t="s">
        <v>407</v>
      </c>
      <c r="F843" t="s">
        <v>9</v>
      </c>
    </row>
    <row r="844" spans="1:6" x14ac:dyDescent="0.3">
      <c r="A844" t="s">
        <v>405</v>
      </c>
      <c r="B844" t="s">
        <v>406</v>
      </c>
      <c r="C844" t="str">
        <f>HYPERLINK("http://service.sap.com/sap/support/notes/1927169","1927169")</f>
        <v>1927169</v>
      </c>
      <c r="D844">
        <v>1</v>
      </c>
      <c r="E844" t="s">
        <v>3499</v>
      </c>
      <c r="F844" t="s">
        <v>9</v>
      </c>
    </row>
    <row r="845" spans="1:6" x14ac:dyDescent="0.3">
      <c r="A845" t="s">
        <v>2422</v>
      </c>
      <c r="B845" t="s">
        <v>2423</v>
      </c>
      <c r="C845" t="str">
        <f>HYPERLINK("http://service.sap.com/sap/support/notes/1978920","1978920")</f>
        <v>1978920</v>
      </c>
      <c r="D845">
        <v>2</v>
      </c>
      <c r="E845" t="s">
        <v>2424</v>
      </c>
      <c r="F845" t="s">
        <v>16</v>
      </c>
    </row>
    <row r="846" spans="1:6" x14ac:dyDescent="0.3">
      <c r="A846" t="s">
        <v>408</v>
      </c>
      <c r="B846" t="s">
        <v>409</v>
      </c>
      <c r="C846" t="str">
        <f>HYPERLINK("http://service.sap.com/sap/support/notes/1842806","1842806")</f>
        <v>1842806</v>
      </c>
      <c r="D846">
        <v>2</v>
      </c>
      <c r="E846" t="s">
        <v>410</v>
      </c>
      <c r="F846" t="s">
        <v>35</v>
      </c>
    </row>
    <row r="847" spans="1:6" x14ac:dyDescent="0.3">
      <c r="A847" t="s">
        <v>408</v>
      </c>
      <c r="B847" t="s">
        <v>409</v>
      </c>
      <c r="C847" t="str">
        <f>HYPERLINK("http://service.sap.com/sap/support/notes/1884192","1884192")</f>
        <v>1884192</v>
      </c>
      <c r="D847">
        <v>2</v>
      </c>
      <c r="E847" t="s">
        <v>411</v>
      </c>
      <c r="F847" t="s">
        <v>28</v>
      </c>
    </row>
    <row r="848" spans="1:6" x14ac:dyDescent="0.3">
      <c r="A848" t="s">
        <v>408</v>
      </c>
      <c r="B848" t="s">
        <v>409</v>
      </c>
      <c r="C848" t="str">
        <f>HYPERLINK("http://service.sap.com/sap/support/notes/1893845","1893845")</f>
        <v>1893845</v>
      </c>
      <c r="D848">
        <v>2</v>
      </c>
      <c r="E848" t="s">
        <v>3500</v>
      </c>
      <c r="F848" t="s">
        <v>28</v>
      </c>
    </row>
    <row r="849" spans="1:6" x14ac:dyDescent="0.3">
      <c r="A849" t="s">
        <v>408</v>
      </c>
      <c r="B849" t="s">
        <v>409</v>
      </c>
      <c r="C849" t="str">
        <f>HYPERLINK("http://service.sap.com/sap/support/notes/1945316","1945316")</f>
        <v>1945316</v>
      </c>
      <c r="D849">
        <v>1</v>
      </c>
      <c r="E849" t="s">
        <v>3501</v>
      </c>
      <c r="F849" t="s">
        <v>9</v>
      </c>
    </row>
    <row r="850" spans="1:6" x14ac:dyDescent="0.3">
      <c r="A850" t="s">
        <v>408</v>
      </c>
      <c r="B850" t="s">
        <v>409</v>
      </c>
      <c r="C850" t="str">
        <f>HYPERLINK("http://service.sap.com/sap/support/notes/1968241","1968241")</f>
        <v>1968241</v>
      </c>
      <c r="D850">
        <v>1</v>
      </c>
      <c r="E850" t="s">
        <v>3502</v>
      </c>
      <c r="F850" t="s">
        <v>9</v>
      </c>
    </row>
    <row r="851" spans="1:6" x14ac:dyDescent="0.3">
      <c r="A851" t="s">
        <v>408</v>
      </c>
      <c r="B851" t="s">
        <v>409</v>
      </c>
      <c r="C851" t="str">
        <f>HYPERLINK("http://service.sap.com/sap/support/notes/1968381","1968381")</f>
        <v>1968381</v>
      </c>
      <c r="D851">
        <v>2</v>
      </c>
      <c r="E851" t="s">
        <v>3503</v>
      </c>
      <c r="F851" t="s">
        <v>9</v>
      </c>
    </row>
    <row r="852" spans="1:6" x14ac:dyDescent="0.3">
      <c r="A852" t="s">
        <v>412</v>
      </c>
      <c r="B852" t="s">
        <v>413</v>
      </c>
      <c r="C852" t="str">
        <f>HYPERLINK("http://service.sap.com/sap/support/notes/1898075","1898075")</f>
        <v>1898075</v>
      </c>
      <c r="D852">
        <v>2</v>
      </c>
      <c r="E852" t="s">
        <v>414</v>
      </c>
      <c r="F852" t="s">
        <v>28</v>
      </c>
    </row>
    <row r="853" spans="1:6" x14ac:dyDescent="0.3">
      <c r="A853" t="s">
        <v>412</v>
      </c>
      <c r="B853" t="s">
        <v>413</v>
      </c>
      <c r="C853" t="str">
        <f>HYPERLINK("http://service.sap.com/sap/support/notes/1949432","1949432")</f>
        <v>1949432</v>
      </c>
      <c r="D853">
        <v>1</v>
      </c>
      <c r="E853" t="s">
        <v>3504</v>
      </c>
      <c r="F853" t="s">
        <v>9</v>
      </c>
    </row>
    <row r="854" spans="1:6" x14ac:dyDescent="0.3">
      <c r="A854" t="s">
        <v>415</v>
      </c>
      <c r="B854" t="s">
        <v>416</v>
      </c>
      <c r="C854" t="str">
        <f>HYPERLINK("http://service.sap.com/sap/support/notes/1681671","1681671")</f>
        <v>1681671</v>
      </c>
      <c r="D854">
        <v>2</v>
      </c>
      <c r="E854" t="s">
        <v>417</v>
      </c>
      <c r="F854" t="s">
        <v>9</v>
      </c>
    </row>
    <row r="855" spans="1:6" x14ac:dyDescent="0.3">
      <c r="A855" t="s">
        <v>415</v>
      </c>
      <c r="B855" t="s">
        <v>416</v>
      </c>
      <c r="C855" t="str">
        <f>HYPERLINK("http://service.sap.com/sap/support/notes/1902153","1902153")</f>
        <v>1902153</v>
      </c>
      <c r="D855">
        <v>2</v>
      </c>
      <c r="E855" t="s">
        <v>418</v>
      </c>
      <c r="F855" t="s">
        <v>9</v>
      </c>
    </row>
    <row r="856" spans="1:6" x14ac:dyDescent="0.3">
      <c r="A856" t="s">
        <v>415</v>
      </c>
      <c r="B856" t="s">
        <v>416</v>
      </c>
      <c r="C856" t="str">
        <f>HYPERLINK("http://service.sap.com/sap/support/notes/1925129","1925129")</f>
        <v>1925129</v>
      </c>
      <c r="D856">
        <v>2</v>
      </c>
      <c r="E856" t="s">
        <v>419</v>
      </c>
      <c r="F856" t="s">
        <v>9</v>
      </c>
    </row>
    <row r="857" spans="1:6" x14ac:dyDescent="0.3">
      <c r="A857" t="s">
        <v>415</v>
      </c>
      <c r="B857" t="s">
        <v>416</v>
      </c>
      <c r="C857" t="str">
        <f>HYPERLINK("http://service.sap.com/sap/support/notes/1970799","1970799")</f>
        <v>1970799</v>
      </c>
      <c r="D857">
        <v>2</v>
      </c>
      <c r="E857" t="s">
        <v>3505</v>
      </c>
      <c r="F857" t="s">
        <v>9</v>
      </c>
    </row>
    <row r="858" spans="1:6" x14ac:dyDescent="0.3">
      <c r="A858" t="s">
        <v>420</v>
      </c>
      <c r="B858" t="s">
        <v>421</v>
      </c>
      <c r="C858" t="str">
        <f>HYPERLINK("http://service.sap.com/sap/support/notes/1902853","1902853")</f>
        <v>1902853</v>
      </c>
      <c r="D858">
        <v>4</v>
      </c>
      <c r="E858" t="s">
        <v>422</v>
      </c>
      <c r="F858" t="s">
        <v>9</v>
      </c>
    </row>
    <row r="859" spans="1:6" x14ac:dyDescent="0.3">
      <c r="A859" t="s">
        <v>420</v>
      </c>
      <c r="B859" t="s">
        <v>421</v>
      </c>
      <c r="C859" t="str">
        <f>HYPERLINK("http://service.sap.com/sap/support/notes/1927167","1927167")</f>
        <v>1927167</v>
      </c>
      <c r="D859">
        <v>1</v>
      </c>
      <c r="E859" t="s">
        <v>423</v>
      </c>
      <c r="F859" t="s">
        <v>9</v>
      </c>
    </row>
    <row r="860" spans="1:6" x14ac:dyDescent="0.3">
      <c r="A860" t="s">
        <v>420</v>
      </c>
      <c r="B860" t="s">
        <v>421</v>
      </c>
      <c r="C860" t="str">
        <f>HYPERLINK("http://service.sap.com/sap/support/notes/1934262","1934262")</f>
        <v>1934262</v>
      </c>
      <c r="D860">
        <v>3</v>
      </c>
      <c r="E860" t="s">
        <v>3506</v>
      </c>
      <c r="F860" t="s">
        <v>9</v>
      </c>
    </row>
    <row r="861" spans="1:6" x14ac:dyDescent="0.3">
      <c r="A861" t="s">
        <v>424</v>
      </c>
      <c r="B861" t="s">
        <v>425</v>
      </c>
      <c r="C861" t="str">
        <f>HYPERLINK("http://service.sap.com/sap/support/notes/1734956","1734956")</f>
        <v>1734956</v>
      </c>
      <c r="D861">
        <v>2</v>
      </c>
      <c r="E861" t="s">
        <v>426</v>
      </c>
      <c r="F861" t="s">
        <v>9</v>
      </c>
    </row>
    <row r="862" spans="1:6" x14ac:dyDescent="0.3">
      <c r="A862" t="s">
        <v>424</v>
      </c>
      <c r="B862" t="s">
        <v>425</v>
      </c>
      <c r="C862" t="str">
        <f>HYPERLINK("http://service.sap.com/sap/support/notes/1931703","1931703")</f>
        <v>1931703</v>
      </c>
      <c r="D862">
        <v>2</v>
      </c>
      <c r="E862" t="s">
        <v>427</v>
      </c>
      <c r="F862" t="s">
        <v>9</v>
      </c>
    </row>
    <row r="863" spans="1:6" x14ac:dyDescent="0.3">
      <c r="A863" t="s">
        <v>424</v>
      </c>
      <c r="B863" t="s">
        <v>425</v>
      </c>
      <c r="C863" t="str">
        <f>HYPERLINK("http://service.sap.com/sap/support/notes/1906872","1906872")</f>
        <v>1906872</v>
      </c>
      <c r="D863">
        <v>3</v>
      </c>
      <c r="E863" t="s">
        <v>1164</v>
      </c>
      <c r="F863" t="s">
        <v>28</v>
      </c>
    </row>
    <row r="864" spans="1:6" x14ac:dyDescent="0.3">
      <c r="A864" t="s">
        <v>424</v>
      </c>
      <c r="B864" t="s">
        <v>425</v>
      </c>
      <c r="C864" t="str">
        <f>HYPERLINK("http://service.sap.com/sap/support/notes/1930798","1930798")</f>
        <v>1930798</v>
      </c>
      <c r="D864">
        <v>1</v>
      </c>
      <c r="E864" t="s">
        <v>1165</v>
      </c>
      <c r="F864" t="s">
        <v>9</v>
      </c>
    </row>
    <row r="865" spans="1:6" x14ac:dyDescent="0.3">
      <c r="A865" t="s">
        <v>424</v>
      </c>
      <c r="B865" t="s">
        <v>425</v>
      </c>
      <c r="C865" t="str">
        <f>HYPERLINK("http://service.sap.com/sap/support/notes/1939265","1939265")</f>
        <v>1939265</v>
      </c>
      <c r="D865">
        <v>3</v>
      </c>
      <c r="E865" t="s">
        <v>1166</v>
      </c>
      <c r="F865" t="s">
        <v>9</v>
      </c>
    </row>
    <row r="866" spans="1:6" x14ac:dyDescent="0.3">
      <c r="A866" t="s">
        <v>424</v>
      </c>
      <c r="B866" t="s">
        <v>425</v>
      </c>
      <c r="C866" t="str">
        <f>HYPERLINK("http://service.sap.com/sap/support/notes/1812307","1812307")</f>
        <v>1812307</v>
      </c>
      <c r="D866">
        <v>2</v>
      </c>
      <c r="E866" t="s">
        <v>1516</v>
      </c>
      <c r="F866" t="s">
        <v>16</v>
      </c>
    </row>
    <row r="867" spans="1:6" x14ac:dyDescent="0.3">
      <c r="A867" t="s">
        <v>424</v>
      </c>
      <c r="B867" t="s">
        <v>425</v>
      </c>
      <c r="C867" t="str">
        <f>HYPERLINK("http://service.sap.com/sap/support/notes/1834178","1834178")</f>
        <v>1834178</v>
      </c>
      <c r="D867">
        <v>1</v>
      </c>
      <c r="E867" t="s">
        <v>1517</v>
      </c>
      <c r="F867" t="s">
        <v>9</v>
      </c>
    </row>
    <row r="868" spans="1:6" x14ac:dyDescent="0.3">
      <c r="A868" t="s">
        <v>424</v>
      </c>
      <c r="B868" t="s">
        <v>425</v>
      </c>
      <c r="C868" t="str">
        <f>HYPERLINK("http://service.sap.com/sap/support/notes/1870512","1870512")</f>
        <v>1870512</v>
      </c>
      <c r="D868">
        <v>2</v>
      </c>
      <c r="E868" t="s">
        <v>1518</v>
      </c>
      <c r="F868" t="s">
        <v>16</v>
      </c>
    </row>
    <row r="869" spans="1:6" x14ac:dyDescent="0.3">
      <c r="A869" t="s">
        <v>424</v>
      </c>
      <c r="B869" t="s">
        <v>425</v>
      </c>
      <c r="C869" t="str">
        <f>HYPERLINK("http://service.sap.com/sap/support/notes/1949140","1949140")</f>
        <v>1949140</v>
      </c>
      <c r="D869">
        <v>1</v>
      </c>
      <c r="E869" t="s">
        <v>1519</v>
      </c>
      <c r="F869" t="s">
        <v>16</v>
      </c>
    </row>
    <row r="870" spans="1:6" x14ac:dyDescent="0.3">
      <c r="A870" t="s">
        <v>424</v>
      </c>
      <c r="B870" t="s">
        <v>425</v>
      </c>
      <c r="C870" t="str">
        <f>HYPERLINK("http://service.sap.com/sap/support/notes/1949357","1949357")</f>
        <v>1949357</v>
      </c>
      <c r="D870">
        <v>1</v>
      </c>
      <c r="E870" t="s">
        <v>1520</v>
      </c>
      <c r="F870" t="s">
        <v>9</v>
      </c>
    </row>
    <row r="871" spans="1:6" x14ac:dyDescent="0.3">
      <c r="A871" t="s">
        <v>424</v>
      </c>
      <c r="B871" t="s">
        <v>425</v>
      </c>
      <c r="C871" t="str">
        <f>HYPERLINK("http://service.sap.com/sap/support/notes/1860641","1860641")</f>
        <v>1860641</v>
      </c>
      <c r="D871">
        <v>2</v>
      </c>
      <c r="E871" t="s">
        <v>3507</v>
      </c>
      <c r="F871" t="s">
        <v>9</v>
      </c>
    </row>
    <row r="872" spans="1:6" x14ac:dyDescent="0.3">
      <c r="A872" t="s">
        <v>424</v>
      </c>
      <c r="B872" t="s">
        <v>425</v>
      </c>
      <c r="C872" t="str">
        <f>HYPERLINK("http://service.sap.com/sap/support/notes/2002658","2002658")</f>
        <v>2002658</v>
      </c>
      <c r="D872">
        <v>1</v>
      </c>
      <c r="E872" t="s">
        <v>3508</v>
      </c>
      <c r="F872" t="s">
        <v>9</v>
      </c>
    </row>
    <row r="873" spans="1:6" x14ac:dyDescent="0.3">
      <c r="A873" t="s">
        <v>424</v>
      </c>
      <c r="B873" t="s">
        <v>425</v>
      </c>
      <c r="C873" t="str">
        <f>HYPERLINK("http://service.sap.com/sap/support/notes/2008064","2008064")</f>
        <v>2008064</v>
      </c>
      <c r="D873">
        <v>1</v>
      </c>
      <c r="E873" t="s">
        <v>3509</v>
      </c>
      <c r="F873" t="s">
        <v>9</v>
      </c>
    </row>
    <row r="874" spans="1:6" x14ac:dyDescent="0.3">
      <c r="A874" t="s">
        <v>424</v>
      </c>
      <c r="B874" t="s">
        <v>425</v>
      </c>
      <c r="C874" t="str">
        <f>HYPERLINK("http://service.sap.com/sap/support/notes/1826240","1826240")</f>
        <v>1826240</v>
      </c>
      <c r="D874">
        <v>2</v>
      </c>
      <c r="E874" t="s">
        <v>4045</v>
      </c>
      <c r="F874" t="s">
        <v>9</v>
      </c>
    </row>
    <row r="875" spans="1:6" x14ac:dyDescent="0.3">
      <c r="A875" t="s">
        <v>424</v>
      </c>
      <c r="B875" t="s">
        <v>425</v>
      </c>
      <c r="C875" t="str">
        <f>HYPERLINK("http://service.sap.com/sap/support/notes/2009795","2009795")</f>
        <v>2009795</v>
      </c>
      <c r="D875">
        <v>1</v>
      </c>
      <c r="E875" t="s">
        <v>4046</v>
      </c>
      <c r="F875" t="s">
        <v>9</v>
      </c>
    </row>
    <row r="876" spans="1:6" x14ac:dyDescent="0.3">
      <c r="A876" t="s">
        <v>424</v>
      </c>
      <c r="B876" t="s">
        <v>425</v>
      </c>
      <c r="C876" t="str">
        <f>HYPERLINK("http://service.sap.com/sap/support/notes/2017673","2017673")</f>
        <v>2017673</v>
      </c>
      <c r="D876">
        <v>1</v>
      </c>
      <c r="E876" t="s">
        <v>4047</v>
      </c>
      <c r="F876" t="s">
        <v>9</v>
      </c>
    </row>
    <row r="877" spans="1:6" x14ac:dyDescent="0.3">
      <c r="A877" t="s">
        <v>424</v>
      </c>
      <c r="B877" t="s">
        <v>425</v>
      </c>
      <c r="C877" t="str">
        <f>HYPERLINK("http://service.sap.com/sap/support/notes/2018433","2018433")</f>
        <v>2018433</v>
      </c>
      <c r="D877">
        <v>1</v>
      </c>
      <c r="E877" t="s">
        <v>4048</v>
      </c>
      <c r="F877" t="s">
        <v>9</v>
      </c>
    </row>
    <row r="878" spans="1:6" x14ac:dyDescent="0.3">
      <c r="A878" t="s">
        <v>424</v>
      </c>
      <c r="B878" t="s">
        <v>425</v>
      </c>
      <c r="C878" t="str">
        <f>HYPERLINK("http://service.sap.com/sap/support/notes/2019529","2019529")</f>
        <v>2019529</v>
      </c>
      <c r="D878">
        <v>1</v>
      </c>
      <c r="E878" t="s">
        <v>4049</v>
      </c>
      <c r="F878" t="s">
        <v>9</v>
      </c>
    </row>
    <row r="879" spans="1:6" x14ac:dyDescent="0.3">
      <c r="A879" t="s">
        <v>424</v>
      </c>
      <c r="B879" t="s">
        <v>425</v>
      </c>
      <c r="C879" t="str">
        <f>HYPERLINK("http://service.sap.com/sap/support/notes/2020097","2020097")</f>
        <v>2020097</v>
      </c>
      <c r="D879">
        <v>4</v>
      </c>
      <c r="E879" t="s">
        <v>4050</v>
      </c>
      <c r="F879" t="s">
        <v>9</v>
      </c>
    </row>
    <row r="880" spans="1:6" x14ac:dyDescent="0.3">
      <c r="A880" t="s">
        <v>424</v>
      </c>
      <c r="B880" t="s">
        <v>425</v>
      </c>
      <c r="C880" t="str">
        <f>HYPERLINK("http://service.sap.com/sap/support/notes/2020097","2020097")</f>
        <v>2020097</v>
      </c>
      <c r="D880">
        <v>4</v>
      </c>
      <c r="E880" t="s">
        <v>4050</v>
      </c>
      <c r="F880" t="s">
        <v>9</v>
      </c>
    </row>
    <row r="881" spans="1:6" x14ac:dyDescent="0.3">
      <c r="A881" t="s">
        <v>424</v>
      </c>
      <c r="B881" t="s">
        <v>425</v>
      </c>
      <c r="C881" t="str">
        <f>HYPERLINK("http://service.sap.com/sap/support/notes/1928070","1928070")</f>
        <v>1928070</v>
      </c>
      <c r="D881">
        <v>2</v>
      </c>
      <c r="E881" t="s">
        <v>4723</v>
      </c>
      <c r="F881" t="s">
        <v>9</v>
      </c>
    </row>
    <row r="882" spans="1:6" x14ac:dyDescent="0.3">
      <c r="A882" t="s">
        <v>424</v>
      </c>
      <c r="B882" t="s">
        <v>425</v>
      </c>
      <c r="C882" t="str">
        <f>HYPERLINK("http://service.sap.com/sap/support/notes/2021639","2021639")</f>
        <v>2021639</v>
      </c>
      <c r="D882">
        <v>3</v>
      </c>
      <c r="E882" t="s">
        <v>4724</v>
      </c>
      <c r="F882" t="s">
        <v>9</v>
      </c>
    </row>
    <row r="883" spans="1:6" x14ac:dyDescent="0.3">
      <c r="A883" t="s">
        <v>424</v>
      </c>
      <c r="B883" t="s">
        <v>425</v>
      </c>
      <c r="C883" t="str">
        <f>HYPERLINK("http://service.sap.com/sap/support/notes/2034151","2034151")</f>
        <v>2034151</v>
      </c>
      <c r="D883">
        <v>3</v>
      </c>
      <c r="E883" t="s">
        <v>4725</v>
      </c>
      <c r="F883" t="s">
        <v>9</v>
      </c>
    </row>
    <row r="884" spans="1:6" x14ac:dyDescent="0.3">
      <c r="A884" t="s">
        <v>424</v>
      </c>
      <c r="B884" t="s">
        <v>425</v>
      </c>
      <c r="C884" t="str">
        <f>HYPERLINK("http://service.sap.com/sap/support/notes/2035172","2035172")</f>
        <v>2035172</v>
      </c>
      <c r="D884">
        <v>2</v>
      </c>
      <c r="E884" t="s">
        <v>4726</v>
      </c>
      <c r="F884" t="s">
        <v>9</v>
      </c>
    </row>
    <row r="885" spans="1:6" x14ac:dyDescent="0.3">
      <c r="A885" t="s">
        <v>424</v>
      </c>
      <c r="B885" t="s">
        <v>425</v>
      </c>
      <c r="C885" t="str">
        <f>HYPERLINK("http://service.sap.com/sap/support/notes/2041807","2041807")</f>
        <v>2041807</v>
      </c>
      <c r="D885">
        <v>2</v>
      </c>
      <c r="E885" t="s">
        <v>4727</v>
      </c>
      <c r="F885" t="s">
        <v>9</v>
      </c>
    </row>
    <row r="886" spans="1:6" x14ac:dyDescent="0.3">
      <c r="A886" t="s">
        <v>424</v>
      </c>
      <c r="B886" t="s">
        <v>425</v>
      </c>
      <c r="C886" t="str">
        <f>HYPERLINK("http://service.sap.com/sap/support/notes/2044685","2044685")</f>
        <v>2044685</v>
      </c>
      <c r="D886">
        <v>3</v>
      </c>
      <c r="E886" t="s">
        <v>5093</v>
      </c>
      <c r="F886" t="s">
        <v>9</v>
      </c>
    </row>
    <row r="887" spans="1:6" x14ac:dyDescent="0.3">
      <c r="A887" t="s">
        <v>424</v>
      </c>
      <c r="B887" t="s">
        <v>425</v>
      </c>
      <c r="C887" t="str">
        <f>HYPERLINK("http://service.sap.com/sap/support/notes/2048525","2048525")</f>
        <v>2048525</v>
      </c>
      <c r="D887">
        <v>2</v>
      </c>
      <c r="E887" t="s">
        <v>5094</v>
      </c>
      <c r="F887" t="s">
        <v>9</v>
      </c>
    </row>
    <row r="888" spans="1:6" x14ac:dyDescent="0.3">
      <c r="A888" t="s">
        <v>424</v>
      </c>
      <c r="B888" t="s">
        <v>425</v>
      </c>
      <c r="C888" t="str">
        <f>HYPERLINK("http://service.sap.com/sap/support/notes/2052433","2052433")</f>
        <v>2052433</v>
      </c>
      <c r="D888">
        <v>2</v>
      </c>
      <c r="E888" t="s">
        <v>5425</v>
      </c>
      <c r="F888" t="s">
        <v>9</v>
      </c>
    </row>
    <row r="889" spans="1:6" x14ac:dyDescent="0.3">
      <c r="A889" t="s">
        <v>1521</v>
      </c>
      <c r="B889" t="s">
        <v>1522</v>
      </c>
      <c r="C889" t="str">
        <f>HYPERLINK("http://service.sap.com/sap/support/notes/1820769","1820769")</f>
        <v>1820769</v>
      </c>
      <c r="D889">
        <v>4</v>
      </c>
      <c r="E889" t="s">
        <v>1523</v>
      </c>
      <c r="F889" t="s">
        <v>16</v>
      </c>
    </row>
    <row r="890" spans="1:6" x14ac:dyDescent="0.3">
      <c r="A890" t="s">
        <v>1521</v>
      </c>
      <c r="B890" t="s">
        <v>1522</v>
      </c>
      <c r="C890" t="str">
        <f>HYPERLINK("http://service.sap.com/sap/support/notes/1987284","1987284")</f>
        <v>1987284</v>
      </c>
      <c r="D890">
        <v>3</v>
      </c>
      <c r="E890" t="s">
        <v>3510</v>
      </c>
      <c r="F890" t="s">
        <v>9</v>
      </c>
    </row>
    <row r="891" spans="1:6" x14ac:dyDescent="0.3">
      <c r="A891" t="s">
        <v>428</v>
      </c>
      <c r="B891" t="s">
        <v>429</v>
      </c>
      <c r="C891" t="str">
        <f>HYPERLINK("http://service.sap.com/sap/support/notes/1862824","1862824")</f>
        <v>1862824</v>
      </c>
      <c r="D891">
        <v>1</v>
      </c>
      <c r="E891" t="s">
        <v>430</v>
      </c>
      <c r="F891" t="s">
        <v>16</v>
      </c>
    </row>
    <row r="892" spans="1:6" x14ac:dyDescent="0.3">
      <c r="A892" t="s">
        <v>428</v>
      </c>
      <c r="B892" t="s">
        <v>429</v>
      </c>
      <c r="C892" t="str">
        <f>HYPERLINK("http://service.sap.com/sap/support/notes/1876356","1876356")</f>
        <v>1876356</v>
      </c>
      <c r="D892">
        <v>1</v>
      </c>
      <c r="E892" t="s">
        <v>431</v>
      </c>
      <c r="F892" t="s">
        <v>9</v>
      </c>
    </row>
    <row r="893" spans="1:6" x14ac:dyDescent="0.3">
      <c r="A893" t="s">
        <v>428</v>
      </c>
      <c r="B893" t="s">
        <v>429</v>
      </c>
      <c r="C893" t="str">
        <f>HYPERLINK("http://service.sap.com/sap/support/notes/1900232","1900232")</f>
        <v>1900232</v>
      </c>
      <c r="D893">
        <v>3</v>
      </c>
      <c r="E893" t="s">
        <v>432</v>
      </c>
      <c r="F893" t="s">
        <v>9</v>
      </c>
    </row>
    <row r="894" spans="1:6" x14ac:dyDescent="0.3">
      <c r="A894" t="s">
        <v>428</v>
      </c>
      <c r="B894" t="s">
        <v>429</v>
      </c>
      <c r="C894" t="str">
        <f>HYPERLINK("http://service.sap.com/sap/support/notes/1901194","1901194")</f>
        <v>1901194</v>
      </c>
      <c r="D894">
        <v>1</v>
      </c>
      <c r="E894" t="s">
        <v>433</v>
      </c>
      <c r="F894" t="s">
        <v>16</v>
      </c>
    </row>
    <row r="895" spans="1:6" x14ac:dyDescent="0.3">
      <c r="A895" t="s">
        <v>428</v>
      </c>
      <c r="B895" t="s">
        <v>429</v>
      </c>
      <c r="C895" t="str">
        <f>HYPERLINK("http://service.sap.com/sap/support/notes/1903464","1903464")</f>
        <v>1903464</v>
      </c>
      <c r="D895">
        <v>2</v>
      </c>
      <c r="E895" t="s">
        <v>434</v>
      </c>
      <c r="F895" t="s">
        <v>9</v>
      </c>
    </row>
    <row r="896" spans="1:6" x14ac:dyDescent="0.3">
      <c r="A896" t="s">
        <v>428</v>
      </c>
      <c r="B896" t="s">
        <v>429</v>
      </c>
      <c r="C896" t="str">
        <f>HYPERLINK("http://service.sap.com/sap/support/notes/1973651","1973651")</f>
        <v>1973651</v>
      </c>
      <c r="D896">
        <v>3</v>
      </c>
      <c r="E896" t="s">
        <v>3511</v>
      </c>
      <c r="F896" t="s">
        <v>9</v>
      </c>
    </row>
    <row r="897" spans="1:6" x14ac:dyDescent="0.3">
      <c r="A897" t="s">
        <v>428</v>
      </c>
      <c r="B897" t="s">
        <v>429</v>
      </c>
      <c r="C897" t="str">
        <f>HYPERLINK("http://service.sap.com/sap/support/notes/1982496","1982496")</f>
        <v>1982496</v>
      </c>
      <c r="D897">
        <v>3</v>
      </c>
      <c r="E897" t="s">
        <v>3512</v>
      </c>
      <c r="F897" t="s">
        <v>9</v>
      </c>
    </row>
    <row r="898" spans="1:6" x14ac:dyDescent="0.3">
      <c r="A898" t="s">
        <v>435</v>
      </c>
      <c r="B898" t="s">
        <v>128</v>
      </c>
      <c r="C898" t="str">
        <f>HYPERLINK("http://service.sap.com/sap/support/notes/1876388","1876388")</f>
        <v>1876388</v>
      </c>
      <c r="D898">
        <v>6</v>
      </c>
      <c r="E898" t="s">
        <v>436</v>
      </c>
      <c r="F898" t="s">
        <v>9</v>
      </c>
    </row>
    <row r="899" spans="1:6" x14ac:dyDescent="0.3">
      <c r="A899" t="s">
        <v>435</v>
      </c>
      <c r="B899" t="s">
        <v>128</v>
      </c>
      <c r="C899" t="str">
        <f>HYPERLINK("http://service.sap.com/sap/support/notes/1917411","1917411")</f>
        <v>1917411</v>
      </c>
      <c r="D899">
        <v>10</v>
      </c>
      <c r="E899" t="s">
        <v>437</v>
      </c>
      <c r="F899" t="s">
        <v>28</v>
      </c>
    </row>
    <row r="900" spans="1:6" x14ac:dyDescent="0.3">
      <c r="A900" t="s">
        <v>435</v>
      </c>
      <c r="B900" t="s">
        <v>128</v>
      </c>
      <c r="C900" t="str">
        <f>HYPERLINK("http://service.sap.com/sap/support/notes/1923897","1923897")</f>
        <v>1923897</v>
      </c>
      <c r="D900">
        <v>3</v>
      </c>
      <c r="E900" t="s">
        <v>438</v>
      </c>
      <c r="F900" t="s">
        <v>9</v>
      </c>
    </row>
    <row r="901" spans="1:6" x14ac:dyDescent="0.3">
      <c r="A901" t="s">
        <v>435</v>
      </c>
      <c r="B901" t="s">
        <v>128</v>
      </c>
      <c r="C901" t="str">
        <f>HYPERLINK("http://service.sap.com/sap/support/notes/1921429","1921429")</f>
        <v>1921429</v>
      </c>
      <c r="D901">
        <v>6</v>
      </c>
      <c r="E901" t="s">
        <v>1167</v>
      </c>
      <c r="F901" t="s">
        <v>9</v>
      </c>
    </row>
    <row r="902" spans="1:6" x14ac:dyDescent="0.3">
      <c r="A902" t="s">
        <v>435</v>
      </c>
      <c r="B902" t="s">
        <v>128</v>
      </c>
      <c r="C902" t="str">
        <f>HYPERLINK("http://service.sap.com/sap/support/notes/1918590","1918590")</f>
        <v>1918590</v>
      </c>
      <c r="D902">
        <v>2</v>
      </c>
      <c r="E902" t="s">
        <v>1524</v>
      </c>
      <c r="F902" t="s">
        <v>9</v>
      </c>
    </row>
    <row r="903" spans="1:6" x14ac:dyDescent="0.3">
      <c r="A903" t="s">
        <v>435</v>
      </c>
      <c r="B903" t="s">
        <v>128</v>
      </c>
      <c r="C903" t="str">
        <f>HYPERLINK("http://service.sap.com/sap/support/notes/1923295","1923295")</f>
        <v>1923295</v>
      </c>
      <c r="D903">
        <v>1</v>
      </c>
      <c r="E903" t="s">
        <v>1525</v>
      </c>
      <c r="F903" t="s">
        <v>35</v>
      </c>
    </row>
    <row r="904" spans="1:6" x14ac:dyDescent="0.3">
      <c r="A904" t="s">
        <v>435</v>
      </c>
      <c r="B904" t="s">
        <v>128</v>
      </c>
      <c r="C904" t="str">
        <f>HYPERLINK("http://service.sap.com/sap/support/notes/1934643","1934643")</f>
        <v>1934643</v>
      </c>
      <c r="D904">
        <v>9</v>
      </c>
      <c r="E904" t="s">
        <v>1526</v>
      </c>
      <c r="F904" t="s">
        <v>9</v>
      </c>
    </row>
    <row r="905" spans="1:6" x14ac:dyDescent="0.3">
      <c r="A905" t="s">
        <v>435</v>
      </c>
      <c r="B905" t="s">
        <v>128</v>
      </c>
      <c r="C905" t="str">
        <f>HYPERLINK("http://service.sap.com/sap/support/notes/1936250","1936250")</f>
        <v>1936250</v>
      </c>
      <c r="D905">
        <v>1</v>
      </c>
      <c r="E905" t="s">
        <v>1527</v>
      </c>
      <c r="F905" t="s">
        <v>9</v>
      </c>
    </row>
    <row r="906" spans="1:6" x14ac:dyDescent="0.3">
      <c r="A906" t="s">
        <v>435</v>
      </c>
      <c r="B906" t="s">
        <v>128</v>
      </c>
      <c r="C906" t="str">
        <f>HYPERLINK("http://service.sap.com/sap/support/notes/1942238","1942238")</f>
        <v>1942238</v>
      </c>
      <c r="D906">
        <v>3</v>
      </c>
      <c r="E906" t="s">
        <v>1528</v>
      </c>
      <c r="F906" t="s">
        <v>9</v>
      </c>
    </row>
    <row r="907" spans="1:6" x14ac:dyDescent="0.3">
      <c r="A907" t="s">
        <v>435</v>
      </c>
      <c r="B907" t="s">
        <v>128</v>
      </c>
      <c r="C907" t="str">
        <f>HYPERLINK("http://service.sap.com/sap/support/notes/1944935","1944935")</f>
        <v>1944935</v>
      </c>
      <c r="D907">
        <v>2</v>
      </c>
      <c r="E907" t="s">
        <v>1529</v>
      </c>
      <c r="F907" t="s">
        <v>9</v>
      </c>
    </row>
    <row r="908" spans="1:6" x14ac:dyDescent="0.3">
      <c r="A908" t="s">
        <v>435</v>
      </c>
      <c r="B908" t="s">
        <v>128</v>
      </c>
      <c r="C908" t="str">
        <f>HYPERLINK("http://service.sap.com/sap/support/notes/1950607","1950607")</f>
        <v>1950607</v>
      </c>
      <c r="D908">
        <v>1</v>
      </c>
      <c r="E908" t="s">
        <v>1530</v>
      </c>
      <c r="F908" t="s">
        <v>9</v>
      </c>
    </row>
    <row r="909" spans="1:6" x14ac:dyDescent="0.3">
      <c r="A909" t="s">
        <v>435</v>
      </c>
      <c r="B909" t="s">
        <v>128</v>
      </c>
      <c r="C909" t="str">
        <f>HYPERLINK("http://service.sap.com/sap/support/notes/1952276","1952276")</f>
        <v>1952276</v>
      </c>
      <c r="D909">
        <v>4</v>
      </c>
      <c r="E909" t="s">
        <v>1531</v>
      </c>
      <c r="F909" t="s">
        <v>9</v>
      </c>
    </row>
    <row r="910" spans="1:6" x14ac:dyDescent="0.3">
      <c r="A910" t="s">
        <v>435</v>
      </c>
      <c r="B910" t="s">
        <v>128</v>
      </c>
      <c r="C910" t="str">
        <f>HYPERLINK("http://service.sap.com/sap/support/notes/1954092","1954092")</f>
        <v>1954092</v>
      </c>
      <c r="D910">
        <v>2</v>
      </c>
      <c r="E910" t="s">
        <v>1532</v>
      </c>
      <c r="F910" t="s">
        <v>9</v>
      </c>
    </row>
    <row r="911" spans="1:6" x14ac:dyDescent="0.3">
      <c r="A911" t="s">
        <v>435</v>
      </c>
      <c r="B911" t="s">
        <v>128</v>
      </c>
      <c r="C911" t="str">
        <f>HYPERLINK("http://service.sap.com/sap/support/notes/1955593","1955593")</f>
        <v>1955593</v>
      </c>
      <c r="D911">
        <v>7</v>
      </c>
      <c r="E911" t="s">
        <v>2086</v>
      </c>
      <c r="F911" t="s">
        <v>28</v>
      </c>
    </row>
    <row r="912" spans="1:6" x14ac:dyDescent="0.3">
      <c r="A912" t="s">
        <v>435</v>
      </c>
      <c r="B912" t="s">
        <v>128</v>
      </c>
      <c r="C912" t="str">
        <f>HYPERLINK("http://service.sap.com/sap/support/notes/1955598","1955598")</f>
        <v>1955598</v>
      </c>
      <c r="D912">
        <v>5</v>
      </c>
      <c r="E912" t="s">
        <v>2425</v>
      </c>
      <c r="F912" t="s">
        <v>9</v>
      </c>
    </row>
    <row r="913" spans="1:6" x14ac:dyDescent="0.3">
      <c r="A913" t="s">
        <v>435</v>
      </c>
      <c r="B913" t="s">
        <v>128</v>
      </c>
      <c r="C913" t="str">
        <f>HYPERLINK("http://service.sap.com/sap/support/notes/1971141","1971141")</f>
        <v>1971141</v>
      </c>
      <c r="D913">
        <v>5</v>
      </c>
      <c r="E913" t="s">
        <v>2426</v>
      </c>
      <c r="F913" t="s">
        <v>9</v>
      </c>
    </row>
    <row r="914" spans="1:6" x14ac:dyDescent="0.3">
      <c r="A914" t="s">
        <v>435</v>
      </c>
      <c r="B914" t="s">
        <v>128</v>
      </c>
      <c r="C914" t="str">
        <f>HYPERLINK("http://service.sap.com/sap/support/notes/1971693","1971693")</f>
        <v>1971693</v>
      </c>
      <c r="D914">
        <v>9</v>
      </c>
      <c r="E914" t="s">
        <v>2427</v>
      </c>
      <c r="F914" t="s">
        <v>28</v>
      </c>
    </row>
    <row r="915" spans="1:6" x14ac:dyDescent="0.3">
      <c r="A915" t="s">
        <v>435</v>
      </c>
      <c r="B915" t="s">
        <v>128</v>
      </c>
      <c r="C915" t="str">
        <f>HYPERLINK("http://service.sap.com/sap/support/notes/1978930","1978930")</f>
        <v>1978930</v>
      </c>
      <c r="D915">
        <v>5</v>
      </c>
      <c r="E915" t="s">
        <v>2428</v>
      </c>
      <c r="F915" t="s">
        <v>9</v>
      </c>
    </row>
    <row r="916" spans="1:6" x14ac:dyDescent="0.3">
      <c r="A916" t="s">
        <v>435</v>
      </c>
      <c r="B916" t="s">
        <v>128</v>
      </c>
      <c r="C916" t="str">
        <f>HYPERLINK("http://service.sap.com/sap/support/notes/1981294","1981294")</f>
        <v>1981294</v>
      </c>
      <c r="D916">
        <v>2</v>
      </c>
      <c r="E916" t="s">
        <v>2429</v>
      </c>
      <c r="F916" t="s">
        <v>9</v>
      </c>
    </row>
    <row r="917" spans="1:6" x14ac:dyDescent="0.3">
      <c r="A917" t="s">
        <v>435</v>
      </c>
      <c r="B917" t="s">
        <v>128</v>
      </c>
      <c r="C917" t="str">
        <f>HYPERLINK("http://service.sap.com/sap/support/notes/1684242","1684242")</f>
        <v>1684242</v>
      </c>
      <c r="D917">
        <v>14</v>
      </c>
      <c r="E917" t="s">
        <v>2847</v>
      </c>
      <c r="F917" t="s">
        <v>28</v>
      </c>
    </row>
    <row r="918" spans="1:6" x14ac:dyDescent="0.3">
      <c r="A918" t="s">
        <v>435</v>
      </c>
      <c r="B918" t="s">
        <v>128</v>
      </c>
      <c r="C918" t="str">
        <f>HYPERLINK("http://service.sap.com/sap/support/notes/1960121","1960121")</f>
        <v>1960121</v>
      </c>
      <c r="D918">
        <v>3</v>
      </c>
      <c r="E918" t="s">
        <v>2848</v>
      </c>
      <c r="F918" t="s">
        <v>9</v>
      </c>
    </row>
    <row r="919" spans="1:6" x14ac:dyDescent="0.3">
      <c r="A919" t="s">
        <v>435</v>
      </c>
      <c r="B919" t="s">
        <v>128</v>
      </c>
      <c r="C919" t="str">
        <f>HYPERLINK("http://service.sap.com/sap/support/notes/1982020","1982020")</f>
        <v>1982020</v>
      </c>
      <c r="D919">
        <v>3</v>
      </c>
      <c r="E919" t="s">
        <v>2849</v>
      </c>
      <c r="F919" t="s">
        <v>9</v>
      </c>
    </row>
    <row r="920" spans="1:6" x14ac:dyDescent="0.3">
      <c r="A920" t="s">
        <v>435</v>
      </c>
      <c r="B920" t="s">
        <v>128</v>
      </c>
      <c r="C920" t="str">
        <f>HYPERLINK("http://service.sap.com/sap/support/notes/1947804","1947804")</f>
        <v>1947804</v>
      </c>
      <c r="D920">
        <v>6</v>
      </c>
      <c r="E920" t="s">
        <v>3513</v>
      </c>
      <c r="F920" t="s">
        <v>9</v>
      </c>
    </row>
    <row r="921" spans="1:6" x14ac:dyDescent="0.3">
      <c r="A921" t="s">
        <v>435</v>
      </c>
      <c r="B921" t="s">
        <v>128</v>
      </c>
      <c r="C921" t="str">
        <f>HYPERLINK("http://service.sap.com/sap/support/notes/1970468","1970468")</f>
        <v>1970468</v>
      </c>
      <c r="D921">
        <v>3</v>
      </c>
      <c r="E921" t="s">
        <v>3514</v>
      </c>
      <c r="F921" t="s">
        <v>9</v>
      </c>
    </row>
    <row r="922" spans="1:6" x14ac:dyDescent="0.3">
      <c r="A922" t="s">
        <v>435</v>
      </c>
      <c r="B922" t="s">
        <v>128</v>
      </c>
      <c r="C922" t="str">
        <f>HYPERLINK("http://service.sap.com/sap/support/notes/1983162","1983162")</f>
        <v>1983162</v>
      </c>
      <c r="D922">
        <v>3</v>
      </c>
      <c r="E922" t="s">
        <v>3515</v>
      </c>
      <c r="F922" t="s">
        <v>9</v>
      </c>
    </row>
    <row r="923" spans="1:6" x14ac:dyDescent="0.3">
      <c r="A923" t="s">
        <v>435</v>
      </c>
      <c r="B923" t="s">
        <v>128</v>
      </c>
      <c r="C923" t="str">
        <f>HYPERLINK("http://service.sap.com/sap/support/notes/1988587","1988587")</f>
        <v>1988587</v>
      </c>
      <c r="D923">
        <v>3</v>
      </c>
      <c r="E923" t="s">
        <v>3516</v>
      </c>
      <c r="F923" t="s">
        <v>28</v>
      </c>
    </row>
    <row r="924" spans="1:6" x14ac:dyDescent="0.3">
      <c r="A924" t="s">
        <v>435</v>
      </c>
      <c r="B924" t="s">
        <v>128</v>
      </c>
      <c r="C924" t="str">
        <f>HYPERLINK("http://service.sap.com/sap/support/notes/1999700","1999700")</f>
        <v>1999700</v>
      </c>
      <c r="D924">
        <v>4</v>
      </c>
      <c r="E924" t="s">
        <v>3517</v>
      </c>
      <c r="F924" t="s">
        <v>9</v>
      </c>
    </row>
    <row r="925" spans="1:6" x14ac:dyDescent="0.3">
      <c r="A925" t="s">
        <v>435</v>
      </c>
      <c r="B925" t="s">
        <v>128</v>
      </c>
      <c r="C925" t="str">
        <f>HYPERLINK("http://service.sap.com/sap/support/notes/1997976","1997976")</f>
        <v>1997976</v>
      </c>
      <c r="D925">
        <v>3</v>
      </c>
      <c r="E925" t="s">
        <v>4051</v>
      </c>
      <c r="F925" t="s">
        <v>9</v>
      </c>
    </row>
    <row r="926" spans="1:6" x14ac:dyDescent="0.3">
      <c r="A926" t="s">
        <v>435</v>
      </c>
      <c r="B926" t="s">
        <v>128</v>
      </c>
      <c r="C926" t="str">
        <f>HYPERLINK("http://service.sap.com/sap/support/notes/2000452","2000452")</f>
        <v>2000452</v>
      </c>
      <c r="D926">
        <v>3</v>
      </c>
      <c r="E926" t="s">
        <v>4052</v>
      </c>
      <c r="F926" t="s">
        <v>9</v>
      </c>
    </row>
    <row r="927" spans="1:6" x14ac:dyDescent="0.3">
      <c r="A927" t="s">
        <v>435</v>
      </c>
      <c r="B927" t="s">
        <v>128</v>
      </c>
      <c r="C927" t="str">
        <f>HYPERLINK("http://service.sap.com/sap/support/notes/2004724","2004724")</f>
        <v>2004724</v>
      </c>
      <c r="D927">
        <v>4</v>
      </c>
      <c r="E927" t="s">
        <v>4053</v>
      </c>
      <c r="F927" t="s">
        <v>9</v>
      </c>
    </row>
    <row r="928" spans="1:6" x14ac:dyDescent="0.3">
      <c r="A928" t="s">
        <v>435</v>
      </c>
      <c r="B928" t="s">
        <v>128</v>
      </c>
      <c r="C928" t="str">
        <f>HYPERLINK("http://service.sap.com/sap/support/notes/2010634","2010634")</f>
        <v>2010634</v>
      </c>
      <c r="D928">
        <v>1</v>
      </c>
      <c r="E928" t="s">
        <v>4054</v>
      </c>
      <c r="F928" t="s">
        <v>16</v>
      </c>
    </row>
    <row r="929" spans="1:6" x14ac:dyDescent="0.3">
      <c r="A929" t="s">
        <v>435</v>
      </c>
      <c r="B929" t="s">
        <v>128</v>
      </c>
      <c r="C929" t="str">
        <f>HYPERLINK("http://service.sap.com/sap/support/notes/2011357","2011357")</f>
        <v>2011357</v>
      </c>
      <c r="D929">
        <v>4</v>
      </c>
      <c r="E929" t="s">
        <v>4414</v>
      </c>
      <c r="F929" t="s">
        <v>9</v>
      </c>
    </row>
    <row r="930" spans="1:6" x14ac:dyDescent="0.3">
      <c r="A930" t="s">
        <v>435</v>
      </c>
      <c r="B930" t="s">
        <v>128</v>
      </c>
      <c r="C930" t="str">
        <f>HYPERLINK("http://service.sap.com/sap/support/notes/2020453","2020453")</f>
        <v>2020453</v>
      </c>
      <c r="D930">
        <v>6</v>
      </c>
      <c r="E930" t="s">
        <v>4415</v>
      </c>
      <c r="F930" t="s">
        <v>9</v>
      </c>
    </row>
    <row r="931" spans="1:6" x14ac:dyDescent="0.3">
      <c r="A931" t="s">
        <v>435</v>
      </c>
      <c r="B931" t="s">
        <v>128</v>
      </c>
      <c r="C931" t="str">
        <f>HYPERLINK("http://service.sap.com/sap/support/notes/2023980","2023980")</f>
        <v>2023980</v>
      </c>
      <c r="D931">
        <v>3</v>
      </c>
      <c r="E931" t="s">
        <v>4416</v>
      </c>
      <c r="F931" t="s">
        <v>9</v>
      </c>
    </row>
    <row r="932" spans="1:6" x14ac:dyDescent="0.3">
      <c r="A932" t="s">
        <v>435</v>
      </c>
      <c r="B932" t="s">
        <v>128</v>
      </c>
      <c r="C932" t="str">
        <f>HYPERLINK("http://service.sap.com/sap/support/notes/2013085","2013085")</f>
        <v>2013085</v>
      </c>
      <c r="D932">
        <v>6</v>
      </c>
      <c r="E932" t="s">
        <v>4728</v>
      </c>
      <c r="F932" t="s">
        <v>9</v>
      </c>
    </row>
    <row r="933" spans="1:6" x14ac:dyDescent="0.3">
      <c r="A933" t="s">
        <v>435</v>
      </c>
      <c r="B933" t="s">
        <v>128</v>
      </c>
      <c r="C933" t="str">
        <f>HYPERLINK("http://service.sap.com/sap/support/notes/2027449","2027449")</f>
        <v>2027449</v>
      </c>
      <c r="D933">
        <v>3</v>
      </c>
      <c r="E933" t="s">
        <v>4729</v>
      </c>
      <c r="F933" t="s">
        <v>9</v>
      </c>
    </row>
    <row r="934" spans="1:6" x14ac:dyDescent="0.3">
      <c r="A934" t="s">
        <v>435</v>
      </c>
      <c r="B934" t="s">
        <v>128</v>
      </c>
      <c r="C934" t="str">
        <f>HYPERLINK("http://service.sap.com/sap/support/notes/2029267","2029267")</f>
        <v>2029267</v>
      </c>
      <c r="D934">
        <v>5</v>
      </c>
      <c r="E934" t="s">
        <v>4730</v>
      </c>
      <c r="F934" t="s">
        <v>9</v>
      </c>
    </row>
    <row r="935" spans="1:6" x14ac:dyDescent="0.3">
      <c r="A935" t="s">
        <v>435</v>
      </c>
      <c r="B935" t="s">
        <v>128</v>
      </c>
      <c r="C935" t="str">
        <f>HYPERLINK("http://service.sap.com/sap/support/notes/2033069","2033069")</f>
        <v>2033069</v>
      </c>
      <c r="D935">
        <v>2</v>
      </c>
      <c r="E935" t="s">
        <v>4731</v>
      </c>
      <c r="F935" t="s">
        <v>9</v>
      </c>
    </row>
    <row r="936" spans="1:6" x14ac:dyDescent="0.3">
      <c r="A936" t="s">
        <v>435</v>
      </c>
      <c r="B936" t="s">
        <v>128</v>
      </c>
      <c r="C936" t="str">
        <f>HYPERLINK("http://service.sap.com/sap/support/notes/2039283","2039283")</f>
        <v>2039283</v>
      </c>
      <c r="D936">
        <v>3</v>
      </c>
      <c r="E936" t="s">
        <v>4732</v>
      </c>
      <c r="F936" t="s">
        <v>9</v>
      </c>
    </row>
    <row r="937" spans="1:6" x14ac:dyDescent="0.3">
      <c r="A937" t="s">
        <v>435</v>
      </c>
      <c r="B937" t="s">
        <v>128</v>
      </c>
      <c r="C937" t="str">
        <f>HYPERLINK("http://service.sap.com/sap/support/notes/2042610","2042610")</f>
        <v>2042610</v>
      </c>
      <c r="D937">
        <v>3</v>
      </c>
      <c r="E937" t="s">
        <v>5095</v>
      </c>
      <c r="F937" t="s">
        <v>9</v>
      </c>
    </row>
    <row r="938" spans="1:6" x14ac:dyDescent="0.3">
      <c r="A938" t="s">
        <v>435</v>
      </c>
      <c r="B938" t="s">
        <v>128</v>
      </c>
      <c r="C938" t="str">
        <f>HYPERLINK("http://service.sap.com/sap/support/notes/1753513","1753513")</f>
        <v>1753513</v>
      </c>
      <c r="D938">
        <v>6</v>
      </c>
      <c r="E938" t="s">
        <v>5426</v>
      </c>
      <c r="F938" t="s">
        <v>9</v>
      </c>
    </row>
    <row r="939" spans="1:6" x14ac:dyDescent="0.3">
      <c r="A939" t="s">
        <v>435</v>
      </c>
      <c r="B939" t="s">
        <v>128</v>
      </c>
      <c r="C939" t="str">
        <f>HYPERLINK("http://service.sap.com/sap/support/notes/2047509","2047509")</f>
        <v>2047509</v>
      </c>
      <c r="D939">
        <v>8</v>
      </c>
      <c r="E939" t="s">
        <v>5427</v>
      </c>
      <c r="F939" t="s">
        <v>9</v>
      </c>
    </row>
    <row r="940" spans="1:6" x14ac:dyDescent="0.3">
      <c r="A940" t="s">
        <v>435</v>
      </c>
      <c r="B940" t="s">
        <v>128</v>
      </c>
      <c r="C940" t="str">
        <f>HYPERLINK("http://service.sap.com/sap/support/notes/2051953","2051953")</f>
        <v>2051953</v>
      </c>
      <c r="D940">
        <v>3</v>
      </c>
      <c r="E940" t="s">
        <v>5428</v>
      </c>
      <c r="F940" t="s">
        <v>9</v>
      </c>
    </row>
    <row r="941" spans="1:6" x14ac:dyDescent="0.3">
      <c r="A941" t="s">
        <v>435</v>
      </c>
      <c r="B941" t="s">
        <v>128</v>
      </c>
      <c r="C941" t="str">
        <f>HYPERLINK("http://service.sap.com/sap/support/notes/2060471","2060471")</f>
        <v>2060471</v>
      </c>
      <c r="D941">
        <v>1</v>
      </c>
      <c r="E941" t="s">
        <v>5429</v>
      </c>
      <c r="F941" t="s">
        <v>9</v>
      </c>
    </row>
    <row r="942" spans="1:6" x14ac:dyDescent="0.3">
      <c r="A942" t="s">
        <v>439</v>
      </c>
      <c r="B942" t="s">
        <v>131</v>
      </c>
      <c r="C942" t="str">
        <f>HYPERLINK("http://service.sap.com/sap/support/notes/1861965","1861965")</f>
        <v>1861965</v>
      </c>
      <c r="D942">
        <v>4</v>
      </c>
      <c r="E942" t="s">
        <v>440</v>
      </c>
      <c r="F942" t="s">
        <v>9</v>
      </c>
    </row>
    <row r="943" spans="1:6" x14ac:dyDescent="0.3">
      <c r="A943" t="s">
        <v>439</v>
      </c>
      <c r="B943" t="s">
        <v>131</v>
      </c>
      <c r="C943" t="str">
        <f>HYPERLINK("http://service.sap.com/sap/support/notes/1903882","1903882")</f>
        <v>1903882</v>
      </c>
      <c r="D943">
        <v>5</v>
      </c>
      <c r="E943" t="s">
        <v>441</v>
      </c>
      <c r="F943" t="s">
        <v>9</v>
      </c>
    </row>
    <row r="944" spans="1:6" x14ac:dyDescent="0.3">
      <c r="A944" t="s">
        <v>439</v>
      </c>
      <c r="B944" t="s">
        <v>131</v>
      </c>
      <c r="C944" t="str">
        <f>HYPERLINK("http://service.sap.com/sap/support/notes/1906971","1906971")</f>
        <v>1906971</v>
      </c>
      <c r="D944">
        <v>3</v>
      </c>
      <c r="E944" t="s">
        <v>442</v>
      </c>
      <c r="F944" t="s">
        <v>16</v>
      </c>
    </row>
    <row r="945" spans="1:6" x14ac:dyDescent="0.3">
      <c r="A945" t="s">
        <v>439</v>
      </c>
      <c r="B945" t="s">
        <v>131</v>
      </c>
      <c r="C945" t="str">
        <f>HYPERLINK("http://service.sap.com/sap/support/notes/1916142","1916142")</f>
        <v>1916142</v>
      </c>
      <c r="D945">
        <v>5</v>
      </c>
      <c r="E945" t="s">
        <v>443</v>
      </c>
      <c r="F945" t="s">
        <v>9</v>
      </c>
    </row>
    <row r="946" spans="1:6" x14ac:dyDescent="0.3">
      <c r="A946" t="s">
        <v>439</v>
      </c>
      <c r="B946" t="s">
        <v>131</v>
      </c>
      <c r="C946" t="str">
        <f>HYPERLINK("http://service.sap.com/sap/support/notes/1916721","1916721")</f>
        <v>1916721</v>
      </c>
      <c r="D946">
        <v>1</v>
      </c>
      <c r="E946" t="s">
        <v>444</v>
      </c>
      <c r="F946" t="s">
        <v>9</v>
      </c>
    </row>
    <row r="947" spans="1:6" x14ac:dyDescent="0.3">
      <c r="A947" t="s">
        <v>439</v>
      </c>
      <c r="B947" t="s">
        <v>131</v>
      </c>
      <c r="C947" t="str">
        <f>HYPERLINK("http://service.sap.com/sap/support/notes/1918059","1918059")</f>
        <v>1918059</v>
      </c>
      <c r="D947">
        <v>4</v>
      </c>
      <c r="E947" t="s">
        <v>445</v>
      </c>
      <c r="F947" t="s">
        <v>9</v>
      </c>
    </row>
    <row r="948" spans="1:6" x14ac:dyDescent="0.3">
      <c r="A948" t="s">
        <v>439</v>
      </c>
      <c r="B948" t="s">
        <v>131</v>
      </c>
      <c r="C948" t="str">
        <f>HYPERLINK("http://service.sap.com/sap/support/notes/1920936","1920936")</f>
        <v>1920936</v>
      </c>
      <c r="D948">
        <v>5</v>
      </c>
      <c r="E948" t="s">
        <v>446</v>
      </c>
      <c r="F948" t="s">
        <v>9</v>
      </c>
    </row>
    <row r="949" spans="1:6" x14ac:dyDescent="0.3">
      <c r="A949" t="s">
        <v>439</v>
      </c>
      <c r="B949" t="s">
        <v>131</v>
      </c>
      <c r="C949" t="str">
        <f>HYPERLINK("http://service.sap.com/sap/support/notes/1921819","1921819")</f>
        <v>1921819</v>
      </c>
      <c r="D949">
        <v>3</v>
      </c>
      <c r="E949" t="s">
        <v>447</v>
      </c>
      <c r="F949" t="s">
        <v>9</v>
      </c>
    </row>
    <row r="950" spans="1:6" x14ac:dyDescent="0.3">
      <c r="A950" t="s">
        <v>439</v>
      </c>
      <c r="B950" t="s">
        <v>131</v>
      </c>
      <c r="C950" t="str">
        <f>HYPERLINK("http://service.sap.com/sap/support/notes/1922758","1922758")</f>
        <v>1922758</v>
      </c>
      <c r="D950">
        <v>2</v>
      </c>
      <c r="E950" t="s">
        <v>448</v>
      </c>
      <c r="F950" t="s">
        <v>28</v>
      </c>
    </row>
    <row r="951" spans="1:6" x14ac:dyDescent="0.3">
      <c r="A951" t="s">
        <v>439</v>
      </c>
      <c r="B951" t="s">
        <v>131</v>
      </c>
      <c r="C951" t="str">
        <f>HYPERLINK("http://service.sap.com/sap/support/notes/1925713","1925713")</f>
        <v>1925713</v>
      </c>
      <c r="D951">
        <v>3</v>
      </c>
      <c r="E951" t="s">
        <v>449</v>
      </c>
      <c r="F951" t="s">
        <v>9</v>
      </c>
    </row>
    <row r="952" spans="1:6" x14ac:dyDescent="0.3">
      <c r="A952" t="s">
        <v>439</v>
      </c>
      <c r="B952" t="s">
        <v>131</v>
      </c>
      <c r="C952" t="str">
        <f>HYPERLINK("http://service.sap.com/sap/support/notes/1929599","1929599")</f>
        <v>1929599</v>
      </c>
      <c r="D952">
        <v>1</v>
      </c>
      <c r="E952" t="s">
        <v>450</v>
      </c>
      <c r="F952" t="s">
        <v>16</v>
      </c>
    </row>
    <row r="953" spans="1:6" x14ac:dyDescent="0.3">
      <c r="A953" t="s">
        <v>439</v>
      </c>
      <c r="B953" t="s">
        <v>131</v>
      </c>
      <c r="C953" t="str">
        <f>HYPERLINK("http://service.sap.com/sap/support/notes/1929700","1929700")</f>
        <v>1929700</v>
      </c>
      <c r="D953">
        <v>1</v>
      </c>
      <c r="E953" t="s">
        <v>451</v>
      </c>
      <c r="F953" t="s">
        <v>16</v>
      </c>
    </row>
    <row r="954" spans="1:6" x14ac:dyDescent="0.3">
      <c r="A954" t="s">
        <v>439</v>
      </c>
      <c r="B954" t="s">
        <v>131</v>
      </c>
      <c r="C954" t="str">
        <f>HYPERLINK("http://service.sap.com/sap/support/notes/1930904","1930904")</f>
        <v>1930904</v>
      </c>
      <c r="D954">
        <v>2</v>
      </c>
      <c r="E954" t="s">
        <v>452</v>
      </c>
      <c r="F954" t="s">
        <v>9</v>
      </c>
    </row>
    <row r="955" spans="1:6" x14ac:dyDescent="0.3">
      <c r="A955" t="s">
        <v>439</v>
      </c>
      <c r="B955" t="s">
        <v>131</v>
      </c>
      <c r="C955" t="str">
        <f>HYPERLINK("http://service.sap.com/sap/support/notes/1739049","1739049")</f>
        <v>1739049</v>
      </c>
      <c r="D955">
        <v>2</v>
      </c>
      <c r="E955" t="s">
        <v>1168</v>
      </c>
      <c r="F955" t="s">
        <v>16</v>
      </c>
    </row>
    <row r="956" spans="1:6" x14ac:dyDescent="0.3">
      <c r="A956" t="s">
        <v>439</v>
      </c>
      <c r="B956" t="s">
        <v>131</v>
      </c>
      <c r="C956" t="str">
        <f>HYPERLINK("http://service.sap.com/sap/support/notes/1916142","1916142")</f>
        <v>1916142</v>
      </c>
      <c r="D956">
        <v>5</v>
      </c>
      <c r="E956" t="s">
        <v>443</v>
      </c>
      <c r="F956" t="s">
        <v>9</v>
      </c>
    </row>
    <row r="957" spans="1:6" x14ac:dyDescent="0.3">
      <c r="A957" t="s">
        <v>439</v>
      </c>
      <c r="B957" t="s">
        <v>131</v>
      </c>
      <c r="C957" t="str">
        <f>HYPERLINK("http://service.sap.com/sap/support/notes/1919989","1919989")</f>
        <v>1919989</v>
      </c>
      <c r="D957">
        <v>7</v>
      </c>
      <c r="E957" t="s">
        <v>1169</v>
      </c>
      <c r="F957" t="s">
        <v>9</v>
      </c>
    </row>
    <row r="958" spans="1:6" x14ac:dyDescent="0.3">
      <c r="A958" t="s">
        <v>439</v>
      </c>
      <c r="B958" t="s">
        <v>131</v>
      </c>
      <c r="C958" t="str">
        <f>HYPERLINK("http://service.sap.com/sap/support/notes/1928851","1928851")</f>
        <v>1928851</v>
      </c>
      <c r="D958">
        <v>7</v>
      </c>
      <c r="E958" t="s">
        <v>1170</v>
      </c>
      <c r="F958" t="s">
        <v>9</v>
      </c>
    </row>
    <row r="959" spans="1:6" x14ac:dyDescent="0.3">
      <c r="A959" t="s">
        <v>439</v>
      </c>
      <c r="B959" t="s">
        <v>131</v>
      </c>
      <c r="C959" t="str">
        <f>HYPERLINK("http://service.sap.com/sap/support/notes/1933585","1933585")</f>
        <v>1933585</v>
      </c>
      <c r="D959">
        <v>7</v>
      </c>
      <c r="E959" t="s">
        <v>1171</v>
      </c>
      <c r="F959" t="s">
        <v>9</v>
      </c>
    </row>
    <row r="960" spans="1:6" x14ac:dyDescent="0.3">
      <c r="A960" t="s">
        <v>439</v>
      </c>
      <c r="B960" t="s">
        <v>131</v>
      </c>
      <c r="C960" t="str">
        <f>HYPERLINK("http://service.sap.com/sap/support/notes/1935050","1935050")</f>
        <v>1935050</v>
      </c>
      <c r="D960">
        <v>2</v>
      </c>
      <c r="E960" t="s">
        <v>1172</v>
      </c>
      <c r="F960" t="s">
        <v>9</v>
      </c>
    </row>
    <row r="961" spans="1:6" x14ac:dyDescent="0.3">
      <c r="A961" t="s">
        <v>439</v>
      </c>
      <c r="B961" t="s">
        <v>131</v>
      </c>
      <c r="C961" t="str">
        <f>HYPERLINK("http://service.sap.com/sap/support/notes/1935196","1935196")</f>
        <v>1935196</v>
      </c>
      <c r="D961">
        <v>3</v>
      </c>
      <c r="E961" t="s">
        <v>1173</v>
      </c>
      <c r="F961" t="s">
        <v>9</v>
      </c>
    </row>
    <row r="962" spans="1:6" x14ac:dyDescent="0.3">
      <c r="A962" t="s">
        <v>439</v>
      </c>
      <c r="B962" t="s">
        <v>131</v>
      </c>
      <c r="C962" t="str">
        <f>HYPERLINK("http://service.sap.com/sap/support/notes/1935292","1935292")</f>
        <v>1935292</v>
      </c>
      <c r="D962">
        <v>1</v>
      </c>
      <c r="E962" t="s">
        <v>1174</v>
      </c>
      <c r="F962" t="s">
        <v>9</v>
      </c>
    </row>
    <row r="963" spans="1:6" x14ac:dyDescent="0.3">
      <c r="A963" t="s">
        <v>439</v>
      </c>
      <c r="B963" t="s">
        <v>131</v>
      </c>
      <c r="C963" t="str">
        <f>HYPERLINK("http://service.sap.com/sap/support/notes/1935359","1935359")</f>
        <v>1935359</v>
      </c>
      <c r="D963">
        <v>2</v>
      </c>
      <c r="E963" t="s">
        <v>1175</v>
      </c>
      <c r="F963" t="s">
        <v>9</v>
      </c>
    </row>
    <row r="964" spans="1:6" x14ac:dyDescent="0.3">
      <c r="A964" t="s">
        <v>439</v>
      </c>
      <c r="B964" t="s">
        <v>131</v>
      </c>
      <c r="C964" t="str">
        <f>HYPERLINK("http://service.sap.com/sap/support/notes/1935386","1935386")</f>
        <v>1935386</v>
      </c>
      <c r="D964">
        <v>1</v>
      </c>
      <c r="E964" t="s">
        <v>1176</v>
      </c>
      <c r="F964" t="s">
        <v>9</v>
      </c>
    </row>
    <row r="965" spans="1:6" x14ac:dyDescent="0.3">
      <c r="A965" t="s">
        <v>439</v>
      </c>
      <c r="B965" t="s">
        <v>131</v>
      </c>
      <c r="C965" t="str">
        <f>HYPERLINK("http://service.sap.com/sap/support/notes/1935425","1935425")</f>
        <v>1935425</v>
      </c>
      <c r="D965">
        <v>3</v>
      </c>
      <c r="E965" t="s">
        <v>1177</v>
      </c>
      <c r="F965" t="s">
        <v>9</v>
      </c>
    </row>
    <row r="966" spans="1:6" x14ac:dyDescent="0.3">
      <c r="A966" t="s">
        <v>439</v>
      </c>
      <c r="B966" t="s">
        <v>131</v>
      </c>
      <c r="C966" t="str">
        <f>HYPERLINK("http://service.sap.com/sap/support/notes/1937153","1937153")</f>
        <v>1937153</v>
      </c>
      <c r="D966">
        <v>2</v>
      </c>
      <c r="E966" t="s">
        <v>1178</v>
      </c>
      <c r="F966" t="s">
        <v>9</v>
      </c>
    </row>
    <row r="967" spans="1:6" x14ac:dyDescent="0.3">
      <c r="A967" t="s">
        <v>439</v>
      </c>
      <c r="B967" t="s">
        <v>131</v>
      </c>
      <c r="C967" t="str">
        <f>HYPERLINK("http://service.sap.com/sap/support/notes/1938461","1938461")</f>
        <v>1938461</v>
      </c>
      <c r="D967">
        <v>2</v>
      </c>
      <c r="E967" t="s">
        <v>1179</v>
      </c>
      <c r="F967" t="s">
        <v>9</v>
      </c>
    </row>
    <row r="968" spans="1:6" x14ac:dyDescent="0.3">
      <c r="A968" t="s">
        <v>439</v>
      </c>
      <c r="B968" t="s">
        <v>131</v>
      </c>
      <c r="C968" t="str">
        <f>HYPERLINK("http://service.sap.com/sap/support/notes/1939972","1939972")</f>
        <v>1939972</v>
      </c>
      <c r="D968">
        <v>1</v>
      </c>
      <c r="E968" t="s">
        <v>1180</v>
      </c>
      <c r="F968" t="s">
        <v>9</v>
      </c>
    </row>
    <row r="969" spans="1:6" x14ac:dyDescent="0.3">
      <c r="A969" t="s">
        <v>439</v>
      </c>
      <c r="B969" t="s">
        <v>131</v>
      </c>
      <c r="C969" t="str">
        <f>HYPERLINK("http://service.sap.com/sap/support/notes/1940708","1940708")</f>
        <v>1940708</v>
      </c>
      <c r="D969">
        <v>2</v>
      </c>
      <c r="E969" t="s">
        <v>1181</v>
      </c>
      <c r="F969" t="s">
        <v>9</v>
      </c>
    </row>
    <row r="970" spans="1:6" x14ac:dyDescent="0.3">
      <c r="A970" t="s">
        <v>439</v>
      </c>
      <c r="B970" t="s">
        <v>131</v>
      </c>
      <c r="C970" t="str">
        <f>HYPERLINK("http://service.sap.com/sap/support/notes/1941210","1941210")</f>
        <v>1941210</v>
      </c>
      <c r="D970">
        <v>1</v>
      </c>
      <c r="E970" t="s">
        <v>1182</v>
      </c>
      <c r="F970" t="s">
        <v>9</v>
      </c>
    </row>
    <row r="971" spans="1:6" x14ac:dyDescent="0.3">
      <c r="A971" t="s">
        <v>439</v>
      </c>
      <c r="B971" t="s">
        <v>131</v>
      </c>
      <c r="C971" t="str">
        <f>HYPERLINK("http://service.sap.com/sap/support/notes/1798611","1798611")</f>
        <v>1798611</v>
      </c>
      <c r="D971">
        <v>9</v>
      </c>
      <c r="E971" t="s">
        <v>1533</v>
      </c>
      <c r="F971" t="s">
        <v>28</v>
      </c>
    </row>
    <row r="972" spans="1:6" x14ac:dyDescent="0.3">
      <c r="A972" t="s">
        <v>439</v>
      </c>
      <c r="B972" t="s">
        <v>131</v>
      </c>
      <c r="C972" t="str">
        <f>HYPERLINK("http://service.sap.com/sap/support/notes/1885992","1885992")</f>
        <v>1885992</v>
      </c>
      <c r="D972">
        <v>3</v>
      </c>
      <c r="E972" t="s">
        <v>1534</v>
      </c>
      <c r="F972" t="s">
        <v>16</v>
      </c>
    </row>
    <row r="973" spans="1:6" x14ac:dyDescent="0.3">
      <c r="A973" t="s">
        <v>439</v>
      </c>
      <c r="B973" t="s">
        <v>131</v>
      </c>
      <c r="C973" t="str">
        <f>HYPERLINK("http://service.sap.com/sap/support/notes/1912846","1912846")</f>
        <v>1912846</v>
      </c>
      <c r="D973">
        <v>2</v>
      </c>
      <c r="E973" t="s">
        <v>1535</v>
      </c>
      <c r="F973" t="s">
        <v>9</v>
      </c>
    </row>
    <row r="974" spans="1:6" x14ac:dyDescent="0.3">
      <c r="A974" t="s">
        <v>439</v>
      </c>
      <c r="B974" t="s">
        <v>131</v>
      </c>
      <c r="C974" t="str">
        <f>HYPERLINK("http://service.sap.com/sap/support/notes/1919116","1919116")</f>
        <v>1919116</v>
      </c>
      <c r="D974">
        <v>11</v>
      </c>
      <c r="E974" t="s">
        <v>1536</v>
      </c>
      <c r="F974" t="s">
        <v>28</v>
      </c>
    </row>
    <row r="975" spans="1:6" x14ac:dyDescent="0.3">
      <c r="A975" t="s">
        <v>439</v>
      </c>
      <c r="B975" t="s">
        <v>131</v>
      </c>
      <c r="C975" t="str">
        <f>HYPERLINK("http://service.sap.com/sap/support/notes/1925175","1925175")</f>
        <v>1925175</v>
      </c>
      <c r="D975">
        <v>2</v>
      </c>
      <c r="E975" t="s">
        <v>1537</v>
      </c>
      <c r="F975" t="s">
        <v>9</v>
      </c>
    </row>
    <row r="976" spans="1:6" x14ac:dyDescent="0.3">
      <c r="A976" t="s">
        <v>439</v>
      </c>
      <c r="B976" t="s">
        <v>131</v>
      </c>
      <c r="C976" t="str">
        <f>HYPERLINK("http://service.sap.com/sap/support/notes/1929599","1929599")</f>
        <v>1929599</v>
      </c>
      <c r="D976">
        <v>1</v>
      </c>
      <c r="E976" t="s">
        <v>450</v>
      </c>
      <c r="F976" t="s">
        <v>16</v>
      </c>
    </row>
    <row r="977" spans="1:6" x14ac:dyDescent="0.3">
      <c r="A977" t="s">
        <v>439</v>
      </c>
      <c r="B977" t="s">
        <v>131</v>
      </c>
      <c r="C977" t="str">
        <f>HYPERLINK("http://service.sap.com/sap/support/notes/1935425","1935425")</f>
        <v>1935425</v>
      </c>
      <c r="D977">
        <v>3</v>
      </c>
      <c r="E977" t="s">
        <v>1177</v>
      </c>
      <c r="F977" t="s">
        <v>9</v>
      </c>
    </row>
    <row r="978" spans="1:6" x14ac:dyDescent="0.3">
      <c r="A978" t="s">
        <v>439</v>
      </c>
      <c r="B978" t="s">
        <v>131</v>
      </c>
      <c r="C978" t="str">
        <f>HYPERLINK("http://service.sap.com/sap/support/notes/1941406","1941406")</f>
        <v>1941406</v>
      </c>
      <c r="D978">
        <v>2</v>
      </c>
      <c r="E978" t="s">
        <v>1538</v>
      </c>
      <c r="F978" t="s">
        <v>9</v>
      </c>
    </row>
    <row r="979" spans="1:6" x14ac:dyDescent="0.3">
      <c r="A979" t="s">
        <v>439</v>
      </c>
      <c r="B979" t="s">
        <v>131</v>
      </c>
      <c r="C979" t="str">
        <f>HYPERLINK("http://service.sap.com/sap/support/notes/1944184","1944184")</f>
        <v>1944184</v>
      </c>
      <c r="D979">
        <v>3</v>
      </c>
      <c r="E979" t="s">
        <v>1539</v>
      </c>
      <c r="F979" t="s">
        <v>9</v>
      </c>
    </row>
    <row r="980" spans="1:6" x14ac:dyDescent="0.3">
      <c r="A980" t="s">
        <v>439</v>
      </c>
      <c r="B980" t="s">
        <v>131</v>
      </c>
      <c r="C980" t="str">
        <f>HYPERLINK("http://service.sap.com/sap/support/notes/1947522","1947522")</f>
        <v>1947522</v>
      </c>
      <c r="D980">
        <v>2</v>
      </c>
      <c r="E980" t="s">
        <v>1540</v>
      </c>
      <c r="F980" t="s">
        <v>9</v>
      </c>
    </row>
    <row r="981" spans="1:6" x14ac:dyDescent="0.3">
      <c r="A981" t="s">
        <v>439</v>
      </c>
      <c r="B981" t="s">
        <v>131</v>
      </c>
      <c r="C981" t="str">
        <f>HYPERLINK("http://service.sap.com/sap/support/notes/1948150","1948150")</f>
        <v>1948150</v>
      </c>
      <c r="D981">
        <v>7</v>
      </c>
      <c r="E981" t="s">
        <v>1541</v>
      </c>
      <c r="F981" t="s">
        <v>9</v>
      </c>
    </row>
    <row r="982" spans="1:6" x14ac:dyDescent="0.3">
      <c r="A982" t="s">
        <v>439</v>
      </c>
      <c r="B982" t="s">
        <v>131</v>
      </c>
      <c r="C982" t="str">
        <f>HYPERLINK("http://service.sap.com/sap/support/notes/1949142","1949142")</f>
        <v>1949142</v>
      </c>
      <c r="D982">
        <v>3</v>
      </c>
      <c r="E982" t="s">
        <v>1542</v>
      </c>
      <c r="F982" t="s">
        <v>9</v>
      </c>
    </row>
    <row r="983" spans="1:6" x14ac:dyDescent="0.3">
      <c r="A983" t="s">
        <v>439</v>
      </c>
      <c r="B983" t="s">
        <v>131</v>
      </c>
      <c r="C983" t="str">
        <f>HYPERLINK("http://service.sap.com/sap/support/notes/1950040","1950040")</f>
        <v>1950040</v>
      </c>
      <c r="D983">
        <v>4</v>
      </c>
      <c r="E983" t="s">
        <v>1543</v>
      </c>
      <c r="F983" t="s">
        <v>9</v>
      </c>
    </row>
    <row r="984" spans="1:6" x14ac:dyDescent="0.3">
      <c r="A984" t="s">
        <v>439</v>
      </c>
      <c r="B984" t="s">
        <v>131</v>
      </c>
      <c r="C984" t="str">
        <f>HYPERLINK("http://service.sap.com/sap/support/notes/1950188","1950188")</f>
        <v>1950188</v>
      </c>
      <c r="D984">
        <v>1</v>
      </c>
      <c r="E984" t="s">
        <v>1544</v>
      </c>
      <c r="F984" t="s">
        <v>9</v>
      </c>
    </row>
    <row r="985" spans="1:6" x14ac:dyDescent="0.3">
      <c r="A985" t="s">
        <v>439</v>
      </c>
      <c r="B985" t="s">
        <v>131</v>
      </c>
      <c r="C985" t="str">
        <f>HYPERLINK("http://service.sap.com/sap/support/notes/1950712","1950712")</f>
        <v>1950712</v>
      </c>
      <c r="D985">
        <v>1</v>
      </c>
      <c r="E985" t="s">
        <v>1545</v>
      </c>
      <c r="F985" t="s">
        <v>9</v>
      </c>
    </row>
    <row r="986" spans="1:6" x14ac:dyDescent="0.3">
      <c r="A986" t="s">
        <v>439</v>
      </c>
      <c r="B986" t="s">
        <v>131</v>
      </c>
      <c r="C986" t="str">
        <f>HYPERLINK("http://service.sap.com/sap/support/notes/1950829","1950829")</f>
        <v>1950829</v>
      </c>
      <c r="D986">
        <v>1</v>
      </c>
      <c r="E986" t="s">
        <v>1546</v>
      </c>
      <c r="F986" t="s">
        <v>9</v>
      </c>
    </row>
    <row r="987" spans="1:6" x14ac:dyDescent="0.3">
      <c r="A987" t="s">
        <v>439</v>
      </c>
      <c r="B987" t="s">
        <v>131</v>
      </c>
      <c r="C987" t="str">
        <f>HYPERLINK("http://service.sap.com/sap/support/notes/1950924","1950924")</f>
        <v>1950924</v>
      </c>
      <c r="D987">
        <v>1</v>
      </c>
      <c r="E987" t="s">
        <v>1547</v>
      </c>
      <c r="F987" t="s">
        <v>9</v>
      </c>
    </row>
    <row r="988" spans="1:6" x14ac:dyDescent="0.3">
      <c r="A988" t="s">
        <v>439</v>
      </c>
      <c r="B988" t="s">
        <v>131</v>
      </c>
      <c r="C988" t="str">
        <f>HYPERLINK("http://service.sap.com/sap/support/notes/1953239","1953239")</f>
        <v>1953239</v>
      </c>
      <c r="D988">
        <v>1</v>
      </c>
      <c r="E988" t="s">
        <v>1548</v>
      </c>
      <c r="F988" t="s">
        <v>9</v>
      </c>
    </row>
    <row r="989" spans="1:6" x14ac:dyDescent="0.3">
      <c r="A989" t="s">
        <v>439</v>
      </c>
      <c r="B989" t="s">
        <v>131</v>
      </c>
      <c r="C989" t="str">
        <f>HYPERLINK("http://service.sap.com/sap/support/notes/1953477","1953477")</f>
        <v>1953477</v>
      </c>
      <c r="D989">
        <v>2</v>
      </c>
      <c r="E989" t="s">
        <v>1549</v>
      </c>
      <c r="F989" t="s">
        <v>9</v>
      </c>
    </row>
    <row r="990" spans="1:6" x14ac:dyDescent="0.3">
      <c r="A990" t="s">
        <v>439</v>
      </c>
      <c r="B990" t="s">
        <v>131</v>
      </c>
      <c r="C990" t="str">
        <f>HYPERLINK("http://service.sap.com/sap/support/notes/1954651","1954651")</f>
        <v>1954651</v>
      </c>
      <c r="D990">
        <v>3</v>
      </c>
      <c r="E990" t="s">
        <v>1550</v>
      </c>
      <c r="F990" t="s">
        <v>9</v>
      </c>
    </row>
    <row r="991" spans="1:6" x14ac:dyDescent="0.3">
      <c r="A991" t="s">
        <v>439</v>
      </c>
      <c r="B991" t="s">
        <v>131</v>
      </c>
      <c r="C991" t="str">
        <f>HYPERLINK("http://service.sap.com/sap/support/notes/1954935","1954935")</f>
        <v>1954935</v>
      </c>
      <c r="D991">
        <v>2</v>
      </c>
      <c r="E991" t="s">
        <v>1551</v>
      </c>
      <c r="F991" t="s">
        <v>9</v>
      </c>
    </row>
    <row r="992" spans="1:6" x14ac:dyDescent="0.3">
      <c r="A992" t="s">
        <v>439</v>
      </c>
      <c r="B992" t="s">
        <v>131</v>
      </c>
      <c r="C992" t="str">
        <f>HYPERLINK("http://service.sap.com/sap/support/notes/1956116","1956116")</f>
        <v>1956116</v>
      </c>
      <c r="D992">
        <v>3</v>
      </c>
      <c r="E992" t="s">
        <v>1552</v>
      </c>
      <c r="F992" t="s">
        <v>9</v>
      </c>
    </row>
    <row r="993" spans="1:6" x14ac:dyDescent="0.3">
      <c r="A993" t="s">
        <v>439</v>
      </c>
      <c r="B993" t="s">
        <v>131</v>
      </c>
      <c r="C993" t="str">
        <f>HYPERLINK("http://service.sap.com/sap/support/notes/1956538","1956538")</f>
        <v>1956538</v>
      </c>
      <c r="D993">
        <v>1</v>
      </c>
      <c r="E993" t="s">
        <v>1553</v>
      </c>
      <c r="F993" t="s">
        <v>9</v>
      </c>
    </row>
    <row r="994" spans="1:6" x14ac:dyDescent="0.3">
      <c r="A994" t="s">
        <v>439</v>
      </c>
      <c r="B994" t="s">
        <v>131</v>
      </c>
      <c r="C994" t="str">
        <f>HYPERLINK("http://service.sap.com/sap/support/notes/1957179","1957179")</f>
        <v>1957179</v>
      </c>
      <c r="D994">
        <v>1</v>
      </c>
      <c r="E994" t="s">
        <v>1554</v>
      </c>
      <c r="F994" t="s">
        <v>9</v>
      </c>
    </row>
    <row r="995" spans="1:6" x14ac:dyDescent="0.3">
      <c r="A995" t="s">
        <v>439</v>
      </c>
      <c r="B995" t="s">
        <v>131</v>
      </c>
      <c r="C995" t="str">
        <f>HYPERLINK("http://service.sap.com/sap/support/notes/1957367","1957367")</f>
        <v>1957367</v>
      </c>
      <c r="D995">
        <v>3</v>
      </c>
      <c r="E995" t="s">
        <v>1555</v>
      </c>
      <c r="F995" t="s">
        <v>9</v>
      </c>
    </row>
    <row r="996" spans="1:6" x14ac:dyDescent="0.3">
      <c r="A996" t="s">
        <v>439</v>
      </c>
      <c r="B996" t="s">
        <v>131</v>
      </c>
      <c r="C996" t="str">
        <f>HYPERLINK("http://service.sap.com/sap/support/notes/1957382","1957382")</f>
        <v>1957382</v>
      </c>
      <c r="D996">
        <v>1</v>
      </c>
      <c r="E996" t="s">
        <v>1556</v>
      </c>
      <c r="F996" t="s">
        <v>9</v>
      </c>
    </row>
    <row r="997" spans="1:6" x14ac:dyDescent="0.3">
      <c r="A997" t="s">
        <v>439</v>
      </c>
      <c r="B997" t="s">
        <v>131</v>
      </c>
      <c r="C997" t="str">
        <f>HYPERLINK("http://service.sap.com/sap/support/notes/1957667","1957667")</f>
        <v>1957667</v>
      </c>
      <c r="D997">
        <v>1</v>
      </c>
      <c r="E997" t="s">
        <v>1557</v>
      </c>
      <c r="F997" t="s">
        <v>9</v>
      </c>
    </row>
    <row r="998" spans="1:6" x14ac:dyDescent="0.3">
      <c r="A998" t="s">
        <v>439</v>
      </c>
      <c r="B998" t="s">
        <v>131</v>
      </c>
      <c r="C998" t="str">
        <f>HYPERLINK("http://service.sap.com/sap/support/notes/1957685","1957685")</f>
        <v>1957685</v>
      </c>
      <c r="D998">
        <v>2</v>
      </c>
      <c r="E998" t="s">
        <v>1558</v>
      </c>
      <c r="F998" t="s">
        <v>9</v>
      </c>
    </row>
    <row r="999" spans="1:6" x14ac:dyDescent="0.3">
      <c r="A999" t="s">
        <v>439</v>
      </c>
      <c r="B999" t="s">
        <v>131</v>
      </c>
      <c r="C999" t="str">
        <f>HYPERLINK("http://service.sap.com/sap/support/notes/1946654","1946654")</f>
        <v>1946654</v>
      </c>
      <c r="D999">
        <v>1</v>
      </c>
      <c r="E999" t="s">
        <v>2087</v>
      </c>
      <c r="F999" t="s">
        <v>9</v>
      </c>
    </row>
    <row r="1000" spans="1:6" x14ac:dyDescent="0.3">
      <c r="A1000" t="s">
        <v>439</v>
      </c>
      <c r="B1000" t="s">
        <v>131</v>
      </c>
      <c r="C1000" t="str">
        <f>HYPERLINK("http://service.sap.com/sap/support/notes/1956828","1956828")</f>
        <v>1956828</v>
      </c>
      <c r="D1000">
        <v>4</v>
      </c>
      <c r="E1000" t="s">
        <v>2088</v>
      </c>
      <c r="F1000" t="s">
        <v>9</v>
      </c>
    </row>
    <row r="1001" spans="1:6" x14ac:dyDescent="0.3">
      <c r="A1001" t="s">
        <v>439</v>
      </c>
      <c r="B1001" t="s">
        <v>131</v>
      </c>
      <c r="C1001" t="str">
        <f>HYPERLINK("http://service.sap.com/sap/support/notes/1959428","1959428")</f>
        <v>1959428</v>
      </c>
      <c r="D1001">
        <v>4</v>
      </c>
      <c r="E1001" t="s">
        <v>2089</v>
      </c>
      <c r="F1001" t="s">
        <v>9</v>
      </c>
    </row>
    <row r="1002" spans="1:6" x14ac:dyDescent="0.3">
      <c r="A1002" t="s">
        <v>439</v>
      </c>
      <c r="B1002" t="s">
        <v>131</v>
      </c>
      <c r="C1002" t="str">
        <f>HYPERLINK("http://service.sap.com/sap/support/notes/1961351","1961351")</f>
        <v>1961351</v>
      </c>
      <c r="D1002">
        <v>1</v>
      </c>
      <c r="E1002" t="s">
        <v>2090</v>
      </c>
      <c r="F1002" t="s">
        <v>9</v>
      </c>
    </row>
    <row r="1003" spans="1:6" x14ac:dyDescent="0.3">
      <c r="A1003" t="s">
        <v>439</v>
      </c>
      <c r="B1003" t="s">
        <v>131</v>
      </c>
      <c r="C1003" t="str">
        <f>HYPERLINK("http://service.sap.com/sap/support/notes/1961426","1961426")</f>
        <v>1961426</v>
      </c>
      <c r="D1003">
        <v>2</v>
      </c>
      <c r="E1003" t="s">
        <v>2091</v>
      </c>
      <c r="F1003" t="s">
        <v>9</v>
      </c>
    </row>
    <row r="1004" spans="1:6" x14ac:dyDescent="0.3">
      <c r="A1004" t="s">
        <v>439</v>
      </c>
      <c r="B1004" t="s">
        <v>131</v>
      </c>
      <c r="C1004" t="str">
        <f>HYPERLINK("http://service.sap.com/sap/support/notes/1962097","1962097")</f>
        <v>1962097</v>
      </c>
      <c r="D1004">
        <v>1</v>
      </c>
      <c r="E1004" t="s">
        <v>2092</v>
      </c>
      <c r="F1004" t="s">
        <v>9</v>
      </c>
    </row>
    <row r="1005" spans="1:6" x14ac:dyDescent="0.3">
      <c r="A1005" t="s">
        <v>439</v>
      </c>
      <c r="B1005" t="s">
        <v>131</v>
      </c>
      <c r="C1005" t="str">
        <f>HYPERLINK("http://service.sap.com/sap/support/notes/1963485","1963485")</f>
        <v>1963485</v>
      </c>
      <c r="D1005">
        <v>2</v>
      </c>
      <c r="E1005" t="s">
        <v>2093</v>
      </c>
      <c r="F1005" t="s">
        <v>9</v>
      </c>
    </row>
    <row r="1006" spans="1:6" x14ac:dyDescent="0.3">
      <c r="A1006" t="s">
        <v>439</v>
      </c>
      <c r="B1006" t="s">
        <v>131</v>
      </c>
      <c r="C1006" t="str">
        <f>HYPERLINK("http://service.sap.com/sap/support/notes/1965153","1965153")</f>
        <v>1965153</v>
      </c>
      <c r="D1006">
        <v>1</v>
      </c>
      <c r="E1006" t="s">
        <v>2094</v>
      </c>
      <c r="F1006" t="s">
        <v>9</v>
      </c>
    </row>
    <row r="1007" spans="1:6" x14ac:dyDescent="0.3">
      <c r="A1007" t="s">
        <v>439</v>
      </c>
      <c r="B1007" t="s">
        <v>131</v>
      </c>
      <c r="C1007" t="str">
        <f>HYPERLINK("http://service.sap.com/sap/support/notes/1965259","1965259")</f>
        <v>1965259</v>
      </c>
      <c r="D1007">
        <v>1</v>
      </c>
      <c r="E1007" t="s">
        <v>2095</v>
      </c>
      <c r="F1007" t="s">
        <v>9</v>
      </c>
    </row>
    <row r="1008" spans="1:6" x14ac:dyDescent="0.3">
      <c r="A1008" t="s">
        <v>439</v>
      </c>
      <c r="B1008" t="s">
        <v>131</v>
      </c>
      <c r="C1008" t="str">
        <f>HYPERLINK("http://service.sap.com/sap/support/notes/1969791","1969791")</f>
        <v>1969791</v>
      </c>
      <c r="D1008">
        <v>2</v>
      </c>
      <c r="E1008" t="s">
        <v>2096</v>
      </c>
      <c r="F1008" t="s">
        <v>9</v>
      </c>
    </row>
    <row r="1009" spans="1:6" x14ac:dyDescent="0.3">
      <c r="A1009" t="s">
        <v>439</v>
      </c>
      <c r="B1009" t="s">
        <v>131</v>
      </c>
      <c r="C1009" t="str">
        <f>HYPERLINK("http://service.sap.com/sap/support/notes/1494006","1494006")</f>
        <v>1494006</v>
      </c>
      <c r="D1009">
        <v>4</v>
      </c>
      <c r="E1009" t="s">
        <v>2430</v>
      </c>
      <c r="F1009" t="s">
        <v>9</v>
      </c>
    </row>
    <row r="1010" spans="1:6" x14ac:dyDescent="0.3">
      <c r="A1010" t="s">
        <v>439</v>
      </c>
      <c r="B1010" t="s">
        <v>131</v>
      </c>
      <c r="C1010" t="str">
        <f>HYPERLINK("http://service.sap.com/sap/support/notes/1915496","1915496")</f>
        <v>1915496</v>
      </c>
      <c r="D1010">
        <v>5</v>
      </c>
      <c r="E1010" t="s">
        <v>2431</v>
      </c>
      <c r="F1010" t="s">
        <v>9</v>
      </c>
    </row>
    <row r="1011" spans="1:6" x14ac:dyDescent="0.3">
      <c r="A1011" t="s">
        <v>439</v>
      </c>
      <c r="B1011" t="s">
        <v>131</v>
      </c>
      <c r="C1011" t="str">
        <f>HYPERLINK("http://service.sap.com/sap/support/notes/1945189","1945189")</f>
        <v>1945189</v>
      </c>
      <c r="D1011">
        <v>4</v>
      </c>
      <c r="E1011" t="s">
        <v>2432</v>
      </c>
      <c r="F1011" t="s">
        <v>9</v>
      </c>
    </row>
    <row r="1012" spans="1:6" x14ac:dyDescent="0.3">
      <c r="A1012" t="s">
        <v>439</v>
      </c>
      <c r="B1012" t="s">
        <v>131</v>
      </c>
      <c r="C1012" t="str">
        <f>HYPERLINK("http://service.sap.com/sap/support/notes/1961962","1961962")</f>
        <v>1961962</v>
      </c>
      <c r="D1012">
        <v>4</v>
      </c>
      <c r="E1012" t="s">
        <v>2433</v>
      </c>
      <c r="F1012" t="s">
        <v>9</v>
      </c>
    </row>
    <row r="1013" spans="1:6" x14ac:dyDescent="0.3">
      <c r="A1013" t="s">
        <v>439</v>
      </c>
      <c r="B1013" t="s">
        <v>131</v>
      </c>
      <c r="C1013" t="str">
        <f>HYPERLINK("http://service.sap.com/sap/support/notes/1965992","1965992")</f>
        <v>1965992</v>
      </c>
      <c r="D1013">
        <v>5</v>
      </c>
      <c r="E1013" t="s">
        <v>2434</v>
      </c>
      <c r="F1013" t="s">
        <v>9</v>
      </c>
    </row>
    <row r="1014" spans="1:6" x14ac:dyDescent="0.3">
      <c r="A1014" t="s">
        <v>439</v>
      </c>
      <c r="B1014" t="s">
        <v>131</v>
      </c>
      <c r="C1014" t="str">
        <f>HYPERLINK("http://service.sap.com/sap/support/notes/1969198","1969198")</f>
        <v>1969198</v>
      </c>
      <c r="D1014">
        <v>1</v>
      </c>
      <c r="E1014" t="s">
        <v>2435</v>
      </c>
      <c r="F1014" t="s">
        <v>9</v>
      </c>
    </row>
    <row r="1015" spans="1:6" x14ac:dyDescent="0.3">
      <c r="A1015" t="s">
        <v>439</v>
      </c>
      <c r="B1015" t="s">
        <v>131</v>
      </c>
      <c r="C1015" t="str">
        <f>HYPERLINK("http://service.sap.com/sap/support/notes/1971447","1971447")</f>
        <v>1971447</v>
      </c>
      <c r="D1015">
        <v>2</v>
      </c>
      <c r="E1015" t="s">
        <v>2436</v>
      </c>
      <c r="F1015" t="s">
        <v>9</v>
      </c>
    </row>
    <row r="1016" spans="1:6" x14ac:dyDescent="0.3">
      <c r="A1016" t="s">
        <v>439</v>
      </c>
      <c r="B1016" t="s">
        <v>131</v>
      </c>
      <c r="C1016" t="str">
        <f>HYPERLINK("http://service.sap.com/sap/support/notes/1971939","1971939")</f>
        <v>1971939</v>
      </c>
      <c r="D1016">
        <v>3</v>
      </c>
      <c r="E1016" t="s">
        <v>2437</v>
      </c>
      <c r="F1016" t="s">
        <v>9</v>
      </c>
    </row>
    <row r="1017" spans="1:6" x14ac:dyDescent="0.3">
      <c r="A1017" t="s">
        <v>439</v>
      </c>
      <c r="B1017" t="s">
        <v>131</v>
      </c>
      <c r="C1017" t="str">
        <f>HYPERLINK("http://service.sap.com/sap/support/notes/1973917","1973917")</f>
        <v>1973917</v>
      </c>
      <c r="D1017">
        <v>2</v>
      </c>
      <c r="E1017" t="s">
        <v>2438</v>
      </c>
      <c r="F1017" t="s">
        <v>9</v>
      </c>
    </row>
    <row r="1018" spans="1:6" x14ac:dyDescent="0.3">
      <c r="A1018" t="s">
        <v>439</v>
      </c>
      <c r="B1018" t="s">
        <v>131</v>
      </c>
      <c r="C1018" t="str">
        <f>HYPERLINK("http://service.sap.com/sap/support/notes/1975457","1975457")</f>
        <v>1975457</v>
      </c>
      <c r="D1018">
        <v>2</v>
      </c>
      <c r="E1018" t="s">
        <v>2439</v>
      </c>
      <c r="F1018" t="s">
        <v>9</v>
      </c>
    </row>
    <row r="1019" spans="1:6" x14ac:dyDescent="0.3">
      <c r="A1019" t="s">
        <v>439</v>
      </c>
      <c r="B1019" t="s">
        <v>131</v>
      </c>
      <c r="C1019" t="str">
        <f>HYPERLINK("http://service.sap.com/sap/support/notes/1979347","1979347")</f>
        <v>1979347</v>
      </c>
      <c r="D1019">
        <v>2</v>
      </c>
      <c r="E1019" t="s">
        <v>2440</v>
      </c>
      <c r="F1019" t="s">
        <v>9</v>
      </c>
    </row>
    <row r="1020" spans="1:6" x14ac:dyDescent="0.3">
      <c r="A1020" t="s">
        <v>439</v>
      </c>
      <c r="B1020" t="s">
        <v>131</v>
      </c>
      <c r="C1020" t="str">
        <f>HYPERLINK("http://service.sap.com/sap/support/notes/1980087","1980087")</f>
        <v>1980087</v>
      </c>
      <c r="D1020">
        <v>5</v>
      </c>
      <c r="E1020" t="s">
        <v>2441</v>
      </c>
      <c r="F1020" t="s">
        <v>9</v>
      </c>
    </row>
    <row r="1021" spans="1:6" x14ac:dyDescent="0.3">
      <c r="A1021" t="s">
        <v>439</v>
      </c>
      <c r="B1021" t="s">
        <v>131</v>
      </c>
      <c r="C1021" t="str">
        <f>HYPERLINK("http://service.sap.com/sap/support/notes/1900376","1900376")</f>
        <v>1900376</v>
      </c>
      <c r="D1021">
        <v>2</v>
      </c>
      <c r="E1021" t="s">
        <v>2850</v>
      </c>
      <c r="F1021" t="s">
        <v>9</v>
      </c>
    </row>
    <row r="1022" spans="1:6" x14ac:dyDescent="0.3">
      <c r="A1022" t="s">
        <v>439</v>
      </c>
      <c r="B1022" t="s">
        <v>131</v>
      </c>
      <c r="C1022" t="str">
        <f>HYPERLINK("http://service.sap.com/sap/support/notes/1925685","1925685")</f>
        <v>1925685</v>
      </c>
      <c r="D1022">
        <v>1</v>
      </c>
      <c r="E1022" t="s">
        <v>2851</v>
      </c>
      <c r="F1022" t="s">
        <v>9</v>
      </c>
    </row>
    <row r="1023" spans="1:6" x14ac:dyDescent="0.3">
      <c r="A1023" t="s">
        <v>439</v>
      </c>
      <c r="B1023" t="s">
        <v>131</v>
      </c>
      <c r="C1023" t="str">
        <f>HYPERLINK("http://service.sap.com/sap/support/notes/1929599","1929599")</f>
        <v>1929599</v>
      </c>
      <c r="D1023">
        <v>1</v>
      </c>
      <c r="E1023" t="s">
        <v>450</v>
      </c>
      <c r="F1023" t="s">
        <v>16</v>
      </c>
    </row>
    <row r="1024" spans="1:6" x14ac:dyDescent="0.3">
      <c r="A1024" t="s">
        <v>439</v>
      </c>
      <c r="B1024" t="s">
        <v>131</v>
      </c>
      <c r="C1024" t="str">
        <f>HYPERLINK("http://service.sap.com/sap/support/notes/1937076","1937076")</f>
        <v>1937076</v>
      </c>
      <c r="D1024">
        <v>1</v>
      </c>
      <c r="E1024" t="s">
        <v>2852</v>
      </c>
      <c r="F1024" t="s">
        <v>9</v>
      </c>
    </row>
    <row r="1025" spans="1:6" x14ac:dyDescent="0.3">
      <c r="A1025" t="s">
        <v>439</v>
      </c>
      <c r="B1025" t="s">
        <v>131</v>
      </c>
      <c r="C1025" t="str">
        <f>HYPERLINK("http://service.sap.com/sap/support/notes/1938308","1938308")</f>
        <v>1938308</v>
      </c>
      <c r="D1025">
        <v>1</v>
      </c>
      <c r="E1025" t="s">
        <v>2853</v>
      </c>
      <c r="F1025" t="s">
        <v>9</v>
      </c>
    </row>
    <row r="1026" spans="1:6" x14ac:dyDescent="0.3">
      <c r="A1026" t="s">
        <v>439</v>
      </c>
      <c r="B1026" t="s">
        <v>131</v>
      </c>
      <c r="C1026" t="str">
        <f>HYPERLINK("http://service.sap.com/sap/support/notes/1943187","1943187")</f>
        <v>1943187</v>
      </c>
      <c r="D1026">
        <v>1</v>
      </c>
      <c r="E1026" t="s">
        <v>2854</v>
      </c>
      <c r="F1026" t="s">
        <v>9</v>
      </c>
    </row>
    <row r="1027" spans="1:6" x14ac:dyDescent="0.3">
      <c r="A1027" t="s">
        <v>439</v>
      </c>
      <c r="B1027" t="s">
        <v>131</v>
      </c>
      <c r="C1027" t="str">
        <f>HYPERLINK("http://service.sap.com/sap/support/notes/1943414","1943414")</f>
        <v>1943414</v>
      </c>
      <c r="D1027">
        <v>8</v>
      </c>
      <c r="E1027" t="s">
        <v>2855</v>
      </c>
      <c r="F1027" t="s">
        <v>9</v>
      </c>
    </row>
    <row r="1028" spans="1:6" x14ac:dyDescent="0.3">
      <c r="A1028" t="s">
        <v>439</v>
      </c>
      <c r="B1028" t="s">
        <v>131</v>
      </c>
      <c r="C1028" t="str">
        <f>HYPERLINK("http://service.sap.com/sap/support/notes/1946278","1946278")</f>
        <v>1946278</v>
      </c>
      <c r="D1028">
        <v>2</v>
      </c>
      <c r="E1028" t="s">
        <v>2856</v>
      </c>
      <c r="F1028" t="s">
        <v>9</v>
      </c>
    </row>
    <row r="1029" spans="1:6" x14ac:dyDescent="0.3">
      <c r="A1029" t="s">
        <v>439</v>
      </c>
      <c r="B1029" t="s">
        <v>131</v>
      </c>
      <c r="C1029" t="str">
        <f>HYPERLINK("http://service.sap.com/sap/support/notes/1947860","1947860")</f>
        <v>1947860</v>
      </c>
      <c r="D1029">
        <v>4</v>
      </c>
      <c r="E1029" t="s">
        <v>2857</v>
      </c>
      <c r="F1029" t="s">
        <v>9</v>
      </c>
    </row>
    <row r="1030" spans="1:6" x14ac:dyDescent="0.3">
      <c r="A1030" t="s">
        <v>439</v>
      </c>
      <c r="B1030" t="s">
        <v>131</v>
      </c>
      <c r="C1030" t="str">
        <f>HYPERLINK("http://service.sap.com/sap/support/notes/1954181","1954181")</f>
        <v>1954181</v>
      </c>
      <c r="D1030">
        <v>3</v>
      </c>
      <c r="E1030" t="s">
        <v>2858</v>
      </c>
      <c r="F1030" t="s">
        <v>9</v>
      </c>
    </row>
    <row r="1031" spans="1:6" x14ac:dyDescent="0.3">
      <c r="A1031" t="s">
        <v>439</v>
      </c>
      <c r="B1031" t="s">
        <v>131</v>
      </c>
      <c r="C1031" t="str">
        <f>HYPERLINK("http://service.sap.com/sap/support/notes/1958347","1958347")</f>
        <v>1958347</v>
      </c>
      <c r="D1031">
        <v>4</v>
      </c>
      <c r="E1031" t="s">
        <v>2859</v>
      </c>
      <c r="F1031" t="s">
        <v>9</v>
      </c>
    </row>
    <row r="1032" spans="1:6" x14ac:dyDescent="0.3">
      <c r="A1032" t="s">
        <v>439</v>
      </c>
      <c r="B1032" t="s">
        <v>131</v>
      </c>
      <c r="C1032" t="str">
        <f>HYPERLINK("http://service.sap.com/sap/support/notes/1960080","1960080")</f>
        <v>1960080</v>
      </c>
      <c r="D1032">
        <v>6</v>
      </c>
      <c r="E1032" t="s">
        <v>2860</v>
      </c>
      <c r="F1032" t="s">
        <v>9</v>
      </c>
    </row>
    <row r="1033" spans="1:6" x14ac:dyDescent="0.3">
      <c r="A1033" t="s">
        <v>439</v>
      </c>
      <c r="B1033" t="s">
        <v>131</v>
      </c>
      <c r="C1033" t="str">
        <f>HYPERLINK("http://service.sap.com/sap/support/notes/1974337","1974337")</f>
        <v>1974337</v>
      </c>
      <c r="D1033">
        <v>3</v>
      </c>
      <c r="E1033" t="s">
        <v>2861</v>
      </c>
      <c r="F1033" t="s">
        <v>9</v>
      </c>
    </row>
    <row r="1034" spans="1:6" x14ac:dyDescent="0.3">
      <c r="A1034" t="s">
        <v>439</v>
      </c>
      <c r="B1034" t="s">
        <v>131</v>
      </c>
      <c r="C1034" t="str">
        <f>HYPERLINK("http://service.sap.com/sap/support/notes/1981363","1981363")</f>
        <v>1981363</v>
      </c>
      <c r="D1034">
        <v>3</v>
      </c>
      <c r="E1034" t="s">
        <v>2862</v>
      </c>
      <c r="F1034" t="s">
        <v>9</v>
      </c>
    </row>
    <row r="1035" spans="1:6" x14ac:dyDescent="0.3">
      <c r="A1035" t="s">
        <v>439</v>
      </c>
      <c r="B1035" t="s">
        <v>131</v>
      </c>
      <c r="C1035" t="str">
        <f>HYPERLINK("http://service.sap.com/sap/support/notes/1983595","1983595")</f>
        <v>1983595</v>
      </c>
      <c r="D1035">
        <v>1</v>
      </c>
      <c r="E1035" t="s">
        <v>2863</v>
      </c>
      <c r="F1035" t="s">
        <v>9</v>
      </c>
    </row>
    <row r="1036" spans="1:6" x14ac:dyDescent="0.3">
      <c r="A1036" t="s">
        <v>439</v>
      </c>
      <c r="B1036" t="s">
        <v>131</v>
      </c>
      <c r="C1036" t="str">
        <f>HYPERLINK("http://service.sap.com/sap/support/notes/1985479","1985479")</f>
        <v>1985479</v>
      </c>
      <c r="D1036">
        <v>3</v>
      </c>
      <c r="E1036" t="s">
        <v>2864</v>
      </c>
      <c r="F1036" t="s">
        <v>16</v>
      </c>
    </row>
    <row r="1037" spans="1:6" x14ac:dyDescent="0.3">
      <c r="A1037" t="s">
        <v>439</v>
      </c>
      <c r="B1037" t="s">
        <v>131</v>
      </c>
      <c r="C1037" t="str">
        <f>HYPERLINK("http://service.sap.com/sap/support/notes/1986591","1986591")</f>
        <v>1986591</v>
      </c>
      <c r="D1037">
        <v>2</v>
      </c>
      <c r="E1037" t="s">
        <v>2865</v>
      </c>
      <c r="F1037" t="s">
        <v>9</v>
      </c>
    </row>
    <row r="1038" spans="1:6" x14ac:dyDescent="0.3">
      <c r="A1038" t="s">
        <v>439</v>
      </c>
      <c r="B1038" t="s">
        <v>131</v>
      </c>
      <c r="C1038" t="str">
        <f>HYPERLINK("http://service.sap.com/sap/support/notes/1990225","1990225")</f>
        <v>1990225</v>
      </c>
      <c r="D1038">
        <v>2</v>
      </c>
      <c r="E1038" t="s">
        <v>2866</v>
      </c>
      <c r="F1038" t="s">
        <v>16</v>
      </c>
    </row>
    <row r="1039" spans="1:6" x14ac:dyDescent="0.3">
      <c r="A1039" t="s">
        <v>439</v>
      </c>
      <c r="B1039" t="s">
        <v>131</v>
      </c>
      <c r="C1039" t="str">
        <f>HYPERLINK("http://service.sap.com/sap/support/notes/1990640","1990640")</f>
        <v>1990640</v>
      </c>
      <c r="D1039">
        <v>2</v>
      </c>
      <c r="E1039" t="s">
        <v>2867</v>
      </c>
      <c r="F1039" t="s">
        <v>9</v>
      </c>
    </row>
    <row r="1040" spans="1:6" x14ac:dyDescent="0.3">
      <c r="A1040" t="s">
        <v>439</v>
      </c>
      <c r="B1040" t="s">
        <v>131</v>
      </c>
      <c r="C1040" t="str">
        <f>HYPERLINK("http://service.sap.com/sap/support/notes/1993823","1993823")</f>
        <v>1993823</v>
      </c>
      <c r="D1040">
        <v>2</v>
      </c>
      <c r="E1040" t="s">
        <v>2868</v>
      </c>
      <c r="F1040" t="s">
        <v>9</v>
      </c>
    </row>
    <row r="1041" spans="1:6" x14ac:dyDescent="0.3">
      <c r="A1041" t="s">
        <v>439</v>
      </c>
      <c r="B1041" t="s">
        <v>131</v>
      </c>
      <c r="C1041" t="str">
        <f>HYPERLINK("http://service.sap.com/sap/support/notes/1343631","1343631")</f>
        <v>1343631</v>
      </c>
      <c r="D1041">
        <v>1</v>
      </c>
      <c r="E1041" t="s">
        <v>3518</v>
      </c>
      <c r="F1041" t="s">
        <v>16</v>
      </c>
    </row>
    <row r="1042" spans="1:6" x14ac:dyDescent="0.3">
      <c r="A1042" t="s">
        <v>439</v>
      </c>
      <c r="B1042" t="s">
        <v>131</v>
      </c>
      <c r="C1042" t="str">
        <f>HYPERLINK("http://service.sap.com/sap/support/notes/1904372","1904372")</f>
        <v>1904372</v>
      </c>
      <c r="D1042">
        <v>1</v>
      </c>
      <c r="E1042" t="s">
        <v>3519</v>
      </c>
      <c r="F1042" t="s">
        <v>16</v>
      </c>
    </row>
    <row r="1043" spans="1:6" x14ac:dyDescent="0.3">
      <c r="A1043" t="s">
        <v>439</v>
      </c>
      <c r="B1043" t="s">
        <v>131</v>
      </c>
      <c r="C1043" t="str">
        <f>HYPERLINK("http://service.sap.com/sap/support/notes/1938308","1938308")</f>
        <v>1938308</v>
      </c>
      <c r="D1043">
        <v>1</v>
      </c>
      <c r="E1043" t="s">
        <v>2853</v>
      </c>
      <c r="F1043" t="s">
        <v>9</v>
      </c>
    </row>
    <row r="1044" spans="1:6" x14ac:dyDescent="0.3">
      <c r="A1044" t="s">
        <v>439</v>
      </c>
      <c r="B1044" t="s">
        <v>131</v>
      </c>
      <c r="C1044" t="str">
        <f>HYPERLINK("http://service.sap.com/sap/support/notes/1946278","1946278")</f>
        <v>1946278</v>
      </c>
      <c r="D1044">
        <v>2</v>
      </c>
      <c r="E1044" t="s">
        <v>2856</v>
      </c>
      <c r="F1044" t="s">
        <v>9</v>
      </c>
    </row>
    <row r="1045" spans="1:6" x14ac:dyDescent="0.3">
      <c r="A1045" t="s">
        <v>439</v>
      </c>
      <c r="B1045" t="s">
        <v>131</v>
      </c>
      <c r="C1045" t="str">
        <f>HYPERLINK("http://service.sap.com/sap/support/notes/1947522","1947522")</f>
        <v>1947522</v>
      </c>
      <c r="D1045">
        <v>2</v>
      </c>
      <c r="E1045" t="s">
        <v>1540</v>
      </c>
      <c r="F1045" t="s">
        <v>9</v>
      </c>
    </row>
    <row r="1046" spans="1:6" x14ac:dyDescent="0.3">
      <c r="A1046" t="s">
        <v>439</v>
      </c>
      <c r="B1046" t="s">
        <v>131</v>
      </c>
      <c r="C1046" t="str">
        <f>HYPERLINK("http://service.sap.com/sap/support/notes/1972345","1972345")</f>
        <v>1972345</v>
      </c>
      <c r="D1046">
        <v>2</v>
      </c>
      <c r="E1046" t="s">
        <v>3520</v>
      </c>
      <c r="F1046" t="s">
        <v>9</v>
      </c>
    </row>
    <row r="1047" spans="1:6" x14ac:dyDescent="0.3">
      <c r="A1047" t="s">
        <v>439</v>
      </c>
      <c r="B1047" t="s">
        <v>131</v>
      </c>
      <c r="C1047" t="str">
        <f>HYPERLINK("http://service.sap.com/sap/support/notes/1979859","1979859")</f>
        <v>1979859</v>
      </c>
      <c r="D1047">
        <v>4</v>
      </c>
      <c r="E1047" t="s">
        <v>3521</v>
      </c>
      <c r="F1047" t="s">
        <v>9</v>
      </c>
    </row>
    <row r="1048" spans="1:6" x14ac:dyDescent="0.3">
      <c r="A1048" t="s">
        <v>439</v>
      </c>
      <c r="B1048" t="s">
        <v>131</v>
      </c>
      <c r="C1048" t="str">
        <f>HYPERLINK("http://service.sap.com/sap/support/notes/1995652","1995652")</f>
        <v>1995652</v>
      </c>
      <c r="D1048">
        <v>2</v>
      </c>
      <c r="E1048" t="s">
        <v>3522</v>
      </c>
      <c r="F1048" t="s">
        <v>9</v>
      </c>
    </row>
    <row r="1049" spans="1:6" x14ac:dyDescent="0.3">
      <c r="A1049" t="s">
        <v>439</v>
      </c>
      <c r="B1049" t="s">
        <v>131</v>
      </c>
      <c r="C1049" t="str">
        <f>HYPERLINK("http://service.sap.com/sap/support/notes/1997653","1997653")</f>
        <v>1997653</v>
      </c>
      <c r="D1049">
        <v>2</v>
      </c>
      <c r="E1049" t="s">
        <v>3523</v>
      </c>
      <c r="F1049" t="s">
        <v>9</v>
      </c>
    </row>
    <row r="1050" spans="1:6" x14ac:dyDescent="0.3">
      <c r="A1050" t="s">
        <v>439</v>
      </c>
      <c r="B1050" t="s">
        <v>131</v>
      </c>
      <c r="C1050" t="str">
        <f>HYPERLINK("http://service.sap.com/sap/support/notes/1999525","1999525")</f>
        <v>1999525</v>
      </c>
      <c r="D1050">
        <v>1</v>
      </c>
      <c r="E1050" t="s">
        <v>3524</v>
      </c>
      <c r="F1050" t="s">
        <v>9</v>
      </c>
    </row>
    <row r="1051" spans="1:6" x14ac:dyDescent="0.3">
      <c r="A1051" t="s">
        <v>439</v>
      </c>
      <c r="B1051" t="s">
        <v>131</v>
      </c>
      <c r="C1051" t="str">
        <f>HYPERLINK("http://service.sap.com/sap/support/notes/2000070","2000070")</f>
        <v>2000070</v>
      </c>
      <c r="D1051">
        <v>1</v>
      </c>
      <c r="E1051" t="s">
        <v>3525</v>
      </c>
      <c r="F1051" t="s">
        <v>16</v>
      </c>
    </row>
    <row r="1052" spans="1:6" x14ac:dyDescent="0.3">
      <c r="A1052" t="s">
        <v>439</v>
      </c>
      <c r="B1052" t="s">
        <v>131</v>
      </c>
      <c r="C1052" t="str">
        <f>HYPERLINK("http://service.sap.com/sap/support/notes/2000234","2000234")</f>
        <v>2000234</v>
      </c>
      <c r="D1052">
        <v>1</v>
      </c>
      <c r="E1052" t="s">
        <v>3526</v>
      </c>
      <c r="F1052" t="s">
        <v>9</v>
      </c>
    </row>
    <row r="1053" spans="1:6" x14ac:dyDescent="0.3">
      <c r="A1053" t="s">
        <v>439</v>
      </c>
      <c r="B1053" t="s">
        <v>131</v>
      </c>
      <c r="C1053" t="str">
        <f>HYPERLINK("http://service.sap.com/sap/support/notes/2001858","2001858")</f>
        <v>2001858</v>
      </c>
      <c r="D1053">
        <v>2</v>
      </c>
      <c r="E1053" t="s">
        <v>3527</v>
      </c>
      <c r="F1053" t="s">
        <v>16</v>
      </c>
    </row>
    <row r="1054" spans="1:6" x14ac:dyDescent="0.3">
      <c r="A1054" t="s">
        <v>439</v>
      </c>
      <c r="B1054" t="s">
        <v>131</v>
      </c>
      <c r="C1054" t="str">
        <f>HYPERLINK("http://service.sap.com/sap/support/notes/2003324","2003324")</f>
        <v>2003324</v>
      </c>
      <c r="D1054">
        <v>3</v>
      </c>
      <c r="E1054" t="s">
        <v>3528</v>
      </c>
      <c r="F1054" t="s">
        <v>9</v>
      </c>
    </row>
    <row r="1055" spans="1:6" x14ac:dyDescent="0.3">
      <c r="A1055" t="s">
        <v>439</v>
      </c>
      <c r="B1055" t="s">
        <v>131</v>
      </c>
      <c r="C1055" t="str">
        <f>HYPERLINK("http://service.sap.com/sap/support/notes/2004107","2004107")</f>
        <v>2004107</v>
      </c>
      <c r="D1055">
        <v>1</v>
      </c>
      <c r="E1055" t="s">
        <v>3529</v>
      </c>
      <c r="F1055" t="s">
        <v>9</v>
      </c>
    </row>
    <row r="1056" spans="1:6" x14ac:dyDescent="0.3">
      <c r="A1056" t="s">
        <v>439</v>
      </c>
      <c r="B1056" t="s">
        <v>131</v>
      </c>
      <c r="C1056" t="str">
        <f>HYPERLINK("http://service.sap.com/sap/support/notes/2004574","2004574")</f>
        <v>2004574</v>
      </c>
      <c r="D1056">
        <v>1</v>
      </c>
      <c r="E1056" t="s">
        <v>3530</v>
      </c>
      <c r="F1056" t="s">
        <v>9</v>
      </c>
    </row>
    <row r="1057" spans="1:6" x14ac:dyDescent="0.3">
      <c r="A1057" t="s">
        <v>439</v>
      </c>
      <c r="B1057" t="s">
        <v>131</v>
      </c>
      <c r="C1057" t="str">
        <f>HYPERLINK("http://service.sap.com/sap/support/notes/2005105","2005105")</f>
        <v>2005105</v>
      </c>
      <c r="D1057">
        <v>1</v>
      </c>
      <c r="E1057" t="s">
        <v>3531</v>
      </c>
      <c r="F1057" t="s">
        <v>9</v>
      </c>
    </row>
    <row r="1058" spans="1:6" x14ac:dyDescent="0.3">
      <c r="A1058" t="s">
        <v>439</v>
      </c>
      <c r="B1058" t="s">
        <v>131</v>
      </c>
      <c r="C1058" t="str">
        <f>HYPERLINK("http://service.sap.com/sap/support/notes/2005352","2005352")</f>
        <v>2005352</v>
      </c>
      <c r="D1058">
        <v>4</v>
      </c>
      <c r="E1058" t="s">
        <v>3532</v>
      </c>
      <c r="F1058" t="s">
        <v>9</v>
      </c>
    </row>
    <row r="1059" spans="1:6" x14ac:dyDescent="0.3">
      <c r="A1059" t="s">
        <v>439</v>
      </c>
      <c r="B1059" t="s">
        <v>131</v>
      </c>
      <c r="C1059" t="str">
        <f>HYPERLINK("http://service.sap.com/sap/support/notes/2005549","2005549")</f>
        <v>2005549</v>
      </c>
      <c r="D1059">
        <v>1</v>
      </c>
      <c r="E1059" t="s">
        <v>3533</v>
      </c>
      <c r="F1059" t="s">
        <v>28</v>
      </c>
    </row>
    <row r="1060" spans="1:6" x14ac:dyDescent="0.3">
      <c r="A1060" t="s">
        <v>439</v>
      </c>
      <c r="B1060" t="s">
        <v>131</v>
      </c>
      <c r="C1060" t="str">
        <f>HYPERLINK("http://service.sap.com/sap/support/notes/2006637","2006637")</f>
        <v>2006637</v>
      </c>
      <c r="D1060">
        <v>2</v>
      </c>
      <c r="E1060" t="s">
        <v>3534</v>
      </c>
      <c r="F1060" t="s">
        <v>9</v>
      </c>
    </row>
    <row r="1061" spans="1:6" x14ac:dyDescent="0.3">
      <c r="A1061" t="s">
        <v>439</v>
      </c>
      <c r="B1061" t="s">
        <v>131</v>
      </c>
      <c r="C1061" t="str">
        <f>HYPERLINK("http://service.sap.com/sap/support/notes/2009455","2009455")</f>
        <v>2009455</v>
      </c>
      <c r="D1061">
        <v>1</v>
      </c>
      <c r="E1061" t="s">
        <v>3535</v>
      </c>
      <c r="F1061" t="s">
        <v>9</v>
      </c>
    </row>
    <row r="1062" spans="1:6" x14ac:dyDescent="0.3">
      <c r="A1062" t="s">
        <v>439</v>
      </c>
      <c r="B1062" t="s">
        <v>131</v>
      </c>
      <c r="C1062" t="str">
        <f>HYPERLINK("http://service.sap.com/sap/support/notes/2009690","2009690")</f>
        <v>2009690</v>
      </c>
      <c r="D1062">
        <v>1</v>
      </c>
      <c r="E1062" t="s">
        <v>3536</v>
      </c>
      <c r="F1062" t="s">
        <v>16</v>
      </c>
    </row>
    <row r="1063" spans="1:6" x14ac:dyDescent="0.3">
      <c r="A1063" t="s">
        <v>439</v>
      </c>
      <c r="B1063" t="s">
        <v>131</v>
      </c>
      <c r="C1063" t="str">
        <f>HYPERLINK("http://service.sap.com/sap/support/notes/1920874","1920874")</f>
        <v>1920874</v>
      </c>
      <c r="D1063">
        <v>11</v>
      </c>
      <c r="E1063" t="s">
        <v>4055</v>
      </c>
      <c r="F1063" t="s">
        <v>16</v>
      </c>
    </row>
    <row r="1064" spans="1:6" x14ac:dyDescent="0.3">
      <c r="A1064" t="s">
        <v>439</v>
      </c>
      <c r="B1064" t="s">
        <v>131</v>
      </c>
      <c r="C1064" t="str">
        <f>HYPERLINK("http://service.sap.com/sap/support/notes/1962927","1962927")</f>
        <v>1962927</v>
      </c>
      <c r="D1064">
        <v>5</v>
      </c>
      <c r="E1064" t="s">
        <v>4056</v>
      </c>
      <c r="F1064" t="s">
        <v>9</v>
      </c>
    </row>
    <row r="1065" spans="1:6" x14ac:dyDescent="0.3">
      <c r="A1065" t="s">
        <v>439</v>
      </c>
      <c r="B1065" t="s">
        <v>131</v>
      </c>
      <c r="C1065" t="str">
        <f>HYPERLINK("http://service.sap.com/sap/support/notes/1972956","1972956")</f>
        <v>1972956</v>
      </c>
      <c r="D1065">
        <v>2</v>
      </c>
      <c r="E1065" t="s">
        <v>4057</v>
      </c>
      <c r="F1065" t="s">
        <v>28</v>
      </c>
    </row>
    <row r="1066" spans="1:6" x14ac:dyDescent="0.3">
      <c r="A1066" t="s">
        <v>439</v>
      </c>
      <c r="B1066" t="s">
        <v>131</v>
      </c>
      <c r="C1066" t="str">
        <f>HYPERLINK("http://service.sap.com/sap/support/notes/1973401","1973401")</f>
        <v>1973401</v>
      </c>
      <c r="D1066">
        <v>9</v>
      </c>
      <c r="E1066" t="s">
        <v>4058</v>
      </c>
      <c r="F1066" t="s">
        <v>9</v>
      </c>
    </row>
    <row r="1067" spans="1:6" x14ac:dyDescent="0.3">
      <c r="A1067" t="s">
        <v>439</v>
      </c>
      <c r="B1067" t="s">
        <v>131</v>
      </c>
      <c r="C1067" t="str">
        <f>HYPERLINK("http://service.sap.com/sap/support/notes/1981618","1981618")</f>
        <v>1981618</v>
      </c>
      <c r="D1067">
        <v>1</v>
      </c>
      <c r="E1067" t="s">
        <v>4059</v>
      </c>
      <c r="F1067" t="s">
        <v>9</v>
      </c>
    </row>
    <row r="1068" spans="1:6" x14ac:dyDescent="0.3">
      <c r="A1068" t="s">
        <v>439</v>
      </c>
      <c r="B1068" t="s">
        <v>131</v>
      </c>
      <c r="C1068" t="str">
        <f>HYPERLINK("http://service.sap.com/sap/support/notes/1998777","1998777")</f>
        <v>1998777</v>
      </c>
      <c r="D1068">
        <v>4</v>
      </c>
      <c r="E1068" t="s">
        <v>4060</v>
      </c>
      <c r="F1068" t="s">
        <v>9</v>
      </c>
    </row>
    <row r="1069" spans="1:6" x14ac:dyDescent="0.3">
      <c r="A1069" t="s">
        <v>439</v>
      </c>
      <c r="B1069" t="s">
        <v>131</v>
      </c>
      <c r="C1069" t="str">
        <f>HYPERLINK("http://service.sap.com/sap/support/notes/2008021","2008021")</f>
        <v>2008021</v>
      </c>
      <c r="D1069">
        <v>2</v>
      </c>
      <c r="E1069" t="s">
        <v>4061</v>
      </c>
      <c r="F1069" t="s">
        <v>9</v>
      </c>
    </row>
    <row r="1070" spans="1:6" x14ac:dyDescent="0.3">
      <c r="A1070" t="s">
        <v>439</v>
      </c>
      <c r="B1070" t="s">
        <v>131</v>
      </c>
      <c r="C1070" t="str">
        <f>HYPERLINK("http://service.sap.com/sap/support/notes/2010215","2010215")</f>
        <v>2010215</v>
      </c>
      <c r="D1070">
        <v>3</v>
      </c>
      <c r="E1070" t="s">
        <v>4062</v>
      </c>
      <c r="F1070" t="s">
        <v>9</v>
      </c>
    </row>
    <row r="1071" spans="1:6" x14ac:dyDescent="0.3">
      <c r="A1071" t="s">
        <v>439</v>
      </c>
      <c r="B1071" t="s">
        <v>131</v>
      </c>
      <c r="C1071" t="str">
        <f>HYPERLINK("http://service.sap.com/sap/support/notes/2010981","2010981")</f>
        <v>2010981</v>
      </c>
      <c r="D1071">
        <v>4</v>
      </c>
      <c r="E1071" t="s">
        <v>4063</v>
      </c>
      <c r="F1071" t="s">
        <v>9</v>
      </c>
    </row>
    <row r="1072" spans="1:6" x14ac:dyDescent="0.3">
      <c r="A1072" t="s">
        <v>439</v>
      </c>
      <c r="B1072" t="s">
        <v>131</v>
      </c>
      <c r="C1072" t="str">
        <f>HYPERLINK("http://service.sap.com/sap/support/notes/2011183","2011183")</f>
        <v>2011183</v>
      </c>
      <c r="D1072">
        <v>2</v>
      </c>
      <c r="E1072" t="s">
        <v>4064</v>
      </c>
      <c r="F1072" t="s">
        <v>16</v>
      </c>
    </row>
    <row r="1073" spans="1:6" x14ac:dyDescent="0.3">
      <c r="A1073" t="s">
        <v>439</v>
      </c>
      <c r="B1073" t="s">
        <v>131</v>
      </c>
      <c r="C1073" t="str">
        <f>HYPERLINK("http://service.sap.com/sap/support/notes/2012355","2012355")</f>
        <v>2012355</v>
      </c>
      <c r="D1073">
        <v>4</v>
      </c>
      <c r="E1073" t="s">
        <v>4065</v>
      </c>
      <c r="F1073" t="s">
        <v>9</v>
      </c>
    </row>
    <row r="1074" spans="1:6" x14ac:dyDescent="0.3">
      <c r="A1074" t="s">
        <v>439</v>
      </c>
      <c r="B1074" t="s">
        <v>131</v>
      </c>
      <c r="C1074" t="str">
        <f>HYPERLINK("http://service.sap.com/sap/support/notes/2013741","2013741")</f>
        <v>2013741</v>
      </c>
      <c r="D1074">
        <v>1</v>
      </c>
      <c r="E1074" t="s">
        <v>4066</v>
      </c>
      <c r="F1074" t="s">
        <v>9</v>
      </c>
    </row>
    <row r="1075" spans="1:6" x14ac:dyDescent="0.3">
      <c r="A1075" t="s">
        <v>439</v>
      </c>
      <c r="B1075" t="s">
        <v>131</v>
      </c>
      <c r="C1075" t="str">
        <f>HYPERLINK("http://service.sap.com/sap/support/notes/2015316","2015316")</f>
        <v>2015316</v>
      </c>
      <c r="D1075">
        <v>1</v>
      </c>
      <c r="E1075" t="s">
        <v>4067</v>
      </c>
      <c r="F1075" t="s">
        <v>9</v>
      </c>
    </row>
    <row r="1076" spans="1:6" x14ac:dyDescent="0.3">
      <c r="A1076" t="s">
        <v>439</v>
      </c>
      <c r="B1076" t="s">
        <v>131</v>
      </c>
      <c r="C1076" t="str">
        <f>HYPERLINK("http://service.sap.com/sap/support/notes/2015318","2015318")</f>
        <v>2015318</v>
      </c>
      <c r="D1076">
        <v>2</v>
      </c>
      <c r="E1076" t="s">
        <v>4068</v>
      </c>
      <c r="F1076" t="s">
        <v>9</v>
      </c>
    </row>
    <row r="1077" spans="1:6" x14ac:dyDescent="0.3">
      <c r="A1077" t="s">
        <v>439</v>
      </c>
      <c r="B1077" t="s">
        <v>131</v>
      </c>
      <c r="C1077" t="str">
        <f>HYPERLINK("http://service.sap.com/sap/support/notes/2016026","2016026")</f>
        <v>2016026</v>
      </c>
      <c r="D1077">
        <v>2</v>
      </c>
      <c r="E1077" t="s">
        <v>4069</v>
      </c>
      <c r="F1077" t="s">
        <v>9</v>
      </c>
    </row>
    <row r="1078" spans="1:6" x14ac:dyDescent="0.3">
      <c r="A1078" t="s">
        <v>439</v>
      </c>
      <c r="B1078" t="s">
        <v>131</v>
      </c>
      <c r="C1078" t="str">
        <f>HYPERLINK("http://service.sap.com/sap/support/notes/2016559","2016559")</f>
        <v>2016559</v>
      </c>
      <c r="D1078">
        <v>5</v>
      </c>
      <c r="E1078" t="s">
        <v>4070</v>
      </c>
      <c r="F1078" t="s">
        <v>9</v>
      </c>
    </row>
    <row r="1079" spans="1:6" x14ac:dyDescent="0.3">
      <c r="A1079" t="s">
        <v>439</v>
      </c>
      <c r="B1079" t="s">
        <v>131</v>
      </c>
      <c r="C1079" t="str">
        <f>HYPERLINK("http://service.sap.com/sap/support/notes/2017648","2017648")</f>
        <v>2017648</v>
      </c>
      <c r="D1079">
        <v>1</v>
      </c>
      <c r="E1079" t="s">
        <v>4071</v>
      </c>
      <c r="F1079" t="s">
        <v>9</v>
      </c>
    </row>
    <row r="1080" spans="1:6" x14ac:dyDescent="0.3">
      <c r="A1080" t="s">
        <v>439</v>
      </c>
      <c r="B1080" t="s">
        <v>131</v>
      </c>
      <c r="C1080" t="str">
        <f>HYPERLINK("http://service.sap.com/sap/support/notes/2017879","2017879")</f>
        <v>2017879</v>
      </c>
      <c r="D1080">
        <v>4</v>
      </c>
      <c r="E1080" t="s">
        <v>4072</v>
      </c>
      <c r="F1080" t="s">
        <v>9</v>
      </c>
    </row>
    <row r="1081" spans="1:6" x14ac:dyDescent="0.3">
      <c r="A1081" t="s">
        <v>439</v>
      </c>
      <c r="B1081" t="s">
        <v>131</v>
      </c>
      <c r="C1081" t="str">
        <f>HYPERLINK("http://service.sap.com/sap/support/notes/2019882","2019882")</f>
        <v>2019882</v>
      </c>
      <c r="D1081">
        <v>1</v>
      </c>
      <c r="E1081" t="s">
        <v>4073</v>
      </c>
      <c r="F1081" t="s">
        <v>9</v>
      </c>
    </row>
    <row r="1082" spans="1:6" x14ac:dyDescent="0.3">
      <c r="A1082" t="s">
        <v>439</v>
      </c>
      <c r="B1082" t="s">
        <v>131</v>
      </c>
      <c r="C1082" t="str">
        <f>HYPERLINK("http://service.sap.com/sap/support/notes/2020670","2020670")</f>
        <v>2020670</v>
      </c>
      <c r="D1082">
        <v>5</v>
      </c>
      <c r="E1082" t="s">
        <v>4074</v>
      </c>
      <c r="F1082" t="s">
        <v>9</v>
      </c>
    </row>
    <row r="1083" spans="1:6" x14ac:dyDescent="0.3">
      <c r="A1083" t="s">
        <v>439</v>
      </c>
      <c r="B1083" t="s">
        <v>131</v>
      </c>
      <c r="C1083" t="str">
        <f>HYPERLINK("http://service.sap.com/sap/support/notes/2010633","2010633")</f>
        <v>2010633</v>
      </c>
      <c r="D1083">
        <v>4</v>
      </c>
      <c r="E1083" t="s">
        <v>4417</v>
      </c>
      <c r="F1083" t="s">
        <v>9</v>
      </c>
    </row>
    <row r="1084" spans="1:6" x14ac:dyDescent="0.3">
      <c r="A1084" t="s">
        <v>439</v>
      </c>
      <c r="B1084" t="s">
        <v>131</v>
      </c>
      <c r="C1084" t="str">
        <f>HYPERLINK("http://service.sap.com/sap/support/notes/2022880","2022880")</f>
        <v>2022880</v>
      </c>
      <c r="D1084">
        <v>3</v>
      </c>
      <c r="E1084" t="s">
        <v>4418</v>
      </c>
      <c r="F1084" t="s">
        <v>9</v>
      </c>
    </row>
    <row r="1085" spans="1:6" x14ac:dyDescent="0.3">
      <c r="A1085" t="s">
        <v>439</v>
      </c>
      <c r="B1085" t="s">
        <v>131</v>
      </c>
      <c r="C1085" t="str">
        <f>HYPERLINK("http://service.sap.com/sap/support/notes/2026014","2026014")</f>
        <v>2026014</v>
      </c>
      <c r="D1085">
        <v>3</v>
      </c>
      <c r="E1085" t="s">
        <v>4419</v>
      </c>
      <c r="F1085" t="s">
        <v>9</v>
      </c>
    </row>
    <row r="1086" spans="1:6" x14ac:dyDescent="0.3">
      <c r="A1086" t="s">
        <v>439</v>
      </c>
      <c r="B1086" t="s">
        <v>131</v>
      </c>
      <c r="C1086" t="str">
        <f>HYPERLINK("http://service.sap.com/sap/support/notes/2029965","2029965")</f>
        <v>2029965</v>
      </c>
      <c r="D1086">
        <v>1</v>
      </c>
      <c r="E1086" t="s">
        <v>4420</v>
      </c>
      <c r="F1086" t="s">
        <v>9</v>
      </c>
    </row>
    <row r="1087" spans="1:6" x14ac:dyDescent="0.3">
      <c r="A1087" t="s">
        <v>439</v>
      </c>
      <c r="B1087" t="s">
        <v>131</v>
      </c>
      <c r="C1087" t="str">
        <f>HYPERLINK("http://service.sap.com/sap/support/notes/2029993","2029993")</f>
        <v>2029993</v>
      </c>
      <c r="D1087">
        <v>4</v>
      </c>
      <c r="E1087" t="s">
        <v>4421</v>
      </c>
      <c r="F1087" t="s">
        <v>28</v>
      </c>
    </row>
    <row r="1088" spans="1:6" x14ac:dyDescent="0.3">
      <c r="A1088" t="s">
        <v>439</v>
      </c>
      <c r="B1088" t="s">
        <v>131</v>
      </c>
      <c r="C1088" t="str">
        <f>HYPERLINK("http://service.sap.com/sap/support/notes/2025329","2025329")</f>
        <v>2025329</v>
      </c>
      <c r="D1088">
        <v>2</v>
      </c>
      <c r="E1088" t="s">
        <v>4733</v>
      </c>
      <c r="F1088" t="s">
        <v>9</v>
      </c>
    </row>
    <row r="1089" spans="1:6" x14ac:dyDescent="0.3">
      <c r="A1089" t="s">
        <v>439</v>
      </c>
      <c r="B1089" t="s">
        <v>131</v>
      </c>
      <c r="C1089" t="str">
        <f>HYPERLINK("http://service.sap.com/sap/support/notes/2028487","2028487")</f>
        <v>2028487</v>
      </c>
      <c r="D1089">
        <v>3</v>
      </c>
      <c r="E1089" t="s">
        <v>4734</v>
      </c>
      <c r="F1089" t="s">
        <v>9</v>
      </c>
    </row>
    <row r="1090" spans="1:6" x14ac:dyDescent="0.3">
      <c r="A1090" t="s">
        <v>439</v>
      </c>
      <c r="B1090" t="s">
        <v>131</v>
      </c>
      <c r="C1090" t="str">
        <f>HYPERLINK("http://service.sap.com/sap/support/notes/2028701","2028701")</f>
        <v>2028701</v>
      </c>
      <c r="D1090">
        <v>2</v>
      </c>
      <c r="E1090" t="s">
        <v>4735</v>
      </c>
      <c r="F1090" t="s">
        <v>9</v>
      </c>
    </row>
    <row r="1091" spans="1:6" x14ac:dyDescent="0.3">
      <c r="A1091" t="s">
        <v>439</v>
      </c>
      <c r="B1091" t="s">
        <v>131</v>
      </c>
      <c r="C1091" t="str">
        <f>HYPERLINK("http://service.sap.com/sap/support/notes/2029149","2029149")</f>
        <v>2029149</v>
      </c>
      <c r="D1091">
        <v>2</v>
      </c>
      <c r="E1091" t="s">
        <v>4736</v>
      </c>
      <c r="F1091" t="s">
        <v>9</v>
      </c>
    </row>
    <row r="1092" spans="1:6" x14ac:dyDescent="0.3">
      <c r="A1092" t="s">
        <v>439</v>
      </c>
      <c r="B1092" t="s">
        <v>131</v>
      </c>
      <c r="C1092" t="str">
        <f>HYPERLINK("http://service.sap.com/sap/support/notes/2029993","2029993")</f>
        <v>2029993</v>
      </c>
      <c r="D1092">
        <v>4</v>
      </c>
      <c r="E1092" t="s">
        <v>4421</v>
      </c>
      <c r="F1092" t="s">
        <v>28</v>
      </c>
    </row>
    <row r="1093" spans="1:6" x14ac:dyDescent="0.3">
      <c r="A1093" t="s">
        <v>439</v>
      </c>
      <c r="B1093" t="s">
        <v>131</v>
      </c>
      <c r="C1093" t="str">
        <f>HYPERLINK("http://service.sap.com/sap/support/notes/2031865","2031865")</f>
        <v>2031865</v>
      </c>
      <c r="D1093">
        <v>4</v>
      </c>
      <c r="E1093" t="s">
        <v>4737</v>
      </c>
      <c r="F1093" t="s">
        <v>9</v>
      </c>
    </row>
    <row r="1094" spans="1:6" x14ac:dyDescent="0.3">
      <c r="A1094" t="s">
        <v>439</v>
      </c>
      <c r="B1094" t="s">
        <v>131</v>
      </c>
      <c r="C1094" t="str">
        <f>HYPERLINK("http://service.sap.com/sap/support/notes/2035197","2035197")</f>
        <v>2035197</v>
      </c>
      <c r="D1094">
        <v>3</v>
      </c>
      <c r="E1094" t="s">
        <v>4738</v>
      </c>
      <c r="F1094" t="s">
        <v>9</v>
      </c>
    </row>
    <row r="1095" spans="1:6" x14ac:dyDescent="0.3">
      <c r="A1095" t="s">
        <v>439</v>
      </c>
      <c r="B1095" t="s">
        <v>131</v>
      </c>
      <c r="C1095" t="str">
        <f>HYPERLINK("http://service.sap.com/sap/support/notes/2041068","2041068")</f>
        <v>2041068</v>
      </c>
      <c r="D1095">
        <v>1</v>
      </c>
      <c r="E1095" t="s">
        <v>4739</v>
      </c>
      <c r="F1095" t="s">
        <v>9</v>
      </c>
    </row>
    <row r="1096" spans="1:6" x14ac:dyDescent="0.3">
      <c r="A1096" t="s">
        <v>439</v>
      </c>
      <c r="B1096" t="s">
        <v>131</v>
      </c>
      <c r="C1096" t="str">
        <f>HYPERLINK("http://service.sap.com/sap/support/notes/2041310","2041310")</f>
        <v>2041310</v>
      </c>
      <c r="D1096">
        <v>1</v>
      </c>
      <c r="E1096" t="s">
        <v>4740</v>
      </c>
      <c r="F1096" t="s">
        <v>16</v>
      </c>
    </row>
    <row r="1097" spans="1:6" x14ac:dyDescent="0.3">
      <c r="A1097" t="s">
        <v>439</v>
      </c>
      <c r="B1097" t="s">
        <v>131</v>
      </c>
      <c r="C1097" t="str">
        <f>HYPERLINK("http://service.sap.com/sap/support/notes/2041835","2041835")</f>
        <v>2041835</v>
      </c>
      <c r="D1097">
        <v>1</v>
      </c>
      <c r="E1097" t="s">
        <v>4741</v>
      </c>
      <c r="F1097" t="s">
        <v>9</v>
      </c>
    </row>
    <row r="1098" spans="1:6" x14ac:dyDescent="0.3">
      <c r="A1098" t="s">
        <v>439</v>
      </c>
      <c r="B1098" t="s">
        <v>131</v>
      </c>
      <c r="C1098" t="str">
        <f>HYPERLINK("http://service.sap.com/sap/support/notes/2043009","2043009")</f>
        <v>2043009</v>
      </c>
      <c r="D1098">
        <v>1</v>
      </c>
      <c r="E1098" t="s">
        <v>4742</v>
      </c>
      <c r="F1098" t="s">
        <v>9</v>
      </c>
    </row>
    <row r="1099" spans="1:6" x14ac:dyDescent="0.3">
      <c r="A1099" t="s">
        <v>439</v>
      </c>
      <c r="B1099" t="s">
        <v>131</v>
      </c>
      <c r="C1099" t="str">
        <f>HYPERLINK("http://service.sap.com/sap/support/notes/2043799","2043799")</f>
        <v>2043799</v>
      </c>
      <c r="D1099">
        <v>3</v>
      </c>
      <c r="E1099" t="s">
        <v>4743</v>
      </c>
      <c r="F1099" t="s">
        <v>9</v>
      </c>
    </row>
    <row r="1100" spans="1:6" x14ac:dyDescent="0.3">
      <c r="A1100" t="s">
        <v>439</v>
      </c>
      <c r="B1100" t="s">
        <v>131</v>
      </c>
      <c r="C1100" t="str">
        <f>HYPERLINK("http://service.sap.com/sap/support/notes/2044631","2044631")</f>
        <v>2044631</v>
      </c>
      <c r="D1100">
        <v>1</v>
      </c>
      <c r="E1100" t="s">
        <v>4744</v>
      </c>
      <c r="F1100" t="s">
        <v>16</v>
      </c>
    </row>
    <row r="1101" spans="1:6" x14ac:dyDescent="0.3">
      <c r="A1101" t="s">
        <v>439</v>
      </c>
      <c r="B1101" t="s">
        <v>131</v>
      </c>
      <c r="C1101" t="str">
        <f>HYPERLINK("http://service.sap.com/sap/support/notes/1991457","1991457")</f>
        <v>1991457</v>
      </c>
      <c r="D1101">
        <v>3</v>
      </c>
      <c r="E1101" t="s">
        <v>5096</v>
      </c>
      <c r="F1101" t="s">
        <v>9</v>
      </c>
    </row>
    <row r="1102" spans="1:6" x14ac:dyDescent="0.3">
      <c r="A1102" t="s">
        <v>439</v>
      </c>
      <c r="B1102" t="s">
        <v>131</v>
      </c>
      <c r="C1102" t="str">
        <f>HYPERLINK("http://service.sap.com/sap/support/notes/2031349","2031349")</f>
        <v>2031349</v>
      </c>
      <c r="D1102">
        <v>3</v>
      </c>
      <c r="E1102" t="s">
        <v>5097</v>
      </c>
      <c r="F1102" t="s">
        <v>9</v>
      </c>
    </row>
    <row r="1103" spans="1:6" x14ac:dyDescent="0.3">
      <c r="A1103" t="s">
        <v>439</v>
      </c>
      <c r="B1103" t="s">
        <v>131</v>
      </c>
      <c r="C1103" t="str">
        <f>HYPERLINK("http://service.sap.com/sap/support/notes/2037073","2037073")</f>
        <v>2037073</v>
      </c>
      <c r="D1103">
        <v>5</v>
      </c>
      <c r="E1103" t="s">
        <v>5098</v>
      </c>
      <c r="F1103" t="s">
        <v>28</v>
      </c>
    </row>
    <row r="1104" spans="1:6" x14ac:dyDescent="0.3">
      <c r="A1104" t="s">
        <v>439</v>
      </c>
      <c r="B1104" t="s">
        <v>131</v>
      </c>
      <c r="C1104" t="str">
        <f>HYPERLINK("http://service.sap.com/sap/support/notes/2037217","2037217")</f>
        <v>2037217</v>
      </c>
      <c r="D1104">
        <v>12</v>
      </c>
      <c r="E1104" t="s">
        <v>5099</v>
      </c>
      <c r="F1104" t="s">
        <v>9</v>
      </c>
    </row>
    <row r="1105" spans="1:6" x14ac:dyDescent="0.3">
      <c r="A1105" t="s">
        <v>439</v>
      </c>
      <c r="B1105" t="s">
        <v>131</v>
      </c>
      <c r="C1105" t="str">
        <f>HYPERLINK("http://service.sap.com/sap/support/notes/2042133","2042133")</f>
        <v>2042133</v>
      </c>
      <c r="D1105">
        <v>3</v>
      </c>
      <c r="E1105" t="s">
        <v>5100</v>
      </c>
      <c r="F1105" t="s">
        <v>16</v>
      </c>
    </row>
    <row r="1106" spans="1:6" x14ac:dyDescent="0.3">
      <c r="A1106" t="s">
        <v>439</v>
      </c>
      <c r="B1106" t="s">
        <v>131</v>
      </c>
      <c r="C1106" t="str">
        <f>HYPERLINK("http://service.sap.com/sap/support/notes/2044728","2044728")</f>
        <v>2044728</v>
      </c>
      <c r="D1106">
        <v>3</v>
      </c>
      <c r="E1106" t="s">
        <v>5101</v>
      </c>
      <c r="F1106" t="s">
        <v>9</v>
      </c>
    </row>
    <row r="1107" spans="1:6" x14ac:dyDescent="0.3">
      <c r="A1107" t="s">
        <v>439</v>
      </c>
      <c r="B1107" t="s">
        <v>131</v>
      </c>
      <c r="C1107" t="str">
        <f>HYPERLINK("http://service.sap.com/sap/support/notes/2047949","2047949")</f>
        <v>2047949</v>
      </c>
      <c r="D1107">
        <v>4</v>
      </c>
      <c r="E1107" t="s">
        <v>5102</v>
      </c>
      <c r="F1107" t="s">
        <v>9</v>
      </c>
    </row>
    <row r="1108" spans="1:6" x14ac:dyDescent="0.3">
      <c r="A1108" t="s">
        <v>439</v>
      </c>
      <c r="B1108" t="s">
        <v>131</v>
      </c>
      <c r="C1108" t="str">
        <f>HYPERLINK("http://service.sap.com/sap/support/notes/2049225","2049225")</f>
        <v>2049225</v>
      </c>
      <c r="D1108">
        <v>7</v>
      </c>
      <c r="E1108" t="s">
        <v>5103</v>
      </c>
      <c r="F1108" t="s">
        <v>9</v>
      </c>
    </row>
    <row r="1109" spans="1:6" x14ac:dyDescent="0.3">
      <c r="A1109" t="s">
        <v>439</v>
      </c>
      <c r="B1109" t="s">
        <v>131</v>
      </c>
      <c r="C1109" t="str">
        <f>HYPERLINK("http://service.sap.com/sap/support/notes/2053918","2053918")</f>
        <v>2053918</v>
      </c>
      <c r="D1109">
        <v>1</v>
      </c>
      <c r="E1109" t="s">
        <v>5104</v>
      </c>
      <c r="F1109" t="s">
        <v>9</v>
      </c>
    </row>
    <row r="1110" spans="1:6" x14ac:dyDescent="0.3">
      <c r="A1110" t="s">
        <v>439</v>
      </c>
      <c r="B1110" t="s">
        <v>131</v>
      </c>
      <c r="C1110" t="str">
        <f>HYPERLINK("http://service.sap.com/sap/support/notes/2054328","2054328")</f>
        <v>2054328</v>
      </c>
      <c r="D1110">
        <v>6</v>
      </c>
      <c r="E1110" t="s">
        <v>5105</v>
      </c>
      <c r="F1110" t="s">
        <v>9</v>
      </c>
    </row>
    <row r="1111" spans="1:6" x14ac:dyDescent="0.3">
      <c r="A1111" t="s">
        <v>439</v>
      </c>
      <c r="B1111" t="s">
        <v>131</v>
      </c>
      <c r="C1111" t="str">
        <f>HYPERLINK("http://service.sap.com/sap/support/notes/2055282","2055282")</f>
        <v>2055282</v>
      </c>
      <c r="D1111">
        <v>1</v>
      </c>
      <c r="E1111" t="s">
        <v>5106</v>
      </c>
      <c r="F1111" t="s">
        <v>9</v>
      </c>
    </row>
    <row r="1112" spans="1:6" x14ac:dyDescent="0.3">
      <c r="A1112" t="s">
        <v>439</v>
      </c>
      <c r="B1112" t="s">
        <v>131</v>
      </c>
      <c r="C1112" t="str">
        <f>HYPERLINK("http://service.sap.com/sap/support/notes/2056180","2056180")</f>
        <v>2056180</v>
      </c>
      <c r="D1112">
        <v>2</v>
      </c>
      <c r="E1112" t="s">
        <v>5107</v>
      </c>
      <c r="F1112" t="s">
        <v>16</v>
      </c>
    </row>
    <row r="1113" spans="1:6" x14ac:dyDescent="0.3">
      <c r="A1113" t="s">
        <v>439</v>
      </c>
      <c r="B1113" t="s">
        <v>131</v>
      </c>
      <c r="C1113" t="str">
        <f>HYPERLINK("http://service.sap.com/sap/support/notes/2034019","2034019")</f>
        <v>2034019</v>
      </c>
      <c r="D1113">
        <v>4</v>
      </c>
      <c r="E1113" t="s">
        <v>5430</v>
      </c>
      <c r="F1113" t="s">
        <v>9</v>
      </c>
    </row>
    <row r="1114" spans="1:6" x14ac:dyDescent="0.3">
      <c r="A1114" t="s">
        <v>439</v>
      </c>
      <c r="B1114" t="s">
        <v>131</v>
      </c>
      <c r="C1114" t="str">
        <f>HYPERLINK("http://service.sap.com/sap/support/notes/2034110","2034110")</f>
        <v>2034110</v>
      </c>
      <c r="D1114">
        <v>2</v>
      </c>
      <c r="E1114" t="s">
        <v>5431</v>
      </c>
      <c r="F1114" t="s">
        <v>9</v>
      </c>
    </row>
    <row r="1115" spans="1:6" x14ac:dyDescent="0.3">
      <c r="A1115" t="s">
        <v>439</v>
      </c>
      <c r="B1115" t="s">
        <v>131</v>
      </c>
      <c r="C1115" t="str">
        <f>HYPERLINK("http://service.sap.com/sap/support/notes/2050474","2050474")</f>
        <v>2050474</v>
      </c>
      <c r="D1115">
        <v>2</v>
      </c>
      <c r="E1115" t="s">
        <v>5432</v>
      </c>
      <c r="F1115" t="s">
        <v>9</v>
      </c>
    </row>
    <row r="1116" spans="1:6" x14ac:dyDescent="0.3">
      <c r="A1116" t="s">
        <v>439</v>
      </c>
      <c r="B1116" t="s">
        <v>131</v>
      </c>
      <c r="C1116" t="str">
        <f>HYPERLINK("http://service.sap.com/sap/support/notes/2057305","2057305")</f>
        <v>2057305</v>
      </c>
      <c r="D1116">
        <v>2</v>
      </c>
      <c r="E1116" t="s">
        <v>5433</v>
      </c>
      <c r="F1116" t="s">
        <v>9</v>
      </c>
    </row>
    <row r="1117" spans="1:6" x14ac:dyDescent="0.3">
      <c r="A1117" t="s">
        <v>439</v>
      </c>
      <c r="B1117" t="s">
        <v>131</v>
      </c>
      <c r="C1117" t="str">
        <f>HYPERLINK("http://service.sap.com/sap/support/notes/2058322","2058322")</f>
        <v>2058322</v>
      </c>
      <c r="D1117">
        <v>1</v>
      </c>
      <c r="E1117" t="s">
        <v>5434</v>
      </c>
      <c r="F1117" t="s">
        <v>9</v>
      </c>
    </row>
    <row r="1118" spans="1:6" x14ac:dyDescent="0.3">
      <c r="A1118" t="s">
        <v>439</v>
      </c>
      <c r="B1118" t="s">
        <v>131</v>
      </c>
      <c r="C1118" t="str">
        <f>HYPERLINK("http://service.sap.com/sap/support/notes/2058761","2058761")</f>
        <v>2058761</v>
      </c>
      <c r="D1118">
        <v>6</v>
      </c>
      <c r="E1118" t="s">
        <v>5435</v>
      </c>
      <c r="F1118" t="s">
        <v>9</v>
      </c>
    </row>
    <row r="1119" spans="1:6" x14ac:dyDescent="0.3">
      <c r="A1119" t="s">
        <v>439</v>
      </c>
      <c r="B1119" t="s">
        <v>131</v>
      </c>
      <c r="C1119" t="str">
        <f>HYPERLINK("http://service.sap.com/sap/support/notes/2059708","2059708")</f>
        <v>2059708</v>
      </c>
      <c r="D1119">
        <v>1</v>
      </c>
      <c r="E1119" t="s">
        <v>5436</v>
      </c>
      <c r="F1119" t="s">
        <v>9</v>
      </c>
    </row>
    <row r="1120" spans="1:6" x14ac:dyDescent="0.3">
      <c r="A1120" t="s">
        <v>439</v>
      </c>
      <c r="B1120" t="s">
        <v>131</v>
      </c>
      <c r="C1120" t="str">
        <f>HYPERLINK("http://service.sap.com/sap/support/notes/2061635","2061635")</f>
        <v>2061635</v>
      </c>
      <c r="D1120">
        <v>4</v>
      </c>
      <c r="E1120" t="s">
        <v>5437</v>
      </c>
      <c r="F1120" t="s">
        <v>9</v>
      </c>
    </row>
    <row r="1121" spans="1:6" x14ac:dyDescent="0.3">
      <c r="A1121" t="s">
        <v>439</v>
      </c>
      <c r="B1121" t="s">
        <v>131</v>
      </c>
      <c r="C1121" t="str">
        <f>HYPERLINK("http://service.sap.com/sap/support/notes/2063144","2063144")</f>
        <v>2063144</v>
      </c>
      <c r="D1121">
        <v>5</v>
      </c>
      <c r="E1121" t="s">
        <v>5438</v>
      </c>
      <c r="F1121" t="s">
        <v>9</v>
      </c>
    </row>
    <row r="1122" spans="1:6" x14ac:dyDescent="0.3">
      <c r="A1122" t="s">
        <v>439</v>
      </c>
      <c r="B1122" t="s">
        <v>131</v>
      </c>
      <c r="C1122" t="str">
        <f>HYPERLINK("http://service.sap.com/sap/support/notes/2064628","2064628")</f>
        <v>2064628</v>
      </c>
      <c r="D1122">
        <v>1</v>
      </c>
      <c r="E1122" t="s">
        <v>5439</v>
      </c>
      <c r="F1122" t="s">
        <v>9</v>
      </c>
    </row>
    <row r="1123" spans="1:6" x14ac:dyDescent="0.3">
      <c r="A1123" t="s">
        <v>439</v>
      </c>
      <c r="B1123" t="s">
        <v>131</v>
      </c>
      <c r="C1123" t="str">
        <f>HYPERLINK("http://service.sap.com/sap/support/notes/2065010","2065010")</f>
        <v>2065010</v>
      </c>
      <c r="D1123">
        <v>2</v>
      </c>
      <c r="E1123" t="s">
        <v>5440</v>
      </c>
      <c r="F1123" t="s">
        <v>9</v>
      </c>
    </row>
    <row r="1124" spans="1:6" x14ac:dyDescent="0.3">
      <c r="A1124" t="s">
        <v>439</v>
      </c>
      <c r="B1124" t="s">
        <v>131</v>
      </c>
      <c r="C1124" t="str">
        <f>HYPERLINK("http://service.sap.com/sap/support/notes/2065813","2065813")</f>
        <v>2065813</v>
      </c>
      <c r="D1124">
        <v>1</v>
      </c>
      <c r="E1124" t="s">
        <v>5441</v>
      </c>
      <c r="F1124" t="s">
        <v>9</v>
      </c>
    </row>
    <row r="1125" spans="1:6" x14ac:dyDescent="0.3">
      <c r="A1125" t="s">
        <v>439</v>
      </c>
      <c r="B1125" t="s">
        <v>131</v>
      </c>
      <c r="C1125" t="str">
        <f>HYPERLINK("http://service.sap.com/sap/support/notes/2067059","2067059")</f>
        <v>2067059</v>
      </c>
      <c r="D1125">
        <v>1</v>
      </c>
      <c r="E1125" t="s">
        <v>5442</v>
      </c>
      <c r="F1125" t="s">
        <v>9</v>
      </c>
    </row>
    <row r="1126" spans="1:6" x14ac:dyDescent="0.3">
      <c r="A1126" t="s">
        <v>1559</v>
      </c>
      <c r="B1126" t="s">
        <v>471</v>
      </c>
      <c r="C1126" t="str">
        <f>HYPERLINK("http://service.sap.com/sap/support/notes/1949262","1949262")</f>
        <v>1949262</v>
      </c>
      <c r="D1126">
        <v>1</v>
      </c>
      <c r="E1126" t="s">
        <v>1560</v>
      </c>
      <c r="F1126" t="s">
        <v>9</v>
      </c>
    </row>
    <row r="1127" spans="1:6" x14ac:dyDescent="0.3">
      <c r="A1127" t="s">
        <v>1559</v>
      </c>
      <c r="B1127" t="s">
        <v>471</v>
      </c>
      <c r="C1127" t="str">
        <f>HYPERLINK("http://service.sap.com/sap/support/notes/1950793","1950793")</f>
        <v>1950793</v>
      </c>
      <c r="D1127">
        <v>1</v>
      </c>
      <c r="E1127" t="s">
        <v>1561</v>
      </c>
      <c r="F1127" t="s">
        <v>9</v>
      </c>
    </row>
    <row r="1128" spans="1:6" x14ac:dyDescent="0.3">
      <c r="A1128" t="s">
        <v>1559</v>
      </c>
      <c r="B1128" t="s">
        <v>471</v>
      </c>
      <c r="C1128" t="str">
        <f>HYPERLINK("http://service.sap.com/sap/support/notes/1954841","1954841")</f>
        <v>1954841</v>
      </c>
      <c r="D1128">
        <v>2</v>
      </c>
      <c r="E1128" t="s">
        <v>1562</v>
      </c>
      <c r="F1128" t="s">
        <v>9</v>
      </c>
    </row>
    <row r="1129" spans="1:6" x14ac:dyDescent="0.3">
      <c r="A1129" t="s">
        <v>1559</v>
      </c>
      <c r="B1129" t="s">
        <v>471</v>
      </c>
      <c r="C1129" t="str">
        <f>HYPERLINK("http://service.sap.com/sap/support/notes/1960136","1960136")</f>
        <v>1960136</v>
      </c>
      <c r="D1129">
        <v>3</v>
      </c>
      <c r="E1129" t="s">
        <v>2442</v>
      </c>
      <c r="F1129" t="s">
        <v>9</v>
      </c>
    </row>
    <row r="1130" spans="1:6" x14ac:dyDescent="0.3">
      <c r="A1130" t="s">
        <v>1559</v>
      </c>
      <c r="B1130" t="s">
        <v>471</v>
      </c>
      <c r="C1130" t="str">
        <f>HYPERLINK("http://service.sap.com/sap/support/notes/1801164","1801164")</f>
        <v>1801164</v>
      </c>
      <c r="D1130">
        <v>3</v>
      </c>
      <c r="E1130" t="s">
        <v>4075</v>
      </c>
      <c r="F1130" t="s">
        <v>9</v>
      </c>
    </row>
    <row r="1131" spans="1:6" x14ac:dyDescent="0.3">
      <c r="A1131" t="s">
        <v>1559</v>
      </c>
      <c r="B1131" t="s">
        <v>471</v>
      </c>
      <c r="C1131" t="str">
        <f>HYPERLINK("http://service.sap.com/sap/support/notes/2047128","2047128")</f>
        <v>2047128</v>
      </c>
      <c r="D1131">
        <v>1</v>
      </c>
      <c r="E1131" t="s">
        <v>5108</v>
      </c>
      <c r="F1131" t="s">
        <v>9</v>
      </c>
    </row>
    <row r="1132" spans="1:6" x14ac:dyDescent="0.3">
      <c r="A1132" t="s">
        <v>453</v>
      </c>
      <c r="B1132" t="s">
        <v>454</v>
      </c>
      <c r="C1132" t="str">
        <f>HYPERLINK("http://service.sap.com/sap/support/notes/1908734","1908734")</f>
        <v>1908734</v>
      </c>
      <c r="D1132">
        <v>10</v>
      </c>
      <c r="E1132" t="s">
        <v>455</v>
      </c>
      <c r="F1132" t="s">
        <v>9</v>
      </c>
    </row>
    <row r="1133" spans="1:6" x14ac:dyDescent="0.3">
      <c r="A1133" t="s">
        <v>453</v>
      </c>
      <c r="B1133" t="s">
        <v>454</v>
      </c>
      <c r="C1133" t="str">
        <f>HYPERLINK("http://service.sap.com/sap/support/notes/1909762","1909762")</f>
        <v>1909762</v>
      </c>
      <c r="D1133">
        <v>1</v>
      </c>
      <c r="E1133" t="s">
        <v>456</v>
      </c>
      <c r="F1133" t="s">
        <v>9</v>
      </c>
    </row>
    <row r="1134" spans="1:6" x14ac:dyDescent="0.3">
      <c r="A1134" t="s">
        <v>453</v>
      </c>
      <c r="B1134" t="s">
        <v>454</v>
      </c>
      <c r="C1134" t="str">
        <f>HYPERLINK("http://service.sap.com/sap/support/notes/1911392","1911392")</f>
        <v>1911392</v>
      </c>
      <c r="D1134">
        <v>3</v>
      </c>
      <c r="E1134" t="s">
        <v>457</v>
      </c>
      <c r="F1134" t="s">
        <v>9</v>
      </c>
    </row>
    <row r="1135" spans="1:6" x14ac:dyDescent="0.3">
      <c r="A1135" t="s">
        <v>453</v>
      </c>
      <c r="B1135" t="s">
        <v>454</v>
      </c>
      <c r="C1135" t="str">
        <f>HYPERLINK("http://service.sap.com/sap/support/notes/1916351","1916351")</f>
        <v>1916351</v>
      </c>
      <c r="D1135">
        <v>1</v>
      </c>
      <c r="E1135" t="s">
        <v>458</v>
      </c>
      <c r="F1135" t="s">
        <v>9</v>
      </c>
    </row>
    <row r="1136" spans="1:6" x14ac:dyDescent="0.3">
      <c r="A1136" t="s">
        <v>453</v>
      </c>
      <c r="B1136" t="s">
        <v>454</v>
      </c>
      <c r="C1136" t="str">
        <f>HYPERLINK("http://service.sap.com/sap/support/notes/1918200","1918200")</f>
        <v>1918200</v>
      </c>
      <c r="D1136">
        <v>1</v>
      </c>
      <c r="E1136" t="s">
        <v>459</v>
      </c>
      <c r="F1136" t="s">
        <v>9</v>
      </c>
    </row>
    <row r="1137" spans="1:6" x14ac:dyDescent="0.3">
      <c r="A1137" t="s">
        <v>453</v>
      </c>
      <c r="B1137" t="s">
        <v>454</v>
      </c>
      <c r="C1137" t="str">
        <f>HYPERLINK("http://service.sap.com/sap/support/notes/1918778","1918778")</f>
        <v>1918778</v>
      </c>
      <c r="D1137">
        <v>4</v>
      </c>
      <c r="E1137" t="s">
        <v>460</v>
      </c>
      <c r="F1137" t="s">
        <v>9</v>
      </c>
    </row>
    <row r="1138" spans="1:6" x14ac:dyDescent="0.3">
      <c r="A1138" t="s">
        <v>453</v>
      </c>
      <c r="B1138" t="s">
        <v>454</v>
      </c>
      <c r="C1138" t="str">
        <f>HYPERLINK("http://service.sap.com/sap/support/notes/1920118","1920118")</f>
        <v>1920118</v>
      </c>
      <c r="D1138">
        <v>1</v>
      </c>
      <c r="E1138" t="s">
        <v>461</v>
      </c>
      <c r="F1138" t="s">
        <v>9</v>
      </c>
    </row>
    <row r="1139" spans="1:6" x14ac:dyDescent="0.3">
      <c r="A1139" t="s">
        <v>453</v>
      </c>
      <c r="B1139" t="s">
        <v>454</v>
      </c>
      <c r="C1139" t="str">
        <f>HYPERLINK("http://service.sap.com/sap/support/notes/1920329","1920329")</f>
        <v>1920329</v>
      </c>
      <c r="D1139">
        <v>1</v>
      </c>
      <c r="E1139" t="s">
        <v>462</v>
      </c>
      <c r="F1139" t="s">
        <v>9</v>
      </c>
    </row>
    <row r="1140" spans="1:6" x14ac:dyDescent="0.3">
      <c r="A1140" t="s">
        <v>453</v>
      </c>
      <c r="B1140" t="s">
        <v>454</v>
      </c>
      <c r="C1140" t="str">
        <f>HYPERLINK("http://service.sap.com/sap/support/notes/1921316","1921316")</f>
        <v>1921316</v>
      </c>
      <c r="D1140">
        <v>1</v>
      </c>
      <c r="E1140" t="s">
        <v>463</v>
      </c>
      <c r="F1140" t="s">
        <v>9</v>
      </c>
    </row>
    <row r="1141" spans="1:6" x14ac:dyDescent="0.3">
      <c r="A1141" t="s">
        <v>453</v>
      </c>
      <c r="B1141" t="s">
        <v>454</v>
      </c>
      <c r="C1141" t="str">
        <f>HYPERLINK("http://service.sap.com/sap/support/notes/1922681","1922681")</f>
        <v>1922681</v>
      </c>
      <c r="D1141">
        <v>1</v>
      </c>
      <c r="E1141" t="s">
        <v>464</v>
      </c>
      <c r="F1141" t="s">
        <v>9</v>
      </c>
    </row>
    <row r="1142" spans="1:6" x14ac:dyDescent="0.3">
      <c r="A1142" t="s">
        <v>453</v>
      </c>
      <c r="B1142" t="s">
        <v>454</v>
      </c>
      <c r="C1142" t="str">
        <f>HYPERLINK("http://service.sap.com/sap/support/notes/1926167","1926167")</f>
        <v>1926167</v>
      </c>
      <c r="D1142">
        <v>1</v>
      </c>
      <c r="E1142" t="s">
        <v>465</v>
      </c>
      <c r="F1142" t="s">
        <v>28</v>
      </c>
    </row>
    <row r="1143" spans="1:6" x14ac:dyDescent="0.3">
      <c r="A1143" t="s">
        <v>453</v>
      </c>
      <c r="B1143" t="s">
        <v>454</v>
      </c>
      <c r="C1143" t="str">
        <f>HYPERLINK("http://service.sap.com/sap/support/notes/1882284","1882284")</f>
        <v>1882284</v>
      </c>
      <c r="D1143">
        <v>4</v>
      </c>
      <c r="E1143" t="s">
        <v>1183</v>
      </c>
      <c r="F1143" t="s">
        <v>9</v>
      </c>
    </row>
    <row r="1144" spans="1:6" x14ac:dyDescent="0.3">
      <c r="A1144" t="s">
        <v>453</v>
      </c>
      <c r="B1144" t="s">
        <v>454</v>
      </c>
      <c r="C1144" t="str">
        <f>HYPERLINK("http://service.sap.com/sap/support/notes/1922668","1922668")</f>
        <v>1922668</v>
      </c>
      <c r="D1144">
        <v>5</v>
      </c>
      <c r="E1144" t="s">
        <v>1184</v>
      </c>
      <c r="F1144" t="s">
        <v>9</v>
      </c>
    </row>
    <row r="1145" spans="1:6" x14ac:dyDescent="0.3">
      <c r="A1145" t="s">
        <v>453</v>
      </c>
      <c r="B1145" t="s">
        <v>454</v>
      </c>
      <c r="C1145" t="str">
        <f>HYPERLINK("http://service.sap.com/sap/support/notes/1929258","1929258")</f>
        <v>1929258</v>
      </c>
      <c r="D1145">
        <v>3</v>
      </c>
      <c r="E1145" t="s">
        <v>1185</v>
      </c>
      <c r="F1145" t="s">
        <v>9</v>
      </c>
    </row>
    <row r="1146" spans="1:6" x14ac:dyDescent="0.3">
      <c r="A1146" t="s">
        <v>453</v>
      </c>
      <c r="B1146" t="s">
        <v>454</v>
      </c>
      <c r="C1146" t="str">
        <f>HYPERLINK("http://service.sap.com/sap/support/notes/1931119","1931119")</f>
        <v>1931119</v>
      </c>
      <c r="D1146">
        <v>3</v>
      </c>
      <c r="E1146" t="s">
        <v>1186</v>
      </c>
      <c r="F1146" t="s">
        <v>9</v>
      </c>
    </row>
    <row r="1147" spans="1:6" x14ac:dyDescent="0.3">
      <c r="A1147" t="s">
        <v>453</v>
      </c>
      <c r="B1147" t="s">
        <v>454</v>
      </c>
      <c r="C1147" t="str">
        <f>HYPERLINK("http://service.sap.com/sap/support/notes/815445","815445")</f>
        <v>815445</v>
      </c>
      <c r="D1147">
        <v>1</v>
      </c>
      <c r="E1147" t="s">
        <v>1563</v>
      </c>
      <c r="F1147" t="s">
        <v>16</v>
      </c>
    </row>
    <row r="1148" spans="1:6" x14ac:dyDescent="0.3">
      <c r="A1148" t="s">
        <v>453</v>
      </c>
      <c r="B1148" t="s">
        <v>454</v>
      </c>
      <c r="C1148" t="str">
        <f>HYPERLINK("http://service.sap.com/sap/support/notes/1905806","1905806")</f>
        <v>1905806</v>
      </c>
      <c r="D1148">
        <v>14</v>
      </c>
      <c r="E1148" t="s">
        <v>1564</v>
      </c>
      <c r="F1148" t="s">
        <v>9</v>
      </c>
    </row>
    <row r="1149" spans="1:6" x14ac:dyDescent="0.3">
      <c r="A1149" t="s">
        <v>453</v>
      </c>
      <c r="B1149" t="s">
        <v>454</v>
      </c>
      <c r="C1149" t="str">
        <f>HYPERLINK("http://service.sap.com/sap/support/notes/1909686","1909686")</f>
        <v>1909686</v>
      </c>
      <c r="D1149">
        <v>1</v>
      </c>
      <c r="E1149" t="s">
        <v>1565</v>
      </c>
      <c r="F1149" t="s">
        <v>9</v>
      </c>
    </row>
    <row r="1150" spans="1:6" x14ac:dyDescent="0.3">
      <c r="A1150" t="s">
        <v>453</v>
      </c>
      <c r="B1150" t="s">
        <v>454</v>
      </c>
      <c r="C1150" t="str">
        <f>HYPERLINK("http://service.sap.com/sap/support/notes/1914268","1914268")</f>
        <v>1914268</v>
      </c>
      <c r="D1150">
        <v>13</v>
      </c>
      <c r="E1150" t="s">
        <v>1566</v>
      </c>
      <c r="F1150" t="s">
        <v>9</v>
      </c>
    </row>
    <row r="1151" spans="1:6" x14ac:dyDescent="0.3">
      <c r="A1151" t="s">
        <v>453</v>
      </c>
      <c r="B1151" t="s">
        <v>454</v>
      </c>
      <c r="C1151" t="str">
        <f>HYPERLINK("http://service.sap.com/sap/support/notes/1915166","1915166")</f>
        <v>1915166</v>
      </c>
      <c r="D1151">
        <v>1</v>
      </c>
      <c r="E1151" t="s">
        <v>1567</v>
      </c>
      <c r="F1151" t="s">
        <v>9</v>
      </c>
    </row>
    <row r="1152" spans="1:6" x14ac:dyDescent="0.3">
      <c r="A1152" t="s">
        <v>453</v>
      </c>
      <c r="B1152" t="s">
        <v>454</v>
      </c>
      <c r="C1152" t="str">
        <f>HYPERLINK("http://service.sap.com/sap/support/notes/1918187","1918187")</f>
        <v>1918187</v>
      </c>
      <c r="D1152">
        <v>4</v>
      </c>
      <c r="E1152" t="s">
        <v>1568</v>
      </c>
      <c r="F1152" t="s">
        <v>9</v>
      </c>
    </row>
    <row r="1153" spans="1:6" x14ac:dyDescent="0.3">
      <c r="A1153" t="s">
        <v>453</v>
      </c>
      <c r="B1153" t="s">
        <v>454</v>
      </c>
      <c r="C1153" t="str">
        <f>HYPERLINK("http://service.sap.com/sap/support/notes/1931361","1931361")</f>
        <v>1931361</v>
      </c>
      <c r="D1153">
        <v>2</v>
      </c>
      <c r="E1153" t="s">
        <v>1569</v>
      </c>
      <c r="F1153" t="s">
        <v>9</v>
      </c>
    </row>
    <row r="1154" spans="1:6" x14ac:dyDescent="0.3">
      <c r="A1154" t="s">
        <v>453</v>
      </c>
      <c r="B1154" t="s">
        <v>454</v>
      </c>
      <c r="C1154" t="str">
        <f>HYPERLINK("http://service.sap.com/sap/support/notes/1941566","1941566")</f>
        <v>1941566</v>
      </c>
      <c r="D1154">
        <v>2</v>
      </c>
      <c r="E1154" t="s">
        <v>1570</v>
      </c>
      <c r="F1154" t="s">
        <v>9</v>
      </c>
    </row>
    <row r="1155" spans="1:6" x14ac:dyDescent="0.3">
      <c r="A1155" t="s">
        <v>453</v>
      </c>
      <c r="B1155" t="s">
        <v>454</v>
      </c>
      <c r="C1155" t="str">
        <f>HYPERLINK("http://service.sap.com/sap/support/notes/1941757","1941757")</f>
        <v>1941757</v>
      </c>
      <c r="D1155">
        <v>1</v>
      </c>
      <c r="E1155" t="s">
        <v>1571</v>
      </c>
      <c r="F1155" t="s">
        <v>9</v>
      </c>
    </row>
    <row r="1156" spans="1:6" x14ac:dyDescent="0.3">
      <c r="A1156" t="s">
        <v>453</v>
      </c>
      <c r="B1156" t="s">
        <v>454</v>
      </c>
      <c r="C1156" t="str">
        <f>HYPERLINK("http://service.sap.com/sap/support/notes/1943023","1943023")</f>
        <v>1943023</v>
      </c>
      <c r="D1156">
        <v>2</v>
      </c>
      <c r="E1156" t="s">
        <v>1572</v>
      </c>
      <c r="F1156" t="s">
        <v>9</v>
      </c>
    </row>
    <row r="1157" spans="1:6" x14ac:dyDescent="0.3">
      <c r="A1157" t="s">
        <v>453</v>
      </c>
      <c r="B1157" t="s">
        <v>454</v>
      </c>
      <c r="C1157" t="str">
        <f>HYPERLINK("http://service.sap.com/sap/support/notes/1943167","1943167")</f>
        <v>1943167</v>
      </c>
      <c r="D1157">
        <v>3</v>
      </c>
      <c r="E1157" t="s">
        <v>1573</v>
      </c>
      <c r="F1157" t="s">
        <v>9</v>
      </c>
    </row>
    <row r="1158" spans="1:6" x14ac:dyDescent="0.3">
      <c r="A1158" t="s">
        <v>453</v>
      </c>
      <c r="B1158" t="s">
        <v>454</v>
      </c>
      <c r="C1158" t="str">
        <f>HYPERLINK("http://service.sap.com/sap/support/notes/1945341","1945341")</f>
        <v>1945341</v>
      </c>
      <c r="D1158">
        <v>2</v>
      </c>
      <c r="E1158" t="s">
        <v>1574</v>
      </c>
      <c r="F1158" t="s">
        <v>9</v>
      </c>
    </row>
    <row r="1159" spans="1:6" x14ac:dyDescent="0.3">
      <c r="A1159" t="s">
        <v>453</v>
      </c>
      <c r="B1159" t="s">
        <v>454</v>
      </c>
      <c r="C1159" t="str">
        <f>HYPERLINK("http://service.sap.com/sap/support/notes/1949825","1949825")</f>
        <v>1949825</v>
      </c>
      <c r="D1159">
        <v>1</v>
      </c>
      <c r="E1159" t="s">
        <v>1575</v>
      </c>
      <c r="F1159" t="s">
        <v>9</v>
      </c>
    </row>
    <row r="1160" spans="1:6" x14ac:dyDescent="0.3">
      <c r="A1160" t="s">
        <v>453</v>
      </c>
      <c r="B1160" t="s">
        <v>454</v>
      </c>
      <c r="C1160" t="str">
        <f>HYPERLINK("http://service.sap.com/sap/support/notes/1951794","1951794")</f>
        <v>1951794</v>
      </c>
      <c r="D1160">
        <v>2</v>
      </c>
      <c r="E1160" t="s">
        <v>1576</v>
      </c>
      <c r="F1160" t="s">
        <v>9</v>
      </c>
    </row>
    <row r="1161" spans="1:6" x14ac:dyDescent="0.3">
      <c r="A1161" t="s">
        <v>453</v>
      </c>
      <c r="B1161" t="s">
        <v>454</v>
      </c>
      <c r="C1161" t="str">
        <f>HYPERLINK("http://service.sap.com/sap/support/notes/1955915","1955915")</f>
        <v>1955915</v>
      </c>
      <c r="D1161">
        <v>1</v>
      </c>
      <c r="E1161" t="s">
        <v>1577</v>
      </c>
      <c r="F1161" t="s">
        <v>9</v>
      </c>
    </row>
    <row r="1162" spans="1:6" x14ac:dyDescent="0.3">
      <c r="A1162" t="s">
        <v>453</v>
      </c>
      <c r="B1162" t="s">
        <v>454</v>
      </c>
      <c r="C1162" t="str">
        <f>HYPERLINK("http://service.sap.com/sap/support/notes/1955917","1955917")</f>
        <v>1955917</v>
      </c>
      <c r="D1162">
        <v>1</v>
      </c>
      <c r="E1162" t="s">
        <v>1578</v>
      </c>
      <c r="F1162" t="s">
        <v>28</v>
      </c>
    </row>
    <row r="1163" spans="1:6" x14ac:dyDescent="0.3">
      <c r="A1163" t="s">
        <v>453</v>
      </c>
      <c r="B1163" t="s">
        <v>454</v>
      </c>
      <c r="C1163" t="str">
        <f>HYPERLINK("http://service.sap.com/sap/support/notes/1956351","1956351")</f>
        <v>1956351</v>
      </c>
      <c r="D1163">
        <v>2</v>
      </c>
      <c r="E1163" t="s">
        <v>1579</v>
      </c>
      <c r="F1163" t="s">
        <v>9</v>
      </c>
    </row>
    <row r="1164" spans="1:6" x14ac:dyDescent="0.3">
      <c r="A1164" t="s">
        <v>453</v>
      </c>
      <c r="B1164" t="s">
        <v>454</v>
      </c>
      <c r="C1164" t="str">
        <f>HYPERLINK("http://service.sap.com/sap/support/notes/1955685","1955685")</f>
        <v>1955685</v>
      </c>
      <c r="D1164">
        <v>3</v>
      </c>
      <c r="E1164" t="s">
        <v>2097</v>
      </c>
      <c r="F1164" t="s">
        <v>9</v>
      </c>
    </row>
    <row r="1165" spans="1:6" x14ac:dyDescent="0.3">
      <c r="A1165" t="s">
        <v>453</v>
      </c>
      <c r="B1165" t="s">
        <v>454</v>
      </c>
      <c r="C1165" t="str">
        <f>HYPERLINK("http://service.sap.com/sap/support/notes/1955773","1955773")</f>
        <v>1955773</v>
      </c>
      <c r="D1165">
        <v>1</v>
      </c>
      <c r="E1165" t="s">
        <v>2098</v>
      </c>
      <c r="F1165" t="s">
        <v>9</v>
      </c>
    </row>
    <row r="1166" spans="1:6" x14ac:dyDescent="0.3">
      <c r="A1166" t="s">
        <v>453</v>
      </c>
      <c r="B1166" t="s">
        <v>454</v>
      </c>
      <c r="C1166" t="str">
        <f>HYPERLINK("http://service.sap.com/sap/support/notes/1958590","1958590")</f>
        <v>1958590</v>
      </c>
      <c r="D1166">
        <v>1</v>
      </c>
      <c r="E1166" t="s">
        <v>2099</v>
      </c>
      <c r="F1166" t="s">
        <v>9</v>
      </c>
    </row>
    <row r="1167" spans="1:6" x14ac:dyDescent="0.3">
      <c r="A1167" t="s">
        <v>453</v>
      </c>
      <c r="B1167" t="s">
        <v>454</v>
      </c>
      <c r="C1167" t="str">
        <f>HYPERLINK("http://service.sap.com/sap/support/notes/1961740","1961740")</f>
        <v>1961740</v>
      </c>
      <c r="D1167">
        <v>2</v>
      </c>
      <c r="E1167" t="s">
        <v>2100</v>
      </c>
      <c r="F1167" t="s">
        <v>9</v>
      </c>
    </row>
    <row r="1168" spans="1:6" x14ac:dyDescent="0.3">
      <c r="A1168" t="s">
        <v>453</v>
      </c>
      <c r="B1168" t="s">
        <v>454</v>
      </c>
      <c r="C1168" t="str">
        <f>HYPERLINK("http://service.sap.com/sap/support/notes/1963608","1963608")</f>
        <v>1963608</v>
      </c>
      <c r="D1168">
        <v>1</v>
      </c>
      <c r="E1168" t="s">
        <v>1570</v>
      </c>
      <c r="F1168" t="s">
        <v>9</v>
      </c>
    </row>
    <row r="1169" spans="1:6" x14ac:dyDescent="0.3">
      <c r="A1169" t="s">
        <v>453</v>
      </c>
      <c r="B1169" t="s">
        <v>454</v>
      </c>
      <c r="C1169" t="str">
        <f>HYPERLINK("http://service.sap.com/sap/support/notes/1967992","1967992")</f>
        <v>1967992</v>
      </c>
      <c r="D1169">
        <v>1</v>
      </c>
      <c r="E1169" t="s">
        <v>2101</v>
      </c>
      <c r="F1169" t="s">
        <v>9</v>
      </c>
    </row>
    <row r="1170" spans="1:6" x14ac:dyDescent="0.3">
      <c r="A1170" t="s">
        <v>453</v>
      </c>
      <c r="B1170" t="s">
        <v>454</v>
      </c>
      <c r="C1170" t="str">
        <f>HYPERLINK("http://service.sap.com/sap/support/notes/1969461","1969461")</f>
        <v>1969461</v>
      </c>
      <c r="D1170">
        <v>1</v>
      </c>
      <c r="E1170" t="s">
        <v>2102</v>
      </c>
      <c r="F1170" t="s">
        <v>9</v>
      </c>
    </row>
    <row r="1171" spans="1:6" x14ac:dyDescent="0.3">
      <c r="A1171" t="s">
        <v>453</v>
      </c>
      <c r="B1171" t="s">
        <v>454</v>
      </c>
      <c r="C1171" t="str">
        <f>HYPERLINK("http://service.sap.com/sap/support/notes/1969995","1969995")</f>
        <v>1969995</v>
      </c>
      <c r="D1171">
        <v>1</v>
      </c>
      <c r="E1171" t="s">
        <v>2103</v>
      </c>
      <c r="F1171" t="s">
        <v>9</v>
      </c>
    </row>
    <row r="1172" spans="1:6" x14ac:dyDescent="0.3">
      <c r="A1172" t="s">
        <v>453</v>
      </c>
      <c r="B1172" t="s">
        <v>454</v>
      </c>
      <c r="C1172" t="str">
        <f>HYPERLINK("http://service.sap.com/sap/support/notes/1915141","1915141")</f>
        <v>1915141</v>
      </c>
      <c r="D1172">
        <v>3</v>
      </c>
      <c r="E1172" t="s">
        <v>2443</v>
      </c>
      <c r="F1172" t="s">
        <v>28</v>
      </c>
    </row>
    <row r="1173" spans="1:6" x14ac:dyDescent="0.3">
      <c r="A1173" t="s">
        <v>453</v>
      </c>
      <c r="B1173" t="s">
        <v>454</v>
      </c>
      <c r="C1173" t="str">
        <f>HYPERLINK("http://service.sap.com/sap/support/notes/1956522","1956522")</f>
        <v>1956522</v>
      </c>
      <c r="D1173">
        <v>10</v>
      </c>
      <c r="E1173" t="s">
        <v>2444</v>
      </c>
      <c r="F1173" t="s">
        <v>9</v>
      </c>
    </row>
    <row r="1174" spans="1:6" x14ac:dyDescent="0.3">
      <c r="A1174" t="s">
        <v>453</v>
      </c>
      <c r="B1174" t="s">
        <v>454</v>
      </c>
      <c r="C1174" t="str">
        <f>HYPERLINK("http://service.sap.com/sap/support/notes/1964303","1964303")</f>
        <v>1964303</v>
      </c>
      <c r="D1174">
        <v>4</v>
      </c>
      <c r="E1174" t="s">
        <v>2445</v>
      </c>
      <c r="F1174" t="s">
        <v>9</v>
      </c>
    </row>
    <row r="1175" spans="1:6" x14ac:dyDescent="0.3">
      <c r="A1175" t="s">
        <v>453</v>
      </c>
      <c r="B1175" t="s">
        <v>454</v>
      </c>
      <c r="C1175" t="str">
        <f>HYPERLINK("http://service.sap.com/sap/support/notes/815445","815445")</f>
        <v>815445</v>
      </c>
      <c r="D1175">
        <v>1</v>
      </c>
      <c r="E1175" t="s">
        <v>1563</v>
      </c>
      <c r="F1175" t="s">
        <v>16</v>
      </c>
    </row>
    <row r="1176" spans="1:6" x14ac:dyDescent="0.3">
      <c r="A1176" t="s">
        <v>453</v>
      </c>
      <c r="B1176" t="s">
        <v>454</v>
      </c>
      <c r="C1176" t="str">
        <f>HYPERLINK("http://service.sap.com/sap/support/notes/1857406","1857406")</f>
        <v>1857406</v>
      </c>
      <c r="D1176">
        <v>5</v>
      </c>
      <c r="E1176" t="s">
        <v>2869</v>
      </c>
      <c r="F1176" t="s">
        <v>9</v>
      </c>
    </row>
    <row r="1177" spans="1:6" x14ac:dyDescent="0.3">
      <c r="A1177" t="s">
        <v>453</v>
      </c>
      <c r="B1177" t="s">
        <v>454</v>
      </c>
      <c r="C1177" t="str">
        <f>HYPERLINK("http://service.sap.com/sap/support/notes/1898919","1898919")</f>
        <v>1898919</v>
      </c>
      <c r="D1177">
        <v>2</v>
      </c>
      <c r="E1177" t="s">
        <v>2870</v>
      </c>
      <c r="F1177" t="s">
        <v>9</v>
      </c>
    </row>
    <row r="1178" spans="1:6" x14ac:dyDescent="0.3">
      <c r="A1178" t="s">
        <v>453</v>
      </c>
      <c r="B1178" t="s">
        <v>454</v>
      </c>
      <c r="C1178" t="str">
        <f>HYPERLINK("http://service.sap.com/sap/support/notes/1956522","1956522")</f>
        <v>1956522</v>
      </c>
      <c r="D1178">
        <v>10</v>
      </c>
      <c r="E1178" t="s">
        <v>2871</v>
      </c>
      <c r="F1178" t="s">
        <v>9</v>
      </c>
    </row>
    <row r="1179" spans="1:6" x14ac:dyDescent="0.3">
      <c r="A1179" t="s">
        <v>453</v>
      </c>
      <c r="B1179" t="s">
        <v>454</v>
      </c>
      <c r="C1179" t="str">
        <f>HYPERLINK("http://service.sap.com/sap/support/notes/1956937","1956937")</f>
        <v>1956937</v>
      </c>
      <c r="D1179">
        <v>4</v>
      </c>
      <c r="E1179" t="s">
        <v>2872</v>
      </c>
      <c r="F1179" t="s">
        <v>9</v>
      </c>
    </row>
    <row r="1180" spans="1:6" x14ac:dyDescent="0.3">
      <c r="A1180" t="s">
        <v>453</v>
      </c>
      <c r="B1180" t="s">
        <v>454</v>
      </c>
      <c r="C1180" t="str">
        <f>HYPERLINK("http://service.sap.com/sap/support/notes/1961760","1961760")</f>
        <v>1961760</v>
      </c>
      <c r="D1180">
        <v>3</v>
      </c>
      <c r="E1180" t="s">
        <v>2873</v>
      </c>
      <c r="F1180" t="s">
        <v>9</v>
      </c>
    </row>
    <row r="1181" spans="1:6" x14ac:dyDescent="0.3">
      <c r="A1181" t="s">
        <v>453</v>
      </c>
      <c r="B1181" t="s">
        <v>454</v>
      </c>
      <c r="C1181" t="str">
        <f>HYPERLINK("http://service.sap.com/sap/support/notes/1967538","1967538")</f>
        <v>1967538</v>
      </c>
      <c r="D1181">
        <v>4</v>
      </c>
      <c r="E1181" t="s">
        <v>2874</v>
      </c>
      <c r="F1181" t="s">
        <v>9</v>
      </c>
    </row>
    <row r="1182" spans="1:6" x14ac:dyDescent="0.3">
      <c r="A1182" t="s">
        <v>453</v>
      </c>
      <c r="B1182" t="s">
        <v>454</v>
      </c>
      <c r="C1182" t="str">
        <f>HYPERLINK("http://service.sap.com/sap/support/notes/1972483","1972483")</f>
        <v>1972483</v>
      </c>
      <c r="D1182">
        <v>3</v>
      </c>
      <c r="E1182" t="s">
        <v>2875</v>
      </c>
      <c r="F1182" t="s">
        <v>9</v>
      </c>
    </row>
    <row r="1183" spans="1:6" x14ac:dyDescent="0.3">
      <c r="A1183" t="s">
        <v>453</v>
      </c>
      <c r="B1183" t="s">
        <v>454</v>
      </c>
      <c r="C1183" t="str">
        <f>HYPERLINK("http://service.sap.com/sap/support/notes/1982236","1982236")</f>
        <v>1982236</v>
      </c>
      <c r="D1183">
        <v>4</v>
      </c>
      <c r="E1183" t="s">
        <v>2876</v>
      </c>
      <c r="F1183" t="s">
        <v>9</v>
      </c>
    </row>
    <row r="1184" spans="1:6" x14ac:dyDescent="0.3">
      <c r="A1184" t="s">
        <v>453</v>
      </c>
      <c r="B1184" t="s">
        <v>454</v>
      </c>
      <c r="C1184" t="str">
        <f>HYPERLINK("http://service.sap.com/sap/support/notes/1982680","1982680")</f>
        <v>1982680</v>
      </c>
      <c r="D1184">
        <v>2</v>
      </c>
      <c r="E1184" t="s">
        <v>2877</v>
      </c>
      <c r="F1184" t="s">
        <v>9</v>
      </c>
    </row>
    <row r="1185" spans="1:6" x14ac:dyDescent="0.3">
      <c r="A1185" t="s">
        <v>453</v>
      </c>
      <c r="B1185" t="s">
        <v>454</v>
      </c>
      <c r="C1185" t="str">
        <f>HYPERLINK("http://service.sap.com/sap/support/notes/1984229","1984229")</f>
        <v>1984229</v>
      </c>
      <c r="D1185">
        <v>3</v>
      </c>
      <c r="E1185" t="s">
        <v>2878</v>
      </c>
      <c r="F1185" t="s">
        <v>9</v>
      </c>
    </row>
    <row r="1186" spans="1:6" x14ac:dyDescent="0.3">
      <c r="A1186" t="s">
        <v>453</v>
      </c>
      <c r="B1186" t="s">
        <v>454</v>
      </c>
      <c r="C1186" t="str">
        <f>HYPERLINK("http://service.sap.com/sap/support/notes/1987548","1987548")</f>
        <v>1987548</v>
      </c>
      <c r="D1186">
        <v>1</v>
      </c>
      <c r="E1186" t="s">
        <v>2879</v>
      </c>
      <c r="F1186" t="s">
        <v>9</v>
      </c>
    </row>
    <row r="1187" spans="1:6" x14ac:dyDescent="0.3">
      <c r="A1187" t="s">
        <v>453</v>
      </c>
      <c r="B1187" t="s">
        <v>454</v>
      </c>
      <c r="C1187" t="str">
        <f>HYPERLINK("http://service.sap.com/sap/support/notes/1990489","1990489")</f>
        <v>1990489</v>
      </c>
      <c r="D1187">
        <v>1</v>
      </c>
      <c r="E1187" t="s">
        <v>2880</v>
      </c>
      <c r="F1187" t="s">
        <v>9</v>
      </c>
    </row>
    <row r="1188" spans="1:6" x14ac:dyDescent="0.3">
      <c r="A1188" t="s">
        <v>453</v>
      </c>
      <c r="B1188" t="s">
        <v>454</v>
      </c>
      <c r="C1188" t="str">
        <f>HYPERLINK("http://service.sap.com/sap/support/notes/1991374","1991374")</f>
        <v>1991374</v>
      </c>
      <c r="D1188">
        <v>1</v>
      </c>
      <c r="E1188" t="s">
        <v>2881</v>
      </c>
      <c r="F1188" t="s">
        <v>9</v>
      </c>
    </row>
    <row r="1189" spans="1:6" x14ac:dyDescent="0.3">
      <c r="A1189" t="s">
        <v>453</v>
      </c>
      <c r="B1189" t="s">
        <v>454</v>
      </c>
      <c r="C1189" t="str">
        <f>HYPERLINK("http://service.sap.com/sap/support/notes/1992433","1992433")</f>
        <v>1992433</v>
      </c>
      <c r="D1189">
        <v>8</v>
      </c>
      <c r="E1189" t="s">
        <v>2882</v>
      </c>
      <c r="F1189" t="s">
        <v>9</v>
      </c>
    </row>
    <row r="1190" spans="1:6" x14ac:dyDescent="0.3">
      <c r="A1190" t="s">
        <v>453</v>
      </c>
      <c r="B1190" t="s">
        <v>454</v>
      </c>
      <c r="C1190" t="str">
        <f>HYPERLINK("http://service.sap.com/sap/support/notes/1993510","1993510")</f>
        <v>1993510</v>
      </c>
      <c r="D1190">
        <v>1</v>
      </c>
      <c r="E1190" t="s">
        <v>2883</v>
      </c>
      <c r="F1190" t="s">
        <v>9</v>
      </c>
    </row>
    <row r="1191" spans="1:6" x14ac:dyDescent="0.3">
      <c r="A1191" t="s">
        <v>453</v>
      </c>
      <c r="B1191" t="s">
        <v>454</v>
      </c>
      <c r="C1191" t="str">
        <f>HYPERLINK("http://service.sap.com/sap/support/notes/1994887","1994887")</f>
        <v>1994887</v>
      </c>
      <c r="D1191">
        <v>1</v>
      </c>
      <c r="E1191" t="s">
        <v>2884</v>
      </c>
      <c r="F1191" t="s">
        <v>9</v>
      </c>
    </row>
    <row r="1192" spans="1:6" x14ac:dyDescent="0.3">
      <c r="A1192" t="s">
        <v>453</v>
      </c>
      <c r="B1192" t="s">
        <v>454</v>
      </c>
      <c r="C1192" t="str">
        <f>HYPERLINK("http://service.sap.com/sap/support/notes/1915737","1915737")</f>
        <v>1915737</v>
      </c>
      <c r="D1192">
        <v>2</v>
      </c>
      <c r="E1192" t="s">
        <v>3537</v>
      </c>
      <c r="F1192" t="s">
        <v>9</v>
      </c>
    </row>
    <row r="1193" spans="1:6" x14ac:dyDescent="0.3">
      <c r="A1193" t="s">
        <v>453</v>
      </c>
      <c r="B1193" t="s">
        <v>454</v>
      </c>
      <c r="C1193" t="str">
        <f>HYPERLINK("http://service.sap.com/sap/support/notes/1948118","1948118")</f>
        <v>1948118</v>
      </c>
      <c r="D1193">
        <v>2</v>
      </c>
      <c r="E1193" t="s">
        <v>3538</v>
      </c>
      <c r="F1193" t="s">
        <v>9</v>
      </c>
    </row>
    <row r="1194" spans="1:6" x14ac:dyDescent="0.3">
      <c r="A1194" t="s">
        <v>453</v>
      </c>
      <c r="B1194" t="s">
        <v>454</v>
      </c>
      <c r="C1194" t="str">
        <f>HYPERLINK("http://service.sap.com/sap/support/notes/1955994","1955994")</f>
        <v>1955994</v>
      </c>
      <c r="D1194">
        <v>5</v>
      </c>
      <c r="E1194" t="s">
        <v>3539</v>
      </c>
      <c r="F1194" t="s">
        <v>9</v>
      </c>
    </row>
    <row r="1195" spans="1:6" x14ac:dyDescent="0.3">
      <c r="A1195" t="s">
        <v>453</v>
      </c>
      <c r="B1195" t="s">
        <v>454</v>
      </c>
      <c r="C1195" t="str">
        <f>HYPERLINK("http://service.sap.com/sap/support/notes/1979650","1979650")</f>
        <v>1979650</v>
      </c>
      <c r="D1195">
        <v>7</v>
      </c>
      <c r="E1195" t="s">
        <v>3540</v>
      </c>
      <c r="F1195" t="s">
        <v>9</v>
      </c>
    </row>
    <row r="1196" spans="1:6" x14ac:dyDescent="0.3">
      <c r="A1196" t="s">
        <v>453</v>
      </c>
      <c r="B1196" t="s">
        <v>454</v>
      </c>
      <c r="C1196" t="str">
        <f>HYPERLINK("http://service.sap.com/sap/support/notes/1994842","1994842")</f>
        <v>1994842</v>
      </c>
      <c r="D1196">
        <v>2</v>
      </c>
      <c r="E1196" t="s">
        <v>3541</v>
      </c>
      <c r="F1196" t="s">
        <v>9</v>
      </c>
    </row>
    <row r="1197" spans="1:6" x14ac:dyDescent="0.3">
      <c r="A1197" t="s">
        <v>453</v>
      </c>
      <c r="B1197" t="s">
        <v>454</v>
      </c>
      <c r="C1197" t="str">
        <f>HYPERLINK("http://service.sap.com/sap/support/notes/1996112","1996112")</f>
        <v>1996112</v>
      </c>
      <c r="D1197">
        <v>2</v>
      </c>
      <c r="E1197" t="s">
        <v>3542</v>
      </c>
      <c r="F1197" t="s">
        <v>9</v>
      </c>
    </row>
    <row r="1198" spans="1:6" x14ac:dyDescent="0.3">
      <c r="A1198" t="s">
        <v>453</v>
      </c>
      <c r="B1198" t="s">
        <v>454</v>
      </c>
      <c r="C1198" t="str">
        <f>HYPERLINK("http://service.sap.com/sap/support/notes/1996123","1996123")</f>
        <v>1996123</v>
      </c>
      <c r="D1198">
        <v>3</v>
      </c>
      <c r="E1198" t="s">
        <v>3543</v>
      </c>
      <c r="F1198" t="s">
        <v>9</v>
      </c>
    </row>
    <row r="1199" spans="1:6" x14ac:dyDescent="0.3">
      <c r="A1199" t="s">
        <v>453</v>
      </c>
      <c r="B1199" t="s">
        <v>454</v>
      </c>
      <c r="C1199" t="str">
        <f>HYPERLINK("http://service.sap.com/sap/support/notes/1999098","1999098")</f>
        <v>1999098</v>
      </c>
      <c r="D1199">
        <v>1</v>
      </c>
      <c r="E1199" t="s">
        <v>3544</v>
      </c>
      <c r="F1199" t="s">
        <v>28</v>
      </c>
    </row>
    <row r="1200" spans="1:6" x14ac:dyDescent="0.3">
      <c r="A1200" t="s">
        <v>453</v>
      </c>
      <c r="B1200" t="s">
        <v>454</v>
      </c>
      <c r="C1200" t="str">
        <f>HYPERLINK("http://service.sap.com/sap/support/notes/1999432","1999432")</f>
        <v>1999432</v>
      </c>
      <c r="D1200">
        <v>1</v>
      </c>
      <c r="E1200" t="s">
        <v>3545</v>
      </c>
      <c r="F1200" t="s">
        <v>9</v>
      </c>
    </row>
    <row r="1201" spans="1:6" x14ac:dyDescent="0.3">
      <c r="A1201" t="s">
        <v>453</v>
      </c>
      <c r="B1201" t="s">
        <v>454</v>
      </c>
      <c r="C1201" t="str">
        <f>HYPERLINK("http://service.sap.com/sap/support/notes/2000068","2000068")</f>
        <v>2000068</v>
      </c>
      <c r="D1201">
        <v>1</v>
      </c>
      <c r="E1201" t="s">
        <v>3546</v>
      </c>
      <c r="F1201" t="s">
        <v>9</v>
      </c>
    </row>
    <row r="1202" spans="1:6" x14ac:dyDescent="0.3">
      <c r="A1202" t="s">
        <v>453</v>
      </c>
      <c r="B1202" t="s">
        <v>454</v>
      </c>
      <c r="C1202" t="str">
        <f>HYPERLINK("http://service.sap.com/sap/support/notes/2001285","2001285")</f>
        <v>2001285</v>
      </c>
      <c r="D1202">
        <v>1</v>
      </c>
      <c r="E1202" t="s">
        <v>3547</v>
      </c>
      <c r="F1202" t="s">
        <v>9</v>
      </c>
    </row>
    <row r="1203" spans="1:6" x14ac:dyDescent="0.3">
      <c r="A1203" t="s">
        <v>453</v>
      </c>
      <c r="B1203" t="s">
        <v>454</v>
      </c>
      <c r="C1203" t="str">
        <f>HYPERLINK("http://service.sap.com/sap/support/notes/2001347","2001347")</f>
        <v>2001347</v>
      </c>
      <c r="D1203">
        <v>1</v>
      </c>
      <c r="E1203" t="s">
        <v>3548</v>
      </c>
      <c r="F1203" t="s">
        <v>9</v>
      </c>
    </row>
    <row r="1204" spans="1:6" x14ac:dyDescent="0.3">
      <c r="A1204" t="s">
        <v>453</v>
      </c>
      <c r="B1204" t="s">
        <v>454</v>
      </c>
      <c r="C1204" t="str">
        <f>HYPERLINK("http://service.sap.com/sap/support/notes/2001826","2001826")</f>
        <v>2001826</v>
      </c>
      <c r="D1204">
        <v>1</v>
      </c>
      <c r="E1204" t="s">
        <v>3549</v>
      </c>
      <c r="F1204" t="s">
        <v>9</v>
      </c>
    </row>
    <row r="1205" spans="1:6" x14ac:dyDescent="0.3">
      <c r="A1205" t="s">
        <v>453</v>
      </c>
      <c r="B1205" t="s">
        <v>454</v>
      </c>
      <c r="C1205" t="str">
        <f>HYPERLINK("http://service.sap.com/sap/support/notes/2002987","2002987")</f>
        <v>2002987</v>
      </c>
      <c r="D1205">
        <v>1</v>
      </c>
      <c r="E1205" t="s">
        <v>3550</v>
      </c>
      <c r="F1205" t="s">
        <v>9</v>
      </c>
    </row>
    <row r="1206" spans="1:6" x14ac:dyDescent="0.3">
      <c r="A1206" t="s">
        <v>453</v>
      </c>
      <c r="B1206" t="s">
        <v>454</v>
      </c>
      <c r="C1206" t="str">
        <f>HYPERLINK("http://service.sap.com/sap/support/notes/2003233","2003233")</f>
        <v>2003233</v>
      </c>
      <c r="D1206">
        <v>1</v>
      </c>
      <c r="E1206" t="s">
        <v>3551</v>
      </c>
      <c r="F1206" t="s">
        <v>9</v>
      </c>
    </row>
    <row r="1207" spans="1:6" x14ac:dyDescent="0.3">
      <c r="A1207" t="s">
        <v>453</v>
      </c>
      <c r="B1207" t="s">
        <v>454</v>
      </c>
      <c r="C1207" t="str">
        <f>HYPERLINK("http://service.sap.com/sap/support/notes/2003269","2003269")</f>
        <v>2003269</v>
      </c>
      <c r="D1207">
        <v>1</v>
      </c>
      <c r="E1207" t="s">
        <v>3552</v>
      </c>
      <c r="F1207" t="s">
        <v>9</v>
      </c>
    </row>
    <row r="1208" spans="1:6" x14ac:dyDescent="0.3">
      <c r="A1208" t="s">
        <v>453</v>
      </c>
      <c r="B1208" t="s">
        <v>454</v>
      </c>
      <c r="C1208" t="str">
        <f>HYPERLINK("http://service.sap.com/sap/support/notes/2003274","2003274")</f>
        <v>2003274</v>
      </c>
      <c r="D1208">
        <v>2</v>
      </c>
      <c r="E1208" t="s">
        <v>3553</v>
      </c>
      <c r="F1208" t="s">
        <v>9</v>
      </c>
    </row>
    <row r="1209" spans="1:6" x14ac:dyDescent="0.3">
      <c r="A1209" t="s">
        <v>453</v>
      </c>
      <c r="B1209" t="s">
        <v>454</v>
      </c>
      <c r="C1209" t="str">
        <f>HYPERLINK("http://service.sap.com/sap/support/notes/2005032","2005032")</f>
        <v>2005032</v>
      </c>
      <c r="D1209">
        <v>1</v>
      </c>
      <c r="E1209" t="s">
        <v>3554</v>
      </c>
      <c r="F1209" t="s">
        <v>9</v>
      </c>
    </row>
    <row r="1210" spans="1:6" x14ac:dyDescent="0.3">
      <c r="A1210" t="s">
        <v>453</v>
      </c>
      <c r="B1210" t="s">
        <v>454</v>
      </c>
      <c r="C1210" t="str">
        <f>HYPERLINK("http://service.sap.com/sap/support/notes/2005710","2005710")</f>
        <v>2005710</v>
      </c>
      <c r="D1210">
        <v>2</v>
      </c>
      <c r="E1210" t="s">
        <v>3555</v>
      </c>
      <c r="F1210" t="s">
        <v>9</v>
      </c>
    </row>
    <row r="1211" spans="1:6" x14ac:dyDescent="0.3">
      <c r="A1211" t="s">
        <v>453</v>
      </c>
      <c r="B1211" t="s">
        <v>454</v>
      </c>
      <c r="C1211" t="str">
        <f>HYPERLINK("http://service.sap.com/sap/support/notes/2006334","2006334")</f>
        <v>2006334</v>
      </c>
      <c r="D1211">
        <v>1</v>
      </c>
      <c r="E1211" t="s">
        <v>3556</v>
      </c>
      <c r="F1211" t="s">
        <v>9</v>
      </c>
    </row>
    <row r="1212" spans="1:6" x14ac:dyDescent="0.3">
      <c r="A1212" t="s">
        <v>453</v>
      </c>
      <c r="B1212" t="s">
        <v>454</v>
      </c>
      <c r="C1212" t="str">
        <f>HYPERLINK("http://service.sap.com/sap/support/notes/2009086","2009086")</f>
        <v>2009086</v>
      </c>
      <c r="D1212">
        <v>1</v>
      </c>
      <c r="E1212" t="s">
        <v>3557</v>
      </c>
      <c r="F1212" t="s">
        <v>9</v>
      </c>
    </row>
    <row r="1213" spans="1:6" x14ac:dyDescent="0.3">
      <c r="A1213" t="s">
        <v>453</v>
      </c>
      <c r="B1213" t="s">
        <v>454</v>
      </c>
      <c r="C1213" t="str">
        <f>HYPERLINK("http://service.sap.com/sap/support/notes/2010181","2010181")</f>
        <v>2010181</v>
      </c>
      <c r="D1213">
        <v>1</v>
      </c>
      <c r="E1213" t="s">
        <v>3558</v>
      </c>
      <c r="F1213" t="s">
        <v>9</v>
      </c>
    </row>
    <row r="1214" spans="1:6" x14ac:dyDescent="0.3">
      <c r="A1214" t="s">
        <v>453</v>
      </c>
      <c r="B1214" t="s">
        <v>454</v>
      </c>
      <c r="C1214" t="str">
        <f>HYPERLINK("http://service.sap.com/sap/support/notes/2013984","2013984")</f>
        <v>2013984</v>
      </c>
      <c r="D1214">
        <v>1</v>
      </c>
      <c r="E1214" t="s">
        <v>4076</v>
      </c>
      <c r="F1214" t="s">
        <v>9</v>
      </c>
    </row>
    <row r="1215" spans="1:6" x14ac:dyDescent="0.3">
      <c r="A1215" t="s">
        <v>453</v>
      </c>
      <c r="B1215" t="s">
        <v>454</v>
      </c>
      <c r="C1215" t="str">
        <f>HYPERLINK("http://service.sap.com/sap/support/notes/2014005","2014005")</f>
        <v>2014005</v>
      </c>
      <c r="D1215">
        <v>1</v>
      </c>
      <c r="E1215" t="s">
        <v>4077</v>
      </c>
      <c r="F1215" t="s">
        <v>9</v>
      </c>
    </row>
    <row r="1216" spans="1:6" x14ac:dyDescent="0.3">
      <c r="A1216" t="s">
        <v>453</v>
      </c>
      <c r="B1216" t="s">
        <v>454</v>
      </c>
      <c r="C1216" t="str">
        <f>HYPERLINK("http://service.sap.com/sap/support/notes/2014486","2014486")</f>
        <v>2014486</v>
      </c>
      <c r="D1216">
        <v>1</v>
      </c>
      <c r="E1216" t="s">
        <v>4078</v>
      </c>
      <c r="F1216" t="s">
        <v>9</v>
      </c>
    </row>
    <row r="1217" spans="1:6" x14ac:dyDescent="0.3">
      <c r="A1217" t="s">
        <v>453</v>
      </c>
      <c r="B1217" t="s">
        <v>454</v>
      </c>
      <c r="C1217" t="str">
        <f>HYPERLINK("http://service.sap.com/sap/support/notes/2014515","2014515")</f>
        <v>2014515</v>
      </c>
      <c r="D1217">
        <v>3</v>
      </c>
      <c r="E1217" t="s">
        <v>4079</v>
      </c>
      <c r="F1217" t="s">
        <v>9</v>
      </c>
    </row>
    <row r="1218" spans="1:6" x14ac:dyDescent="0.3">
      <c r="A1218" t="s">
        <v>453</v>
      </c>
      <c r="B1218" t="s">
        <v>454</v>
      </c>
      <c r="C1218" t="str">
        <f>HYPERLINK("http://service.sap.com/sap/support/notes/2014654","2014654")</f>
        <v>2014654</v>
      </c>
      <c r="D1218">
        <v>1</v>
      </c>
      <c r="E1218" t="s">
        <v>4080</v>
      </c>
      <c r="F1218" t="s">
        <v>9</v>
      </c>
    </row>
    <row r="1219" spans="1:6" x14ac:dyDescent="0.3">
      <c r="A1219" t="s">
        <v>453</v>
      </c>
      <c r="B1219" t="s">
        <v>454</v>
      </c>
      <c r="C1219" t="str">
        <f>HYPERLINK("http://service.sap.com/sap/support/notes/2018994","2018994")</f>
        <v>2018994</v>
      </c>
      <c r="D1219">
        <v>1</v>
      </c>
      <c r="E1219" t="s">
        <v>4081</v>
      </c>
      <c r="F1219" t="s">
        <v>9</v>
      </c>
    </row>
    <row r="1220" spans="1:6" x14ac:dyDescent="0.3">
      <c r="A1220" t="s">
        <v>453</v>
      </c>
      <c r="B1220" t="s">
        <v>454</v>
      </c>
      <c r="C1220" t="str">
        <f>HYPERLINK("http://service.sap.com/sap/support/notes/2020007","2020007")</f>
        <v>2020007</v>
      </c>
      <c r="D1220">
        <v>1</v>
      </c>
      <c r="E1220" t="s">
        <v>4082</v>
      </c>
      <c r="F1220" t="s">
        <v>9</v>
      </c>
    </row>
    <row r="1221" spans="1:6" x14ac:dyDescent="0.3">
      <c r="A1221" t="s">
        <v>453</v>
      </c>
      <c r="B1221" t="s">
        <v>454</v>
      </c>
      <c r="C1221" t="str">
        <f>HYPERLINK("http://service.sap.com/sap/support/notes/2022738","2022738")</f>
        <v>2022738</v>
      </c>
      <c r="D1221">
        <v>2</v>
      </c>
      <c r="E1221" t="s">
        <v>4422</v>
      </c>
      <c r="F1221" t="s">
        <v>9</v>
      </c>
    </row>
    <row r="1222" spans="1:6" x14ac:dyDescent="0.3">
      <c r="A1222" t="s">
        <v>453</v>
      </c>
      <c r="B1222" t="s">
        <v>454</v>
      </c>
      <c r="C1222" t="str">
        <f>HYPERLINK("http://service.sap.com/sap/support/notes/2023255","2023255")</f>
        <v>2023255</v>
      </c>
      <c r="D1222">
        <v>2</v>
      </c>
      <c r="E1222" t="s">
        <v>4423</v>
      </c>
      <c r="F1222" t="s">
        <v>9</v>
      </c>
    </row>
    <row r="1223" spans="1:6" x14ac:dyDescent="0.3">
      <c r="A1223" t="s">
        <v>453</v>
      </c>
      <c r="B1223" t="s">
        <v>454</v>
      </c>
      <c r="C1223" t="str">
        <f>HYPERLINK("http://service.sap.com/sap/support/notes/2023683","2023683")</f>
        <v>2023683</v>
      </c>
      <c r="D1223">
        <v>2</v>
      </c>
      <c r="E1223" t="s">
        <v>4424</v>
      </c>
      <c r="F1223" t="s">
        <v>9</v>
      </c>
    </row>
    <row r="1224" spans="1:6" x14ac:dyDescent="0.3">
      <c r="A1224" t="s">
        <v>453</v>
      </c>
      <c r="B1224" t="s">
        <v>454</v>
      </c>
      <c r="C1224" t="str">
        <f>HYPERLINK("http://service.sap.com/sap/support/notes/2023777","2023777")</f>
        <v>2023777</v>
      </c>
      <c r="D1224">
        <v>2</v>
      </c>
      <c r="E1224" t="s">
        <v>4425</v>
      </c>
      <c r="F1224" t="s">
        <v>9</v>
      </c>
    </row>
    <row r="1225" spans="1:6" x14ac:dyDescent="0.3">
      <c r="A1225" t="s">
        <v>453</v>
      </c>
      <c r="B1225" t="s">
        <v>454</v>
      </c>
      <c r="C1225" t="str">
        <f>HYPERLINK("http://service.sap.com/sap/support/notes/2023983","2023983")</f>
        <v>2023983</v>
      </c>
      <c r="D1225">
        <v>2</v>
      </c>
      <c r="E1225" t="s">
        <v>4426</v>
      </c>
      <c r="F1225" t="s">
        <v>9</v>
      </c>
    </row>
    <row r="1226" spans="1:6" x14ac:dyDescent="0.3">
      <c r="A1226" t="s">
        <v>453</v>
      </c>
      <c r="B1226" t="s">
        <v>454</v>
      </c>
      <c r="C1226" t="str">
        <f>HYPERLINK("http://service.sap.com/sap/support/notes/2025460","2025460")</f>
        <v>2025460</v>
      </c>
      <c r="D1226">
        <v>1</v>
      </c>
      <c r="E1226" t="s">
        <v>4427</v>
      </c>
      <c r="F1226" t="s">
        <v>9</v>
      </c>
    </row>
    <row r="1227" spans="1:6" x14ac:dyDescent="0.3">
      <c r="A1227" t="s">
        <v>453</v>
      </c>
      <c r="B1227" t="s">
        <v>454</v>
      </c>
      <c r="C1227" t="str">
        <f>HYPERLINK("http://service.sap.com/sap/support/notes/2025475","2025475")</f>
        <v>2025475</v>
      </c>
      <c r="D1227">
        <v>1</v>
      </c>
      <c r="E1227" t="s">
        <v>4428</v>
      </c>
      <c r="F1227" t="s">
        <v>28</v>
      </c>
    </row>
    <row r="1228" spans="1:6" x14ac:dyDescent="0.3">
      <c r="A1228" t="s">
        <v>453</v>
      </c>
      <c r="B1228" t="s">
        <v>454</v>
      </c>
      <c r="C1228" t="str">
        <f>HYPERLINK("http://service.sap.com/sap/support/notes/2025842","2025842")</f>
        <v>2025842</v>
      </c>
      <c r="D1228">
        <v>1</v>
      </c>
      <c r="E1228" t="s">
        <v>4429</v>
      </c>
      <c r="F1228" t="s">
        <v>9</v>
      </c>
    </row>
    <row r="1229" spans="1:6" x14ac:dyDescent="0.3">
      <c r="A1229" t="s">
        <v>453</v>
      </c>
      <c r="B1229" t="s">
        <v>454</v>
      </c>
      <c r="C1229" t="str">
        <f>HYPERLINK("http://service.sap.com/sap/support/notes/2027916","2027916")</f>
        <v>2027916</v>
      </c>
      <c r="D1229">
        <v>1</v>
      </c>
      <c r="E1229" t="s">
        <v>4430</v>
      </c>
      <c r="F1229" t="s">
        <v>9</v>
      </c>
    </row>
    <row r="1230" spans="1:6" x14ac:dyDescent="0.3">
      <c r="A1230" t="s">
        <v>453</v>
      </c>
      <c r="B1230" t="s">
        <v>454</v>
      </c>
      <c r="C1230" t="str">
        <f>HYPERLINK("http://service.sap.com/sap/support/notes/2029586","2029586")</f>
        <v>2029586</v>
      </c>
      <c r="D1230">
        <v>1</v>
      </c>
      <c r="E1230" t="s">
        <v>4431</v>
      </c>
      <c r="F1230" t="s">
        <v>9</v>
      </c>
    </row>
    <row r="1231" spans="1:6" x14ac:dyDescent="0.3">
      <c r="A1231" t="s">
        <v>453</v>
      </c>
      <c r="B1231" t="s">
        <v>454</v>
      </c>
      <c r="C1231" t="str">
        <f>HYPERLINK("http://service.sap.com/sap/support/notes/2029834","2029834")</f>
        <v>2029834</v>
      </c>
      <c r="D1231">
        <v>1</v>
      </c>
      <c r="E1231" t="s">
        <v>4432</v>
      </c>
      <c r="F1231" t="s">
        <v>9</v>
      </c>
    </row>
    <row r="1232" spans="1:6" x14ac:dyDescent="0.3">
      <c r="A1232" t="s">
        <v>453</v>
      </c>
      <c r="B1232" t="s">
        <v>454</v>
      </c>
      <c r="C1232" t="str">
        <f>HYPERLINK("http://service.sap.com/sap/support/notes/2031130","2031130")</f>
        <v>2031130</v>
      </c>
      <c r="D1232">
        <v>1</v>
      </c>
      <c r="E1232" t="s">
        <v>4433</v>
      </c>
      <c r="F1232" t="s">
        <v>9</v>
      </c>
    </row>
    <row r="1233" spans="1:6" x14ac:dyDescent="0.3">
      <c r="A1233" t="s">
        <v>453</v>
      </c>
      <c r="B1233" t="s">
        <v>454</v>
      </c>
      <c r="C1233" t="str">
        <f>HYPERLINK("http://service.sap.com/sap/support/notes/2031291","2031291")</f>
        <v>2031291</v>
      </c>
      <c r="D1233">
        <v>1</v>
      </c>
      <c r="E1233" t="s">
        <v>4434</v>
      </c>
      <c r="F1233" t="s">
        <v>9</v>
      </c>
    </row>
    <row r="1234" spans="1:6" x14ac:dyDescent="0.3">
      <c r="A1234" t="s">
        <v>453</v>
      </c>
      <c r="B1234" t="s">
        <v>454</v>
      </c>
      <c r="C1234" t="str">
        <f>HYPERLINK("http://service.sap.com/sap/support/notes/1956522","1956522")</f>
        <v>1956522</v>
      </c>
      <c r="D1234">
        <v>10</v>
      </c>
      <c r="E1234" t="s">
        <v>2444</v>
      </c>
      <c r="F1234" t="s">
        <v>9</v>
      </c>
    </row>
    <row r="1235" spans="1:6" x14ac:dyDescent="0.3">
      <c r="A1235" t="s">
        <v>453</v>
      </c>
      <c r="B1235" t="s">
        <v>454</v>
      </c>
      <c r="C1235" t="str">
        <f>HYPERLINK("http://service.sap.com/sap/support/notes/2023268","2023268")</f>
        <v>2023268</v>
      </c>
      <c r="D1235">
        <v>1</v>
      </c>
      <c r="E1235" t="s">
        <v>4745</v>
      </c>
      <c r="F1235" t="s">
        <v>9</v>
      </c>
    </row>
    <row r="1236" spans="1:6" x14ac:dyDescent="0.3">
      <c r="A1236" t="s">
        <v>453</v>
      </c>
      <c r="B1236" t="s">
        <v>454</v>
      </c>
      <c r="C1236" t="str">
        <f>HYPERLINK("http://service.sap.com/sap/support/notes/2024295","2024295")</f>
        <v>2024295</v>
      </c>
      <c r="D1236">
        <v>3</v>
      </c>
      <c r="E1236" t="s">
        <v>4746</v>
      </c>
      <c r="F1236" t="s">
        <v>9</v>
      </c>
    </row>
    <row r="1237" spans="1:6" x14ac:dyDescent="0.3">
      <c r="A1237" t="s">
        <v>453</v>
      </c>
      <c r="B1237" t="s">
        <v>454</v>
      </c>
      <c r="C1237" t="str">
        <f>HYPERLINK("http://service.sap.com/sap/support/notes/2025260","2025260")</f>
        <v>2025260</v>
      </c>
      <c r="D1237">
        <v>4</v>
      </c>
      <c r="E1237" t="s">
        <v>4747</v>
      </c>
      <c r="F1237" t="s">
        <v>9</v>
      </c>
    </row>
    <row r="1238" spans="1:6" x14ac:dyDescent="0.3">
      <c r="A1238" t="s">
        <v>453</v>
      </c>
      <c r="B1238" t="s">
        <v>454</v>
      </c>
      <c r="C1238" t="str">
        <f>HYPERLINK("http://service.sap.com/sap/support/notes/2028553","2028553")</f>
        <v>2028553</v>
      </c>
      <c r="D1238">
        <v>1</v>
      </c>
      <c r="E1238" t="s">
        <v>4748</v>
      </c>
      <c r="F1238" t="s">
        <v>9</v>
      </c>
    </row>
    <row r="1239" spans="1:6" x14ac:dyDescent="0.3">
      <c r="A1239" t="s">
        <v>453</v>
      </c>
      <c r="B1239" t="s">
        <v>454</v>
      </c>
      <c r="C1239" t="str">
        <f>HYPERLINK("http://service.sap.com/sap/support/notes/2030982","2030982")</f>
        <v>2030982</v>
      </c>
      <c r="D1239">
        <v>1</v>
      </c>
      <c r="E1239" t="s">
        <v>4749</v>
      </c>
      <c r="F1239" t="s">
        <v>9</v>
      </c>
    </row>
    <row r="1240" spans="1:6" x14ac:dyDescent="0.3">
      <c r="A1240" t="s">
        <v>453</v>
      </c>
      <c r="B1240" t="s">
        <v>454</v>
      </c>
      <c r="C1240" t="str">
        <f>HYPERLINK("http://service.sap.com/sap/support/notes/2034046","2034046")</f>
        <v>2034046</v>
      </c>
      <c r="D1240">
        <v>1</v>
      </c>
      <c r="E1240" t="s">
        <v>4750</v>
      </c>
      <c r="F1240" t="s">
        <v>9</v>
      </c>
    </row>
    <row r="1241" spans="1:6" x14ac:dyDescent="0.3">
      <c r="A1241" t="s">
        <v>453</v>
      </c>
      <c r="B1241" t="s">
        <v>454</v>
      </c>
      <c r="C1241" t="str">
        <f>HYPERLINK("http://service.sap.com/sap/support/notes/2035182","2035182")</f>
        <v>2035182</v>
      </c>
      <c r="D1241">
        <v>2</v>
      </c>
      <c r="E1241" t="s">
        <v>4751</v>
      </c>
      <c r="F1241" t="s">
        <v>9</v>
      </c>
    </row>
    <row r="1242" spans="1:6" x14ac:dyDescent="0.3">
      <c r="A1242" t="s">
        <v>453</v>
      </c>
      <c r="B1242" t="s">
        <v>454</v>
      </c>
      <c r="C1242" t="str">
        <f>HYPERLINK("http://service.sap.com/sap/support/notes/2035629","2035629")</f>
        <v>2035629</v>
      </c>
      <c r="D1242">
        <v>1</v>
      </c>
      <c r="E1242" t="s">
        <v>4752</v>
      </c>
      <c r="F1242" t="s">
        <v>9</v>
      </c>
    </row>
    <row r="1243" spans="1:6" x14ac:dyDescent="0.3">
      <c r="A1243" t="s">
        <v>453</v>
      </c>
      <c r="B1243" t="s">
        <v>454</v>
      </c>
      <c r="C1243" t="str">
        <f>HYPERLINK("http://service.sap.com/sap/support/notes/2037203","2037203")</f>
        <v>2037203</v>
      </c>
      <c r="D1243">
        <v>2</v>
      </c>
      <c r="E1243" t="s">
        <v>4753</v>
      </c>
      <c r="F1243" t="s">
        <v>9</v>
      </c>
    </row>
    <row r="1244" spans="1:6" x14ac:dyDescent="0.3">
      <c r="A1244" t="s">
        <v>453</v>
      </c>
      <c r="B1244" t="s">
        <v>454</v>
      </c>
      <c r="C1244" t="str">
        <f>HYPERLINK("http://service.sap.com/sap/support/notes/2037354","2037354")</f>
        <v>2037354</v>
      </c>
      <c r="D1244">
        <v>3</v>
      </c>
      <c r="E1244" t="s">
        <v>4754</v>
      </c>
      <c r="F1244" t="s">
        <v>9</v>
      </c>
    </row>
    <row r="1245" spans="1:6" x14ac:dyDescent="0.3">
      <c r="A1245" t="s">
        <v>453</v>
      </c>
      <c r="B1245" t="s">
        <v>454</v>
      </c>
      <c r="C1245" t="str">
        <f>HYPERLINK("http://service.sap.com/sap/support/notes/2002478","2002478")</f>
        <v>2002478</v>
      </c>
      <c r="D1245">
        <v>2</v>
      </c>
      <c r="E1245" t="s">
        <v>5109</v>
      </c>
      <c r="F1245" t="s">
        <v>9</v>
      </c>
    </row>
    <row r="1246" spans="1:6" x14ac:dyDescent="0.3">
      <c r="A1246" t="s">
        <v>453</v>
      </c>
      <c r="B1246" t="s">
        <v>454</v>
      </c>
      <c r="C1246" t="str">
        <f>HYPERLINK("http://service.sap.com/sap/support/notes/2023254","2023254")</f>
        <v>2023254</v>
      </c>
      <c r="D1246">
        <v>3</v>
      </c>
      <c r="E1246" t="s">
        <v>5110</v>
      </c>
      <c r="F1246" t="s">
        <v>9</v>
      </c>
    </row>
    <row r="1247" spans="1:6" x14ac:dyDescent="0.3">
      <c r="A1247" t="s">
        <v>453</v>
      </c>
      <c r="B1247" t="s">
        <v>454</v>
      </c>
      <c r="C1247" t="str">
        <f>HYPERLINK("http://service.sap.com/sap/support/notes/2035629","2035629")</f>
        <v>2035629</v>
      </c>
      <c r="D1247">
        <v>1</v>
      </c>
      <c r="E1247" t="s">
        <v>4752</v>
      </c>
      <c r="F1247" t="s">
        <v>9</v>
      </c>
    </row>
    <row r="1248" spans="1:6" x14ac:dyDescent="0.3">
      <c r="A1248" t="s">
        <v>453</v>
      </c>
      <c r="B1248" t="s">
        <v>454</v>
      </c>
      <c r="C1248" t="str">
        <f>HYPERLINK("http://service.sap.com/sap/support/notes/2038886","2038886")</f>
        <v>2038886</v>
      </c>
      <c r="D1248">
        <v>2</v>
      </c>
      <c r="E1248" t="s">
        <v>5111</v>
      </c>
      <c r="F1248" t="s">
        <v>9</v>
      </c>
    </row>
    <row r="1249" spans="1:6" x14ac:dyDescent="0.3">
      <c r="A1249" t="s">
        <v>453</v>
      </c>
      <c r="B1249" t="s">
        <v>454</v>
      </c>
      <c r="C1249" t="str">
        <f>HYPERLINK("http://service.sap.com/sap/support/notes/2043955","2043955")</f>
        <v>2043955</v>
      </c>
      <c r="D1249">
        <v>1</v>
      </c>
      <c r="E1249" t="s">
        <v>5112</v>
      </c>
      <c r="F1249" t="s">
        <v>9</v>
      </c>
    </row>
    <row r="1250" spans="1:6" x14ac:dyDescent="0.3">
      <c r="A1250" t="s">
        <v>453</v>
      </c>
      <c r="B1250" t="s">
        <v>454</v>
      </c>
      <c r="C1250" t="str">
        <f>HYPERLINK("http://service.sap.com/sap/support/notes/2045620","2045620")</f>
        <v>2045620</v>
      </c>
      <c r="D1250">
        <v>2</v>
      </c>
      <c r="E1250" t="s">
        <v>5113</v>
      </c>
      <c r="F1250" t="s">
        <v>9</v>
      </c>
    </row>
    <row r="1251" spans="1:6" x14ac:dyDescent="0.3">
      <c r="A1251" t="s">
        <v>453</v>
      </c>
      <c r="B1251" t="s">
        <v>454</v>
      </c>
      <c r="C1251" t="str">
        <f>HYPERLINK("http://service.sap.com/sap/support/notes/2047157","2047157")</f>
        <v>2047157</v>
      </c>
      <c r="D1251">
        <v>1</v>
      </c>
      <c r="E1251" t="s">
        <v>5114</v>
      </c>
      <c r="F1251" t="s">
        <v>9</v>
      </c>
    </row>
    <row r="1252" spans="1:6" x14ac:dyDescent="0.3">
      <c r="A1252" t="s">
        <v>453</v>
      </c>
      <c r="B1252" t="s">
        <v>454</v>
      </c>
      <c r="C1252" t="str">
        <f>HYPERLINK("http://service.sap.com/sap/support/notes/2048384","2048384")</f>
        <v>2048384</v>
      </c>
      <c r="D1252">
        <v>1</v>
      </c>
      <c r="E1252" t="s">
        <v>5115</v>
      </c>
      <c r="F1252" t="s">
        <v>9</v>
      </c>
    </row>
    <row r="1253" spans="1:6" x14ac:dyDescent="0.3">
      <c r="A1253" t="s">
        <v>453</v>
      </c>
      <c r="B1253" t="s">
        <v>454</v>
      </c>
      <c r="C1253" t="str">
        <f>HYPERLINK("http://service.sap.com/sap/support/notes/2050026","2050026")</f>
        <v>2050026</v>
      </c>
      <c r="D1253">
        <v>4</v>
      </c>
      <c r="E1253" t="s">
        <v>5116</v>
      </c>
      <c r="F1253" t="s">
        <v>9</v>
      </c>
    </row>
    <row r="1254" spans="1:6" x14ac:dyDescent="0.3">
      <c r="A1254" t="s">
        <v>453</v>
      </c>
      <c r="B1254" t="s">
        <v>454</v>
      </c>
      <c r="C1254" t="str">
        <f>HYPERLINK("http://service.sap.com/sap/support/notes/2050933","2050933")</f>
        <v>2050933</v>
      </c>
      <c r="D1254">
        <v>1</v>
      </c>
      <c r="E1254" t="s">
        <v>5117</v>
      </c>
      <c r="F1254" t="s">
        <v>9</v>
      </c>
    </row>
    <row r="1255" spans="1:6" x14ac:dyDescent="0.3">
      <c r="A1255" t="s">
        <v>453</v>
      </c>
      <c r="B1255" t="s">
        <v>454</v>
      </c>
      <c r="C1255" t="str">
        <f>HYPERLINK("http://service.sap.com/sap/support/notes/2041882","2041882")</f>
        <v>2041882</v>
      </c>
      <c r="D1255">
        <v>1</v>
      </c>
      <c r="E1255" t="s">
        <v>5443</v>
      </c>
      <c r="F1255" t="s">
        <v>9</v>
      </c>
    </row>
    <row r="1256" spans="1:6" x14ac:dyDescent="0.3">
      <c r="A1256" t="s">
        <v>453</v>
      </c>
      <c r="B1256" t="s">
        <v>454</v>
      </c>
      <c r="C1256" t="str">
        <f>HYPERLINK("http://service.sap.com/sap/support/notes/2042708","2042708")</f>
        <v>2042708</v>
      </c>
      <c r="D1256">
        <v>2</v>
      </c>
      <c r="E1256" t="s">
        <v>5444</v>
      </c>
      <c r="F1256" t="s">
        <v>9</v>
      </c>
    </row>
    <row r="1257" spans="1:6" x14ac:dyDescent="0.3">
      <c r="A1257" t="s">
        <v>453</v>
      </c>
      <c r="B1257" t="s">
        <v>454</v>
      </c>
      <c r="C1257" t="str">
        <f>HYPERLINK("http://service.sap.com/sap/support/notes/2043818","2043818")</f>
        <v>2043818</v>
      </c>
      <c r="D1257">
        <v>1</v>
      </c>
      <c r="E1257" t="s">
        <v>5445</v>
      </c>
      <c r="F1257" t="s">
        <v>9</v>
      </c>
    </row>
    <row r="1258" spans="1:6" x14ac:dyDescent="0.3">
      <c r="A1258" t="s">
        <v>453</v>
      </c>
      <c r="B1258" t="s">
        <v>454</v>
      </c>
      <c r="C1258" t="str">
        <f>HYPERLINK("http://service.sap.com/sap/support/notes/2054104","2054104")</f>
        <v>2054104</v>
      </c>
      <c r="D1258">
        <v>3</v>
      </c>
      <c r="E1258" t="s">
        <v>5446</v>
      </c>
      <c r="F1258" t="s">
        <v>9</v>
      </c>
    </row>
    <row r="1259" spans="1:6" x14ac:dyDescent="0.3">
      <c r="A1259" t="s">
        <v>453</v>
      </c>
      <c r="B1259" t="s">
        <v>454</v>
      </c>
      <c r="C1259" t="str">
        <f>HYPERLINK("http://service.sap.com/sap/support/notes/2057026","2057026")</f>
        <v>2057026</v>
      </c>
      <c r="D1259">
        <v>1</v>
      </c>
      <c r="E1259" t="s">
        <v>5447</v>
      </c>
      <c r="F1259" t="s">
        <v>9</v>
      </c>
    </row>
    <row r="1260" spans="1:6" x14ac:dyDescent="0.3">
      <c r="A1260" t="s">
        <v>453</v>
      </c>
      <c r="B1260" t="s">
        <v>454</v>
      </c>
      <c r="C1260" t="str">
        <f>HYPERLINK("http://service.sap.com/sap/support/notes/2067981","2067981")</f>
        <v>2067981</v>
      </c>
      <c r="D1260">
        <v>1</v>
      </c>
      <c r="E1260" t="s">
        <v>5448</v>
      </c>
      <c r="F1260" t="s">
        <v>9</v>
      </c>
    </row>
    <row r="1261" spans="1:6" x14ac:dyDescent="0.3">
      <c r="A1261" t="s">
        <v>466</v>
      </c>
      <c r="B1261" t="s">
        <v>467</v>
      </c>
      <c r="C1261" t="str">
        <f>HYPERLINK("http://service.sap.com/sap/support/notes/1810727","1810727")</f>
        <v>1810727</v>
      </c>
      <c r="D1261">
        <v>2</v>
      </c>
      <c r="E1261" t="s">
        <v>468</v>
      </c>
      <c r="F1261" t="s">
        <v>9</v>
      </c>
    </row>
    <row r="1262" spans="1:6" x14ac:dyDescent="0.3">
      <c r="A1262" t="s">
        <v>466</v>
      </c>
      <c r="B1262" t="s">
        <v>467</v>
      </c>
      <c r="C1262" t="str">
        <f>HYPERLINK("http://service.sap.com/sap/support/notes/1906115","1906115")</f>
        <v>1906115</v>
      </c>
      <c r="D1262">
        <v>3</v>
      </c>
      <c r="E1262" t="s">
        <v>469</v>
      </c>
      <c r="F1262" t="s">
        <v>9</v>
      </c>
    </row>
    <row r="1263" spans="1:6" x14ac:dyDescent="0.3">
      <c r="A1263" t="s">
        <v>466</v>
      </c>
      <c r="B1263" t="s">
        <v>2446</v>
      </c>
      <c r="C1263" t="str">
        <f>HYPERLINK("http://service.sap.com/sap/support/notes/1974729","1974729")</f>
        <v>1974729</v>
      </c>
      <c r="D1263">
        <v>1</v>
      </c>
      <c r="E1263" t="s">
        <v>2447</v>
      </c>
      <c r="F1263" t="s">
        <v>9</v>
      </c>
    </row>
    <row r="1264" spans="1:6" x14ac:dyDescent="0.3">
      <c r="A1264" t="s">
        <v>466</v>
      </c>
      <c r="B1264" t="s">
        <v>467</v>
      </c>
      <c r="C1264" t="str">
        <f>HYPERLINK("http://service.sap.com/sap/support/notes/1936156","1936156")</f>
        <v>1936156</v>
      </c>
      <c r="D1264">
        <v>2</v>
      </c>
      <c r="E1264" t="s">
        <v>2885</v>
      </c>
      <c r="F1264" t="s">
        <v>9</v>
      </c>
    </row>
    <row r="1265" spans="1:6" x14ac:dyDescent="0.3">
      <c r="A1265" t="s">
        <v>466</v>
      </c>
      <c r="B1265" t="s">
        <v>2446</v>
      </c>
      <c r="C1265" t="str">
        <f>HYPERLINK("http://service.sap.com/sap/support/notes/2013422","2013422")</f>
        <v>2013422</v>
      </c>
      <c r="D1265">
        <v>2</v>
      </c>
      <c r="E1265" t="s">
        <v>4083</v>
      </c>
      <c r="F1265" t="s">
        <v>9</v>
      </c>
    </row>
    <row r="1266" spans="1:6" x14ac:dyDescent="0.3">
      <c r="A1266" t="s">
        <v>466</v>
      </c>
      <c r="B1266" t="s">
        <v>2446</v>
      </c>
      <c r="C1266" t="str">
        <f>HYPERLINK("http://service.sap.com/sap/support/notes/2061173","2061173")</f>
        <v>2061173</v>
      </c>
      <c r="D1266">
        <v>1</v>
      </c>
      <c r="E1266" t="s">
        <v>5449</v>
      </c>
      <c r="F1266" t="s">
        <v>9</v>
      </c>
    </row>
    <row r="1267" spans="1:6" x14ac:dyDescent="0.3">
      <c r="A1267" t="s">
        <v>470</v>
      </c>
      <c r="B1267" t="s">
        <v>471</v>
      </c>
      <c r="C1267" t="str">
        <f>HYPERLINK("http://service.sap.com/sap/support/notes/1918150","1918150")</f>
        <v>1918150</v>
      </c>
      <c r="D1267">
        <v>1</v>
      </c>
      <c r="E1267" t="s">
        <v>472</v>
      </c>
      <c r="F1267" t="s">
        <v>9</v>
      </c>
    </row>
    <row r="1268" spans="1:6" x14ac:dyDescent="0.3">
      <c r="A1268" t="s">
        <v>470</v>
      </c>
      <c r="B1268" t="s">
        <v>471</v>
      </c>
      <c r="C1268" t="str">
        <f>HYPERLINK("http://service.sap.com/sap/support/notes/1918195","1918195")</f>
        <v>1918195</v>
      </c>
      <c r="D1268">
        <v>1</v>
      </c>
      <c r="E1268" t="s">
        <v>473</v>
      </c>
      <c r="F1268" t="s">
        <v>9</v>
      </c>
    </row>
    <row r="1269" spans="1:6" x14ac:dyDescent="0.3">
      <c r="A1269" t="s">
        <v>470</v>
      </c>
      <c r="B1269" t="s">
        <v>471</v>
      </c>
      <c r="C1269" t="str">
        <f>HYPERLINK("http://service.sap.com/sap/support/notes/1919429","1919429")</f>
        <v>1919429</v>
      </c>
      <c r="D1269">
        <v>1</v>
      </c>
      <c r="E1269" t="s">
        <v>474</v>
      </c>
      <c r="F1269" t="s">
        <v>9</v>
      </c>
    </row>
    <row r="1270" spans="1:6" x14ac:dyDescent="0.3">
      <c r="A1270" t="s">
        <v>470</v>
      </c>
      <c r="B1270" t="s">
        <v>471</v>
      </c>
      <c r="C1270" t="str">
        <f>HYPERLINK("http://service.sap.com/sap/support/notes/1929967","1929967")</f>
        <v>1929967</v>
      </c>
      <c r="D1270">
        <v>1</v>
      </c>
      <c r="E1270" t="s">
        <v>475</v>
      </c>
      <c r="F1270" t="s">
        <v>9</v>
      </c>
    </row>
    <row r="1271" spans="1:6" x14ac:dyDescent="0.3">
      <c r="A1271" t="s">
        <v>470</v>
      </c>
      <c r="B1271" t="s">
        <v>471</v>
      </c>
      <c r="C1271" t="str">
        <f>HYPERLINK("http://service.sap.com/sap/support/notes/1944617","1944617")</f>
        <v>1944617</v>
      </c>
      <c r="D1271">
        <v>1</v>
      </c>
      <c r="E1271" t="s">
        <v>1580</v>
      </c>
      <c r="F1271" t="s">
        <v>9</v>
      </c>
    </row>
    <row r="1272" spans="1:6" x14ac:dyDescent="0.3">
      <c r="A1272" t="s">
        <v>470</v>
      </c>
      <c r="B1272" t="s">
        <v>471</v>
      </c>
      <c r="C1272" t="str">
        <f>HYPERLINK("http://service.sap.com/sap/support/notes/1953797","1953797")</f>
        <v>1953797</v>
      </c>
      <c r="D1272">
        <v>1</v>
      </c>
      <c r="E1272" t="s">
        <v>1581</v>
      </c>
      <c r="F1272" t="s">
        <v>9</v>
      </c>
    </row>
    <row r="1273" spans="1:6" x14ac:dyDescent="0.3">
      <c r="A1273" t="s">
        <v>470</v>
      </c>
      <c r="B1273" t="s">
        <v>471</v>
      </c>
      <c r="C1273" t="str">
        <f>HYPERLINK("http://service.sap.com/sap/support/notes/1960610","1960610")</f>
        <v>1960610</v>
      </c>
      <c r="D1273">
        <v>1</v>
      </c>
      <c r="E1273" t="s">
        <v>1578</v>
      </c>
      <c r="F1273" t="s">
        <v>9</v>
      </c>
    </row>
    <row r="1274" spans="1:6" x14ac:dyDescent="0.3">
      <c r="A1274" t="s">
        <v>470</v>
      </c>
      <c r="B1274" t="s">
        <v>471</v>
      </c>
      <c r="C1274" t="str">
        <f>HYPERLINK("http://service.sap.com/sap/support/notes/1964236","1964236")</f>
        <v>1964236</v>
      </c>
      <c r="D1274">
        <v>4</v>
      </c>
      <c r="E1274" t="s">
        <v>2104</v>
      </c>
      <c r="F1274" t="s">
        <v>9</v>
      </c>
    </row>
    <row r="1275" spans="1:6" x14ac:dyDescent="0.3">
      <c r="A1275" t="s">
        <v>470</v>
      </c>
      <c r="B1275" t="s">
        <v>471</v>
      </c>
      <c r="C1275" t="str">
        <f>HYPERLINK("http://service.sap.com/sap/support/notes/1921351","1921351")</f>
        <v>1921351</v>
      </c>
      <c r="D1275">
        <v>1</v>
      </c>
      <c r="E1275" t="s">
        <v>2886</v>
      </c>
      <c r="F1275" t="s">
        <v>9</v>
      </c>
    </row>
    <row r="1276" spans="1:6" x14ac:dyDescent="0.3">
      <c r="A1276" t="s">
        <v>470</v>
      </c>
      <c r="B1276" t="s">
        <v>471</v>
      </c>
      <c r="C1276" t="str">
        <f>HYPERLINK("http://service.sap.com/sap/support/notes/1980981","1980981")</f>
        <v>1980981</v>
      </c>
      <c r="D1276">
        <v>1</v>
      </c>
      <c r="E1276" t="s">
        <v>2887</v>
      </c>
      <c r="F1276" t="s">
        <v>9</v>
      </c>
    </row>
    <row r="1277" spans="1:6" x14ac:dyDescent="0.3">
      <c r="A1277" t="s">
        <v>470</v>
      </c>
      <c r="B1277" t="s">
        <v>471</v>
      </c>
      <c r="C1277" t="str">
        <f>HYPERLINK("http://service.sap.com/sap/support/notes/1993718","1993718")</f>
        <v>1993718</v>
      </c>
      <c r="D1277">
        <v>1</v>
      </c>
      <c r="E1277" t="s">
        <v>2888</v>
      </c>
      <c r="F1277" t="s">
        <v>9</v>
      </c>
    </row>
    <row r="1278" spans="1:6" x14ac:dyDescent="0.3">
      <c r="A1278" t="s">
        <v>470</v>
      </c>
      <c r="B1278" t="s">
        <v>471</v>
      </c>
      <c r="C1278" t="str">
        <f>HYPERLINK("http://service.sap.com/sap/support/notes/1906513","1906513")</f>
        <v>1906513</v>
      </c>
      <c r="D1278">
        <v>3</v>
      </c>
      <c r="E1278" t="s">
        <v>3559</v>
      </c>
      <c r="F1278" t="s">
        <v>9</v>
      </c>
    </row>
    <row r="1279" spans="1:6" x14ac:dyDescent="0.3">
      <c r="A1279" t="s">
        <v>470</v>
      </c>
      <c r="B1279" t="s">
        <v>471</v>
      </c>
      <c r="C1279" t="str">
        <f>HYPERLINK("http://service.sap.com/sap/support/notes/2001111","2001111")</f>
        <v>2001111</v>
      </c>
      <c r="D1279">
        <v>5</v>
      </c>
      <c r="E1279" t="s">
        <v>4084</v>
      </c>
      <c r="F1279" t="s">
        <v>9</v>
      </c>
    </row>
    <row r="1280" spans="1:6" x14ac:dyDescent="0.3">
      <c r="A1280" t="s">
        <v>470</v>
      </c>
      <c r="B1280" t="s">
        <v>471</v>
      </c>
      <c r="C1280" t="str">
        <f>HYPERLINK("http://service.sap.com/sap/support/notes/2004515","2004515")</f>
        <v>2004515</v>
      </c>
      <c r="D1280">
        <v>2</v>
      </c>
      <c r="E1280" t="s">
        <v>4085</v>
      </c>
      <c r="F1280" t="s">
        <v>9</v>
      </c>
    </row>
    <row r="1281" spans="1:6" x14ac:dyDescent="0.3">
      <c r="A1281" t="s">
        <v>470</v>
      </c>
      <c r="B1281" t="s">
        <v>471</v>
      </c>
      <c r="C1281" t="str">
        <f>HYPERLINK("http://service.sap.com/sap/support/notes/2017583","2017583")</f>
        <v>2017583</v>
      </c>
      <c r="D1281">
        <v>1</v>
      </c>
      <c r="E1281" t="s">
        <v>4086</v>
      </c>
      <c r="F1281" t="s">
        <v>9</v>
      </c>
    </row>
    <row r="1282" spans="1:6" x14ac:dyDescent="0.3">
      <c r="A1282" t="s">
        <v>470</v>
      </c>
      <c r="B1282" t="s">
        <v>471</v>
      </c>
      <c r="C1282" t="str">
        <f>HYPERLINK("http://service.sap.com/sap/support/notes/2017906","2017906")</f>
        <v>2017906</v>
      </c>
      <c r="D1282">
        <v>1</v>
      </c>
      <c r="E1282" t="s">
        <v>4087</v>
      </c>
      <c r="F1282" t="s">
        <v>9</v>
      </c>
    </row>
    <row r="1283" spans="1:6" x14ac:dyDescent="0.3">
      <c r="A1283" t="s">
        <v>470</v>
      </c>
      <c r="B1283" t="s">
        <v>471</v>
      </c>
      <c r="C1283" t="str">
        <f>HYPERLINK("http://service.sap.com/sap/support/notes/2010125","2010125")</f>
        <v>2010125</v>
      </c>
      <c r="D1283">
        <v>2</v>
      </c>
      <c r="E1283" t="s">
        <v>4435</v>
      </c>
      <c r="F1283" t="s">
        <v>9</v>
      </c>
    </row>
    <row r="1284" spans="1:6" x14ac:dyDescent="0.3">
      <c r="A1284" t="s">
        <v>470</v>
      </c>
      <c r="B1284" t="s">
        <v>471</v>
      </c>
      <c r="C1284" t="str">
        <f>HYPERLINK("http://service.sap.com/sap/support/notes/2033225","2033225")</f>
        <v>2033225</v>
      </c>
      <c r="D1284">
        <v>2</v>
      </c>
      <c r="E1284" t="s">
        <v>4755</v>
      </c>
      <c r="F1284" t="s">
        <v>9</v>
      </c>
    </row>
    <row r="1285" spans="1:6" x14ac:dyDescent="0.3">
      <c r="A1285" t="s">
        <v>470</v>
      </c>
      <c r="B1285" t="s">
        <v>471</v>
      </c>
      <c r="C1285" t="str">
        <f>HYPERLINK("http://service.sap.com/sap/support/notes/2042027","2042027")</f>
        <v>2042027</v>
      </c>
      <c r="D1285">
        <v>2</v>
      </c>
      <c r="E1285" t="s">
        <v>4756</v>
      </c>
      <c r="F1285" t="s">
        <v>9</v>
      </c>
    </row>
    <row r="1286" spans="1:6" x14ac:dyDescent="0.3">
      <c r="A1286" t="s">
        <v>470</v>
      </c>
      <c r="B1286" t="s">
        <v>471</v>
      </c>
      <c r="C1286" t="str">
        <f>HYPERLINK("http://service.sap.com/sap/support/notes/2020483","2020483")</f>
        <v>2020483</v>
      </c>
      <c r="D1286">
        <v>4</v>
      </c>
      <c r="E1286" t="s">
        <v>5450</v>
      </c>
      <c r="F1286" t="s">
        <v>9</v>
      </c>
    </row>
    <row r="1287" spans="1:6" x14ac:dyDescent="0.3">
      <c r="A1287" t="s">
        <v>470</v>
      </c>
      <c r="B1287" t="s">
        <v>471</v>
      </c>
      <c r="C1287" t="str">
        <f>HYPERLINK("http://service.sap.com/sap/support/notes/2049849","2049849")</f>
        <v>2049849</v>
      </c>
      <c r="D1287">
        <v>2</v>
      </c>
      <c r="E1287" t="s">
        <v>5451</v>
      </c>
      <c r="F1287" t="s">
        <v>9</v>
      </c>
    </row>
    <row r="1288" spans="1:6" x14ac:dyDescent="0.3">
      <c r="A1288" t="s">
        <v>470</v>
      </c>
      <c r="B1288" t="s">
        <v>471</v>
      </c>
      <c r="C1288" t="str">
        <f>HYPERLINK("http://service.sap.com/sap/support/notes/2055821","2055821")</f>
        <v>2055821</v>
      </c>
      <c r="D1288">
        <v>2</v>
      </c>
      <c r="E1288" t="s">
        <v>5452</v>
      </c>
      <c r="F1288" t="s">
        <v>9</v>
      </c>
    </row>
    <row r="1289" spans="1:6" x14ac:dyDescent="0.3">
      <c r="A1289" t="s">
        <v>1582</v>
      </c>
      <c r="B1289" t="s">
        <v>1583</v>
      </c>
      <c r="C1289" t="str">
        <f>HYPERLINK("http://service.sap.com/sap/support/notes/1953555","1953555")</f>
        <v>1953555</v>
      </c>
      <c r="D1289">
        <v>2</v>
      </c>
      <c r="E1289" t="s">
        <v>1584</v>
      </c>
      <c r="F1289" t="s">
        <v>16</v>
      </c>
    </row>
    <row r="1290" spans="1:6" x14ac:dyDescent="0.3">
      <c r="A1290" t="s">
        <v>1582</v>
      </c>
      <c r="B1290" t="s">
        <v>1583</v>
      </c>
      <c r="C1290" t="str">
        <f>HYPERLINK("http://service.sap.com/sap/support/notes/1954469","1954469")</f>
        <v>1954469</v>
      </c>
      <c r="D1290">
        <v>2</v>
      </c>
      <c r="E1290" t="s">
        <v>1585</v>
      </c>
      <c r="F1290" t="s">
        <v>9</v>
      </c>
    </row>
    <row r="1291" spans="1:6" x14ac:dyDescent="0.3">
      <c r="A1291" t="s">
        <v>1582</v>
      </c>
      <c r="B1291" t="s">
        <v>2105</v>
      </c>
      <c r="C1291" t="str">
        <f>HYPERLINK("http://service.sap.com/sap/support/notes/1963353","1963353")</f>
        <v>1963353</v>
      </c>
      <c r="D1291">
        <v>2</v>
      </c>
      <c r="E1291" t="s">
        <v>2106</v>
      </c>
      <c r="F1291" t="s">
        <v>9</v>
      </c>
    </row>
    <row r="1292" spans="1:6" x14ac:dyDescent="0.3">
      <c r="A1292" t="s">
        <v>1582</v>
      </c>
      <c r="B1292" t="s">
        <v>2105</v>
      </c>
      <c r="C1292" t="str">
        <f>HYPERLINK("http://service.sap.com/sap/support/notes/1964522","1964522")</f>
        <v>1964522</v>
      </c>
      <c r="D1292">
        <v>1</v>
      </c>
      <c r="E1292" t="s">
        <v>2107</v>
      </c>
      <c r="F1292" t="s">
        <v>9</v>
      </c>
    </row>
    <row r="1293" spans="1:6" x14ac:dyDescent="0.3">
      <c r="A1293" t="s">
        <v>1582</v>
      </c>
      <c r="B1293" t="s">
        <v>1583</v>
      </c>
      <c r="C1293" t="str">
        <f>HYPERLINK("http://service.sap.com/sap/support/notes/1978483","1978483")</f>
        <v>1978483</v>
      </c>
      <c r="D1293">
        <v>4</v>
      </c>
      <c r="E1293" t="s">
        <v>2889</v>
      </c>
      <c r="F1293" t="s">
        <v>9</v>
      </c>
    </row>
    <row r="1294" spans="1:6" x14ac:dyDescent="0.3">
      <c r="A1294" t="s">
        <v>1582</v>
      </c>
      <c r="B1294" t="s">
        <v>1583</v>
      </c>
      <c r="C1294" t="str">
        <f>HYPERLINK("http://service.sap.com/sap/support/notes/1999251","1999251")</f>
        <v>1999251</v>
      </c>
      <c r="D1294">
        <v>3</v>
      </c>
      <c r="E1294" t="s">
        <v>3560</v>
      </c>
      <c r="F1294" t="s">
        <v>9</v>
      </c>
    </row>
    <row r="1295" spans="1:6" x14ac:dyDescent="0.3">
      <c r="A1295" t="s">
        <v>1582</v>
      </c>
      <c r="B1295" t="s">
        <v>1583</v>
      </c>
      <c r="C1295" t="str">
        <f>HYPERLINK("http://service.sap.com/sap/support/notes/2007352","2007352")</f>
        <v>2007352</v>
      </c>
      <c r="D1295">
        <v>1</v>
      </c>
      <c r="E1295" t="s">
        <v>3561</v>
      </c>
      <c r="F1295" t="s">
        <v>9</v>
      </c>
    </row>
    <row r="1296" spans="1:6" x14ac:dyDescent="0.3">
      <c r="A1296" t="s">
        <v>1582</v>
      </c>
      <c r="B1296" t="s">
        <v>1583</v>
      </c>
      <c r="C1296" t="str">
        <f>HYPERLINK("http://service.sap.com/sap/support/notes/2009669","2009669")</f>
        <v>2009669</v>
      </c>
      <c r="D1296">
        <v>1</v>
      </c>
      <c r="E1296" t="s">
        <v>3562</v>
      </c>
      <c r="F1296" t="s">
        <v>9</v>
      </c>
    </row>
    <row r="1297" spans="1:6" x14ac:dyDescent="0.3">
      <c r="A1297" t="s">
        <v>1582</v>
      </c>
      <c r="B1297" t="s">
        <v>2105</v>
      </c>
      <c r="C1297" t="str">
        <f>HYPERLINK("http://service.sap.com/sap/support/notes/2013521","2013521")</f>
        <v>2013521</v>
      </c>
      <c r="D1297">
        <v>1</v>
      </c>
      <c r="E1297" t="s">
        <v>4088</v>
      </c>
      <c r="F1297" t="s">
        <v>9</v>
      </c>
    </row>
    <row r="1298" spans="1:6" x14ac:dyDescent="0.3">
      <c r="A1298" t="s">
        <v>1582</v>
      </c>
      <c r="B1298" t="s">
        <v>2105</v>
      </c>
      <c r="C1298" t="str">
        <f>HYPERLINK("http://service.sap.com/sap/support/notes/2015583","2015583")</f>
        <v>2015583</v>
      </c>
      <c r="D1298">
        <v>2</v>
      </c>
      <c r="E1298" t="s">
        <v>4089</v>
      </c>
      <c r="F1298" t="s">
        <v>9</v>
      </c>
    </row>
    <row r="1299" spans="1:6" x14ac:dyDescent="0.3">
      <c r="A1299" t="s">
        <v>1582</v>
      </c>
      <c r="B1299" t="s">
        <v>2105</v>
      </c>
      <c r="C1299" t="str">
        <f>HYPERLINK("http://service.sap.com/sap/support/notes/2021775","2021775")</f>
        <v>2021775</v>
      </c>
      <c r="D1299">
        <v>2</v>
      </c>
      <c r="E1299" t="s">
        <v>4090</v>
      </c>
      <c r="F1299" t="s">
        <v>9</v>
      </c>
    </row>
    <row r="1300" spans="1:6" x14ac:dyDescent="0.3">
      <c r="A1300" t="s">
        <v>1582</v>
      </c>
      <c r="B1300" t="s">
        <v>2105</v>
      </c>
      <c r="C1300" t="str">
        <f>HYPERLINK("http://service.sap.com/sap/support/notes/2020928","2020928")</f>
        <v>2020928</v>
      </c>
      <c r="D1300">
        <v>1</v>
      </c>
      <c r="E1300" t="s">
        <v>4436</v>
      </c>
      <c r="F1300" t="s">
        <v>9</v>
      </c>
    </row>
    <row r="1301" spans="1:6" x14ac:dyDescent="0.3">
      <c r="A1301" t="s">
        <v>1582</v>
      </c>
      <c r="B1301" t="s">
        <v>2105</v>
      </c>
      <c r="C1301" t="str">
        <f>HYPERLINK("http://service.sap.com/sap/support/notes/2022838","2022838")</f>
        <v>2022838</v>
      </c>
      <c r="D1301">
        <v>1</v>
      </c>
      <c r="E1301" t="s">
        <v>4437</v>
      </c>
      <c r="F1301" t="s">
        <v>9</v>
      </c>
    </row>
    <row r="1302" spans="1:6" x14ac:dyDescent="0.3">
      <c r="A1302" t="s">
        <v>1582</v>
      </c>
      <c r="B1302" t="s">
        <v>2105</v>
      </c>
      <c r="C1302" t="str">
        <f>HYPERLINK("http://service.sap.com/sap/support/notes/2023798","2023798")</f>
        <v>2023798</v>
      </c>
      <c r="D1302">
        <v>1</v>
      </c>
      <c r="E1302" t="s">
        <v>4438</v>
      </c>
      <c r="F1302" t="s">
        <v>9</v>
      </c>
    </row>
    <row r="1303" spans="1:6" x14ac:dyDescent="0.3">
      <c r="A1303" t="s">
        <v>1582</v>
      </c>
      <c r="B1303" t="s">
        <v>2105</v>
      </c>
      <c r="C1303" t="str">
        <f>HYPERLINK("http://service.sap.com/sap/support/notes/2038463","2038463")</f>
        <v>2038463</v>
      </c>
      <c r="D1303">
        <v>1</v>
      </c>
      <c r="E1303" t="s">
        <v>4757</v>
      </c>
      <c r="F1303" t="s">
        <v>9</v>
      </c>
    </row>
    <row r="1304" spans="1:6" x14ac:dyDescent="0.3">
      <c r="A1304" t="s">
        <v>1582</v>
      </c>
      <c r="B1304" t="s">
        <v>2105</v>
      </c>
      <c r="C1304" t="str">
        <f>HYPERLINK("http://service.sap.com/sap/support/notes/2042984","2042984")</f>
        <v>2042984</v>
      </c>
      <c r="D1304">
        <v>3</v>
      </c>
      <c r="E1304" t="s">
        <v>4758</v>
      </c>
      <c r="F1304" t="s">
        <v>9</v>
      </c>
    </row>
    <row r="1305" spans="1:6" x14ac:dyDescent="0.3">
      <c r="A1305" t="s">
        <v>1582</v>
      </c>
      <c r="B1305" t="s">
        <v>2105</v>
      </c>
      <c r="C1305" t="str">
        <f>HYPERLINK("http://service.sap.com/sap/support/notes/2023001","2023001")</f>
        <v>2023001</v>
      </c>
      <c r="D1305">
        <v>2</v>
      </c>
      <c r="E1305" t="s">
        <v>5118</v>
      </c>
      <c r="F1305" t="s">
        <v>9</v>
      </c>
    </row>
    <row r="1306" spans="1:6" x14ac:dyDescent="0.3">
      <c r="A1306" t="s">
        <v>1582</v>
      </c>
      <c r="B1306" t="s">
        <v>2105</v>
      </c>
      <c r="C1306" t="str">
        <f>HYPERLINK("http://service.sap.com/sap/support/notes/2035434","2035434")</f>
        <v>2035434</v>
      </c>
      <c r="D1306">
        <v>1</v>
      </c>
      <c r="E1306" t="s">
        <v>5119</v>
      </c>
      <c r="F1306" t="s">
        <v>9</v>
      </c>
    </row>
    <row r="1307" spans="1:6" x14ac:dyDescent="0.3">
      <c r="A1307" t="s">
        <v>1582</v>
      </c>
      <c r="B1307" t="s">
        <v>2105</v>
      </c>
      <c r="C1307" t="str">
        <f>HYPERLINK("http://service.sap.com/sap/support/notes/2047366","2047366")</f>
        <v>2047366</v>
      </c>
      <c r="D1307">
        <v>1</v>
      </c>
      <c r="E1307" t="s">
        <v>5120</v>
      </c>
      <c r="F1307" t="s">
        <v>9</v>
      </c>
    </row>
    <row r="1308" spans="1:6" x14ac:dyDescent="0.3">
      <c r="A1308" t="s">
        <v>1582</v>
      </c>
      <c r="B1308" t="s">
        <v>2105</v>
      </c>
      <c r="C1308" t="str">
        <f>HYPERLINK("http://service.sap.com/sap/support/notes/2059821","2059821")</f>
        <v>2059821</v>
      </c>
      <c r="D1308">
        <v>3</v>
      </c>
      <c r="E1308" t="s">
        <v>5453</v>
      </c>
      <c r="F1308" t="s">
        <v>9</v>
      </c>
    </row>
    <row r="1309" spans="1:6" x14ac:dyDescent="0.3">
      <c r="A1309" t="s">
        <v>476</v>
      </c>
      <c r="B1309" t="s">
        <v>134</v>
      </c>
      <c r="C1309" t="str">
        <f>HYPERLINK("http://service.sap.com/sap/support/notes/1850347","1850347")</f>
        <v>1850347</v>
      </c>
      <c r="D1309">
        <v>1</v>
      </c>
      <c r="E1309" t="s">
        <v>477</v>
      </c>
      <c r="F1309" t="s">
        <v>16</v>
      </c>
    </row>
    <row r="1310" spans="1:6" x14ac:dyDescent="0.3">
      <c r="A1310" t="s">
        <v>476</v>
      </c>
      <c r="B1310" t="s">
        <v>134</v>
      </c>
      <c r="C1310" t="str">
        <f>HYPERLINK("http://service.sap.com/sap/support/notes/1869928","1869928")</f>
        <v>1869928</v>
      </c>
      <c r="D1310">
        <v>3</v>
      </c>
      <c r="E1310" t="s">
        <v>478</v>
      </c>
      <c r="F1310" t="s">
        <v>9</v>
      </c>
    </row>
    <row r="1311" spans="1:6" x14ac:dyDescent="0.3">
      <c r="A1311" t="s">
        <v>476</v>
      </c>
      <c r="B1311" t="s">
        <v>134</v>
      </c>
      <c r="C1311" t="str">
        <f>HYPERLINK("http://service.sap.com/sap/support/notes/1908831","1908831")</f>
        <v>1908831</v>
      </c>
      <c r="D1311">
        <v>3</v>
      </c>
      <c r="E1311" t="s">
        <v>479</v>
      </c>
      <c r="F1311" t="s">
        <v>9</v>
      </c>
    </row>
    <row r="1312" spans="1:6" x14ac:dyDescent="0.3">
      <c r="A1312" t="s">
        <v>476</v>
      </c>
      <c r="B1312" t="s">
        <v>134</v>
      </c>
      <c r="C1312" t="str">
        <f>HYPERLINK("http://service.sap.com/sap/support/notes/1912129","1912129")</f>
        <v>1912129</v>
      </c>
      <c r="D1312">
        <v>3</v>
      </c>
      <c r="E1312" t="s">
        <v>480</v>
      </c>
      <c r="F1312" t="s">
        <v>9</v>
      </c>
    </row>
    <row r="1313" spans="1:6" x14ac:dyDescent="0.3">
      <c r="A1313" t="s">
        <v>476</v>
      </c>
      <c r="B1313" t="s">
        <v>134</v>
      </c>
      <c r="C1313" t="str">
        <f>HYPERLINK("http://service.sap.com/sap/support/notes/1912779","1912779")</f>
        <v>1912779</v>
      </c>
      <c r="D1313">
        <v>2</v>
      </c>
      <c r="E1313" t="s">
        <v>481</v>
      </c>
      <c r="F1313" t="s">
        <v>16</v>
      </c>
    </row>
    <row r="1314" spans="1:6" x14ac:dyDescent="0.3">
      <c r="A1314" t="s">
        <v>476</v>
      </c>
      <c r="B1314" t="s">
        <v>134</v>
      </c>
      <c r="C1314" t="str">
        <f>HYPERLINK("http://service.sap.com/sap/support/notes/1912991","1912991")</f>
        <v>1912991</v>
      </c>
      <c r="D1314">
        <v>2</v>
      </c>
      <c r="E1314" t="s">
        <v>482</v>
      </c>
      <c r="F1314" t="s">
        <v>9</v>
      </c>
    </row>
    <row r="1315" spans="1:6" x14ac:dyDescent="0.3">
      <c r="A1315" t="s">
        <v>476</v>
      </c>
      <c r="B1315" t="s">
        <v>134</v>
      </c>
      <c r="C1315" t="str">
        <f>HYPERLINK("http://service.sap.com/sap/support/notes/1913952","1913952")</f>
        <v>1913952</v>
      </c>
      <c r="D1315">
        <v>7</v>
      </c>
      <c r="E1315" t="s">
        <v>483</v>
      </c>
      <c r="F1315" t="s">
        <v>28</v>
      </c>
    </row>
    <row r="1316" spans="1:6" x14ac:dyDescent="0.3">
      <c r="A1316" t="s">
        <v>476</v>
      </c>
      <c r="B1316" t="s">
        <v>134</v>
      </c>
      <c r="C1316" t="str">
        <f>HYPERLINK("http://service.sap.com/sap/support/notes/1915122","1915122")</f>
        <v>1915122</v>
      </c>
      <c r="D1316">
        <v>6</v>
      </c>
      <c r="E1316" t="s">
        <v>484</v>
      </c>
      <c r="F1316" t="s">
        <v>9</v>
      </c>
    </row>
    <row r="1317" spans="1:6" x14ac:dyDescent="0.3">
      <c r="A1317" t="s">
        <v>476</v>
      </c>
      <c r="B1317" t="s">
        <v>134</v>
      </c>
      <c r="C1317" t="str">
        <f>HYPERLINK("http://service.sap.com/sap/support/notes/1915271","1915271")</f>
        <v>1915271</v>
      </c>
      <c r="D1317">
        <v>3</v>
      </c>
      <c r="E1317" t="s">
        <v>485</v>
      </c>
      <c r="F1317" t="s">
        <v>9</v>
      </c>
    </row>
    <row r="1318" spans="1:6" x14ac:dyDescent="0.3">
      <c r="A1318" t="s">
        <v>476</v>
      </c>
      <c r="B1318" t="s">
        <v>134</v>
      </c>
      <c r="C1318" t="str">
        <f>HYPERLINK("http://service.sap.com/sap/support/notes/1915641","1915641")</f>
        <v>1915641</v>
      </c>
      <c r="D1318">
        <v>4</v>
      </c>
      <c r="E1318" t="s">
        <v>486</v>
      </c>
      <c r="F1318" t="s">
        <v>9</v>
      </c>
    </row>
    <row r="1319" spans="1:6" x14ac:dyDescent="0.3">
      <c r="A1319" t="s">
        <v>476</v>
      </c>
      <c r="B1319" t="s">
        <v>134</v>
      </c>
      <c r="C1319" t="str">
        <f>HYPERLINK("http://service.sap.com/sap/support/notes/1916643","1916643")</f>
        <v>1916643</v>
      </c>
      <c r="D1319">
        <v>2</v>
      </c>
      <c r="E1319" t="s">
        <v>487</v>
      </c>
      <c r="F1319" t="s">
        <v>9</v>
      </c>
    </row>
    <row r="1320" spans="1:6" x14ac:dyDescent="0.3">
      <c r="A1320" t="s">
        <v>476</v>
      </c>
      <c r="B1320" t="s">
        <v>134</v>
      </c>
      <c r="C1320" t="str">
        <f>HYPERLINK("http://service.sap.com/sap/support/notes/1917040","1917040")</f>
        <v>1917040</v>
      </c>
      <c r="D1320">
        <v>2</v>
      </c>
      <c r="E1320" t="s">
        <v>488</v>
      </c>
      <c r="F1320" t="s">
        <v>9</v>
      </c>
    </row>
    <row r="1321" spans="1:6" x14ac:dyDescent="0.3">
      <c r="A1321" t="s">
        <v>476</v>
      </c>
      <c r="B1321" t="s">
        <v>134</v>
      </c>
      <c r="C1321" t="str">
        <f>HYPERLINK("http://service.sap.com/sap/support/notes/1917733","1917733")</f>
        <v>1917733</v>
      </c>
      <c r="D1321">
        <v>3</v>
      </c>
      <c r="E1321" t="s">
        <v>489</v>
      </c>
      <c r="F1321" t="s">
        <v>16</v>
      </c>
    </row>
    <row r="1322" spans="1:6" x14ac:dyDescent="0.3">
      <c r="A1322" t="s">
        <v>476</v>
      </c>
      <c r="B1322" t="s">
        <v>134</v>
      </c>
      <c r="C1322" t="str">
        <f>HYPERLINK("http://service.sap.com/sap/support/notes/1917885","1917885")</f>
        <v>1917885</v>
      </c>
      <c r="D1322">
        <v>5</v>
      </c>
      <c r="E1322" t="s">
        <v>490</v>
      </c>
      <c r="F1322" t="s">
        <v>9</v>
      </c>
    </row>
    <row r="1323" spans="1:6" x14ac:dyDescent="0.3">
      <c r="A1323" t="s">
        <v>476</v>
      </c>
      <c r="B1323" t="s">
        <v>134</v>
      </c>
      <c r="C1323" t="str">
        <f>HYPERLINK("http://service.sap.com/sap/support/notes/1918893","1918893")</f>
        <v>1918893</v>
      </c>
      <c r="D1323">
        <v>1</v>
      </c>
      <c r="E1323" t="s">
        <v>491</v>
      </c>
      <c r="F1323" t="s">
        <v>28</v>
      </c>
    </row>
    <row r="1324" spans="1:6" x14ac:dyDescent="0.3">
      <c r="A1324" t="s">
        <v>476</v>
      </c>
      <c r="B1324" t="s">
        <v>134</v>
      </c>
      <c r="C1324" t="str">
        <f>HYPERLINK("http://service.sap.com/sap/support/notes/1919516","1919516")</f>
        <v>1919516</v>
      </c>
      <c r="D1324">
        <v>1</v>
      </c>
      <c r="E1324" t="s">
        <v>492</v>
      </c>
      <c r="F1324" t="s">
        <v>16</v>
      </c>
    </row>
    <row r="1325" spans="1:6" x14ac:dyDescent="0.3">
      <c r="A1325" t="s">
        <v>476</v>
      </c>
      <c r="B1325" t="s">
        <v>134</v>
      </c>
      <c r="C1325" t="str">
        <f>HYPERLINK("http://service.sap.com/sap/support/notes/1919807","1919807")</f>
        <v>1919807</v>
      </c>
      <c r="D1325">
        <v>5</v>
      </c>
      <c r="E1325" t="s">
        <v>493</v>
      </c>
      <c r="F1325" t="s">
        <v>16</v>
      </c>
    </row>
    <row r="1326" spans="1:6" x14ac:dyDescent="0.3">
      <c r="A1326" t="s">
        <v>476</v>
      </c>
      <c r="B1326" t="s">
        <v>134</v>
      </c>
      <c r="C1326" t="str">
        <f>HYPERLINK("http://service.sap.com/sap/support/notes/1920491","1920491")</f>
        <v>1920491</v>
      </c>
      <c r="D1326">
        <v>3</v>
      </c>
      <c r="E1326" t="s">
        <v>494</v>
      </c>
      <c r="F1326" t="s">
        <v>9</v>
      </c>
    </row>
    <row r="1327" spans="1:6" x14ac:dyDescent="0.3">
      <c r="A1327" t="s">
        <v>476</v>
      </c>
      <c r="B1327" t="s">
        <v>134</v>
      </c>
      <c r="C1327" t="str">
        <f>HYPERLINK("http://service.sap.com/sap/support/notes/1920762","1920762")</f>
        <v>1920762</v>
      </c>
      <c r="D1327">
        <v>3</v>
      </c>
      <c r="E1327" t="s">
        <v>495</v>
      </c>
      <c r="F1327" t="s">
        <v>9</v>
      </c>
    </row>
    <row r="1328" spans="1:6" x14ac:dyDescent="0.3">
      <c r="A1328" t="s">
        <v>476</v>
      </c>
      <c r="B1328" t="s">
        <v>134</v>
      </c>
      <c r="C1328" t="str">
        <f>HYPERLINK("http://service.sap.com/sap/support/notes/1921865","1921865")</f>
        <v>1921865</v>
      </c>
      <c r="D1328">
        <v>2</v>
      </c>
      <c r="E1328" t="s">
        <v>496</v>
      </c>
      <c r="F1328" t="s">
        <v>9</v>
      </c>
    </row>
    <row r="1329" spans="1:6" x14ac:dyDescent="0.3">
      <c r="A1329" t="s">
        <v>476</v>
      </c>
      <c r="B1329" t="s">
        <v>134</v>
      </c>
      <c r="C1329" t="str">
        <f>HYPERLINK("http://service.sap.com/sap/support/notes/1928284","1928284")</f>
        <v>1928284</v>
      </c>
      <c r="D1329">
        <v>1</v>
      </c>
      <c r="E1329" t="s">
        <v>497</v>
      </c>
      <c r="F1329" t="s">
        <v>9</v>
      </c>
    </row>
    <row r="1330" spans="1:6" x14ac:dyDescent="0.3">
      <c r="A1330" t="s">
        <v>476</v>
      </c>
      <c r="B1330" t="s">
        <v>134</v>
      </c>
      <c r="C1330" t="str">
        <f>HYPERLINK("http://service.sap.com/sap/support/notes/1930703","1930703")</f>
        <v>1930703</v>
      </c>
      <c r="D1330">
        <v>1</v>
      </c>
      <c r="E1330" t="s">
        <v>498</v>
      </c>
      <c r="F1330" t="s">
        <v>9</v>
      </c>
    </row>
    <row r="1331" spans="1:6" x14ac:dyDescent="0.3">
      <c r="A1331" t="s">
        <v>476</v>
      </c>
      <c r="B1331" t="s">
        <v>134</v>
      </c>
      <c r="C1331" t="str">
        <f>HYPERLINK("http://service.sap.com/sap/support/notes/1904604","1904604")</f>
        <v>1904604</v>
      </c>
      <c r="D1331">
        <v>9</v>
      </c>
      <c r="E1331" t="s">
        <v>1187</v>
      </c>
      <c r="F1331" t="s">
        <v>9</v>
      </c>
    </row>
    <row r="1332" spans="1:6" x14ac:dyDescent="0.3">
      <c r="A1332" t="s">
        <v>476</v>
      </c>
      <c r="B1332" t="s">
        <v>134</v>
      </c>
      <c r="C1332" t="str">
        <f>HYPERLINK("http://service.sap.com/sap/support/notes/1923236","1923236")</f>
        <v>1923236</v>
      </c>
      <c r="D1332">
        <v>4</v>
      </c>
      <c r="E1332" t="s">
        <v>1188</v>
      </c>
      <c r="F1332" t="s">
        <v>16</v>
      </c>
    </row>
    <row r="1333" spans="1:6" x14ac:dyDescent="0.3">
      <c r="A1333" t="s">
        <v>476</v>
      </c>
      <c r="B1333" t="s">
        <v>134</v>
      </c>
      <c r="C1333" t="str">
        <f>HYPERLINK("http://service.sap.com/sap/support/notes/1923770","1923770")</f>
        <v>1923770</v>
      </c>
      <c r="D1333">
        <v>3</v>
      </c>
      <c r="E1333" t="s">
        <v>1189</v>
      </c>
      <c r="F1333" t="s">
        <v>9</v>
      </c>
    </row>
    <row r="1334" spans="1:6" x14ac:dyDescent="0.3">
      <c r="A1334" t="s">
        <v>476</v>
      </c>
      <c r="B1334" t="s">
        <v>134</v>
      </c>
      <c r="C1334" t="str">
        <f>HYPERLINK("http://service.sap.com/sap/support/notes/1924996","1924996")</f>
        <v>1924996</v>
      </c>
      <c r="D1334">
        <v>2</v>
      </c>
      <c r="E1334" t="s">
        <v>1190</v>
      </c>
      <c r="F1334" t="s">
        <v>9</v>
      </c>
    </row>
    <row r="1335" spans="1:6" x14ac:dyDescent="0.3">
      <c r="A1335" t="s">
        <v>476</v>
      </c>
      <c r="B1335" t="s">
        <v>134</v>
      </c>
      <c r="C1335" t="str">
        <f>HYPERLINK("http://service.sap.com/sap/support/notes/1928759","1928759")</f>
        <v>1928759</v>
      </c>
      <c r="D1335">
        <v>6</v>
      </c>
      <c r="E1335" t="s">
        <v>1191</v>
      </c>
      <c r="F1335" t="s">
        <v>9</v>
      </c>
    </row>
    <row r="1336" spans="1:6" x14ac:dyDescent="0.3">
      <c r="A1336" t="s">
        <v>476</v>
      </c>
      <c r="B1336" t="s">
        <v>134</v>
      </c>
      <c r="C1336" t="str">
        <f>HYPERLINK("http://service.sap.com/sap/support/notes/1933109","1933109")</f>
        <v>1933109</v>
      </c>
      <c r="D1336">
        <v>3</v>
      </c>
      <c r="E1336" t="s">
        <v>1192</v>
      </c>
      <c r="F1336" t="s">
        <v>9</v>
      </c>
    </row>
    <row r="1337" spans="1:6" x14ac:dyDescent="0.3">
      <c r="A1337" t="s">
        <v>476</v>
      </c>
      <c r="B1337" t="s">
        <v>134</v>
      </c>
      <c r="C1337" t="str">
        <f>HYPERLINK("http://service.sap.com/sap/support/notes/1933500","1933500")</f>
        <v>1933500</v>
      </c>
      <c r="D1337">
        <v>5</v>
      </c>
      <c r="E1337" t="s">
        <v>1193</v>
      </c>
      <c r="F1337" t="s">
        <v>9</v>
      </c>
    </row>
    <row r="1338" spans="1:6" x14ac:dyDescent="0.3">
      <c r="A1338" t="s">
        <v>476</v>
      </c>
      <c r="B1338" t="s">
        <v>134</v>
      </c>
      <c r="C1338" t="str">
        <f>HYPERLINK("http://service.sap.com/sap/support/notes/1936496","1936496")</f>
        <v>1936496</v>
      </c>
      <c r="D1338">
        <v>3</v>
      </c>
      <c r="E1338" t="s">
        <v>1194</v>
      </c>
      <c r="F1338" t="s">
        <v>9</v>
      </c>
    </row>
    <row r="1339" spans="1:6" x14ac:dyDescent="0.3">
      <c r="A1339" t="s">
        <v>476</v>
      </c>
      <c r="B1339" t="s">
        <v>134</v>
      </c>
      <c r="C1339" t="str">
        <f>HYPERLINK("http://service.sap.com/sap/support/notes/1939298","1939298")</f>
        <v>1939298</v>
      </c>
      <c r="D1339">
        <v>1</v>
      </c>
      <c r="E1339" t="s">
        <v>1195</v>
      </c>
      <c r="F1339" t="s">
        <v>9</v>
      </c>
    </row>
    <row r="1340" spans="1:6" x14ac:dyDescent="0.3">
      <c r="A1340" t="s">
        <v>476</v>
      </c>
      <c r="B1340" t="s">
        <v>134</v>
      </c>
      <c r="C1340" t="str">
        <f>HYPERLINK("http://service.sap.com/sap/support/notes/1939300","1939300")</f>
        <v>1939300</v>
      </c>
      <c r="D1340">
        <v>2</v>
      </c>
      <c r="E1340" t="s">
        <v>1196</v>
      </c>
      <c r="F1340" t="s">
        <v>9</v>
      </c>
    </row>
    <row r="1341" spans="1:6" x14ac:dyDescent="0.3">
      <c r="A1341" t="s">
        <v>476</v>
      </c>
      <c r="B1341" t="s">
        <v>134</v>
      </c>
      <c r="C1341" t="str">
        <f>HYPERLINK("http://service.sap.com/sap/support/notes/1897853","1897853")</f>
        <v>1897853</v>
      </c>
      <c r="D1341">
        <v>4</v>
      </c>
      <c r="E1341" t="s">
        <v>1586</v>
      </c>
      <c r="F1341" t="s">
        <v>9</v>
      </c>
    </row>
    <row r="1342" spans="1:6" x14ac:dyDescent="0.3">
      <c r="A1342" t="s">
        <v>476</v>
      </c>
      <c r="B1342" t="s">
        <v>134</v>
      </c>
      <c r="C1342" t="str">
        <f>HYPERLINK("http://service.sap.com/sap/support/notes/1918883","1918883")</f>
        <v>1918883</v>
      </c>
      <c r="D1342">
        <v>7</v>
      </c>
      <c r="E1342" t="s">
        <v>1587</v>
      </c>
      <c r="F1342" t="s">
        <v>9</v>
      </c>
    </row>
    <row r="1343" spans="1:6" x14ac:dyDescent="0.3">
      <c r="A1343" t="s">
        <v>476</v>
      </c>
      <c r="B1343" t="s">
        <v>134</v>
      </c>
      <c r="C1343" t="str">
        <f>HYPERLINK("http://service.sap.com/sap/support/notes/1921113","1921113")</f>
        <v>1921113</v>
      </c>
      <c r="D1343">
        <v>3</v>
      </c>
      <c r="E1343" t="s">
        <v>1588</v>
      </c>
      <c r="F1343" t="s">
        <v>9</v>
      </c>
    </row>
    <row r="1344" spans="1:6" x14ac:dyDescent="0.3">
      <c r="A1344" t="s">
        <v>476</v>
      </c>
      <c r="B1344" t="s">
        <v>134</v>
      </c>
      <c r="C1344" t="str">
        <f>HYPERLINK("http://service.sap.com/sap/support/notes/1925187","1925187")</f>
        <v>1925187</v>
      </c>
      <c r="D1344">
        <v>4</v>
      </c>
      <c r="E1344" t="s">
        <v>1589</v>
      </c>
      <c r="F1344" t="s">
        <v>9</v>
      </c>
    </row>
    <row r="1345" spans="1:6" x14ac:dyDescent="0.3">
      <c r="A1345" t="s">
        <v>476</v>
      </c>
      <c r="B1345" t="s">
        <v>134</v>
      </c>
      <c r="C1345" t="str">
        <f>HYPERLINK("http://service.sap.com/sap/support/notes/1925547","1925547")</f>
        <v>1925547</v>
      </c>
      <c r="D1345">
        <v>3</v>
      </c>
      <c r="E1345" t="s">
        <v>1590</v>
      </c>
      <c r="F1345" t="s">
        <v>16</v>
      </c>
    </row>
    <row r="1346" spans="1:6" x14ac:dyDescent="0.3">
      <c r="A1346" t="s">
        <v>476</v>
      </c>
      <c r="B1346" t="s">
        <v>134</v>
      </c>
      <c r="C1346" t="str">
        <f>HYPERLINK("http://service.sap.com/sap/support/notes/1934982","1934982")</f>
        <v>1934982</v>
      </c>
      <c r="D1346">
        <v>3</v>
      </c>
      <c r="E1346" t="s">
        <v>1591</v>
      </c>
      <c r="F1346" t="s">
        <v>9</v>
      </c>
    </row>
    <row r="1347" spans="1:6" x14ac:dyDescent="0.3">
      <c r="A1347" t="s">
        <v>476</v>
      </c>
      <c r="B1347" t="s">
        <v>134</v>
      </c>
      <c r="C1347" t="str">
        <f>HYPERLINK("http://service.sap.com/sap/support/notes/1939954","1939954")</f>
        <v>1939954</v>
      </c>
      <c r="D1347">
        <v>2</v>
      </c>
      <c r="E1347" t="s">
        <v>1592</v>
      </c>
      <c r="F1347" t="s">
        <v>9</v>
      </c>
    </row>
    <row r="1348" spans="1:6" x14ac:dyDescent="0.3">
      <c r="A1348" t="s">
        <v>476</v>
      </c>
      <c r="B1348" t="s">
        <v>134</v>
      </c>
      <c r="C1348" t="str">
        <f>HYPERLINK("http://service.sap.com/sap/support/notes/1940373","1940373")</f>
        <v>1940373</v>
      </c>
      <c r="D1348">
        <v>3</v>
      </c>
      <c r="E1348" t="s">
        <v>1593</v>
      </c>
      <c r="F1348" t="s">
        <v>9</v>
      </c>
    </row>
    <row r="1349" spans="1:6" x14ac:dyDescent="0.3">
      <c r="A1349" t="s">
        <v>476</v>
      </c>
      <c r="B1349" t="s">
        <v>134</v>
      </c>
      <c r="C1349" t="str">
        <f>HYPERLINK("http://service.sap.com/sap/support/notes/1942030","1942030")</f>
        <v>1942030</v>
      </c>
      <c r="D1349">
        <v>2</v>
      </c>
      <c r="E1349" t="s">
        <v>1594</v>
      </c>
      <c r="F1349" t="s">
        <v>9</v>
      </c>
    </row>
    <row r="1350" spans="1:6" x14ac:dyDescent="0.3">
      <c r="A1350" t="s">
        <v>476</v>
      </c>
      <c r="B1350" t="s">
        <v>134</v>
      </c>
      <c r="C1350" t="str">
        <f>HYPERLINK("http://service.sap.com/sap/support/notes/1943180","1943180")</f>
        <v>1943180</v>
      </c>
      <c r="D1350">
        <v>1</v>
      </c>
      <c r="E1350" t="s">
        <v>1595</v>
      </c>
      <c r="F1350" t="s">
        <v>9</v>
      </c>
    </row>
    <row r="1351" spans="1:6" x14ac:dyDescent="0.3">
      <c r="A1351" t="s">
        <v>476</v>
      </c>
      <c r="B1351" t="s">
        <v>134</v>
      </c>
      <c r="C1351" t="str">
        <f>HYPERLINK("http://service.sap.com/sap/support/notes/1943398","1943398")</f>
        <v>1943398</v>
      </c>
      <c r="D1351">
        <v>4</v>
      </c>
      <c r="E1351" t="s">
        <v>1596</v>
      </c>
      <c r="F1351" t="s">
        <v>9</v>
      </c>
    </row>
    <row r="1352" spans="1:6" x14ac:dyDescent="0.3">
      <c r="A1352" t="s">
        <v>476</v>
      </c>
      <c r="B1352" t="s">
        <v>134</v>
      </c>
      <c r="C1352" t="str">
        <f>HYPERLINK("http://service.sap.com/sap/support/notes/1944251","1944251")</f>
        <v>1944251</v>
      </c>
      <c r="D1352">
        <v>1</v>
      </c>
      <c r="E1352" t="s">
        <v>1597</v>
      </c>
      <c r="F1352" t="s">
        <v>9</v>
      </c>
    </row>
    <row r="1353" spans="1:6" x14ac:dyDescent="0.3">
      <c r="A1353" t="s">
        <v>476</v>
      </c>
      <c r="B1353" t="s">
        <v>134</v>
      </c>
      <c r="C1353" t="str">
        <f>HYPERLINK("http://service.sap.com/sap/support/notes/1945259","1945259")</f>
        <v>1945259</v>
      </c>
      <c r="D1353">
        <v>6</v>
      </c>
      <c r="E1353" t="s">
        <v>1598</v>
      </c>
      <c r="F1353" t="s">
        <v>9</v>
      </c>
    </row>
    <row r="1354" spans="1:6" x14ac:dyDescent="0.3">
      <c r="A1354" t="s">
        <v>476</v>
      </c>
      <c r="B1354" t="s">
        <v>134</v>
      </c>
      <c r="C1354" t="str">
        <f>HYPERLINK("http://service.sap.com/sap/support/notes/1945297","1945297")</f>
        <v>1945297</v>
      </c>
      <c r="D1354">
        <v>3</v>
      </c>
      <c r="E1354" t="s">
        <v>1599</v>
      </c>
      <c r="F1354" t="s">
        <v>9</v>
      </c>
    </row>
    <row r="1355" spans="1:6" x14ac:dyDescent="0.3">
      <c r="A1355" t="s">
        <v>476</v>
      </c>
      <c r="B1355" t="s">
        <v>134</v>
      </c>
      <c r="C1355" t="str">
        <f>HYPERLINK("http://service.sap.com/sap/support/notes/1945688","1945688")</f>
        <v>1945688</v>
      </c>
      <c r="D1355">
        <v>3</v>
      </c>
      <c r="E1355" t="s">
        <v>1600</v>
      </c>
      <c r="F1355" t="s">
        <v>9</v>
      </c>
    </row>
    <row r="1356" spans="1:6" x14ac:dyDescent="0.3">
      <c r="A1356" t="s">
        <v>476</v>
      </c>
      <c r="B1356" t="s">
        <v>134</v>
      </c>
      <c r="C1356" t="str">
        <f>HYPERLINK("http://service.sap.com/sap/support/notes/1947623","1947623")</f>
        <v>1947623</v>
      </c>
      <c r="D1356">
        <v>4</v>
      </c>
      <c r="E1356" t="s">
        <v>1601</v>
      </c>
      <c r="F1356" t="s">
        <v>9</v>
      </c>
    </row>
    <row r="1357" spans="1:6" x14ac:dyDescent="0.3">
      <c r="A1357" t="s">
        <v>476</v>
      </c>
      <c r="B1357" t="s">
        <v>134</v>
      </c>
      <c r="C1357" t="str">
        <f>HYPERLINK("http://service.sap.com/sap/support/notes/1951220","1951220")</f>
        <v>1951220</v>
      </c>
      <c r="D1357">
        <v>3</v>
      </c>
      <c r="E1357" t="s">
        <v>1602</v>
      </c>
      <c r="F1357" t="s">
        <v>9</v>
      </c>
    </row>
    <row r="1358" spans="1:6" x14ac:dyDescent="0.3">
      <c r="A1358" t="s">
        <v>476</v>
      </c>
      <c r="B1358" t="s">
        <v>134</v>
      </c>
      <c r="C1358" t="str">
        <f>HYPERLINK("http://service.sap.com/sap/support/notes/1952765","1952765")</f>
        <v>1952765</v>
      </c>
      <c r="D1358">
        <v>1</v>
      </c>
      <c r="E1358" t="s">
        <v>1603</v>
      </c>
      <c r="F1358" t="s">
        <v>9</v>
      </c>
    </row>
    <row r="1359" spans="1:6" x14ac:dyDescent="0.3">
      <c r="A1359" t="s">
        <v>476</v>
      </c>
      <c r="B1359" t="s">
        <v>134</v>
      </c>
      <c r="C1359" t="str">
        <f>HYPERLINK("http://service.sap.com/sap/support/notes/1953907","1953907")</f>
        <v>1953907</v>
      </c>
      <c r="D1359">
        <v>1</v>
      </c>
      <c r="E1359" t="s">
        <v>1604</v>
      </c>
      <c r="F1359" t="s">
        <v>28</v>
      </c>
    </row>
    <row r="1360" spans="1:6" x14ac:dyDescent="0.3">
      <c r="A1360" t="s">
        <v>476</v>
      </c>
      <c r="B1360" t="s">
        <v>134</v>
      </c>
      <c r="C1360" t="str">
        <f>HYPERLINK("http://service.sap.com/sap/support/notes/1953909","1953909")</f>
        <v>1953909</v>
      </c>
      <c r="D1360">
        <v>1</v>
      </c>
      <c r="E1360" t="s">
        <v>1605</v>
      </c>
      <c r="F1360" t="s">
        <v>28</v>
      </c>
    </row>
    <row r="1361" spans="1:6" x14ac:dyDescent="0.3">
      <c r="A1361" t="s">
        <v>476</v>
      </c>
      <c r="B1361" t="s">
        <v>134</v>
      </c>
      <c r="C1361" t="str">
        <f>HYPERLINK("http://service.sap.com/sap/support/notes/1955341","1955341")</f>
        <v>1955341</v>
      </c>
      <c r="D1361">
        <v>2</v>
      </c>
      <c r="E1361" t="s">
        <v>1606</v>
      </c>
      <c r="F1361" t="s">
        <v>9</v>
      </c>
    </row>
    <row r="1362" spans="1:6" x14ac:dyDescent="0.3">
      <c r="A1362" t="s">
        <v>476</v>
      </c>
      <c r="B1362" t="s">
        <v>134</v>
      </c>
      <c r="C1362" t="str">
        <f>HYPERLINK("http://service.sap.com/sap/support/notes/1957535","1957535")</f>
        <v>1957535</v>
      </c>
      <c r="D1362">
        <v>3</v>
      </c>
      <c r="E1362" t="s">
        <v>1607</v>
      </c>
      <c r="F1362" t="s">
        <v>28</v>
      </c>
    </row>
    <row r="1363" spans="1:6" x14ac:dyDescent="0.3">
      <c r="A1363" t="s">
        <v>476</v>
      </c>
      <c r="B1363" t="s">
        <v>134</v>
      </c>
      <c r="C1363" t="str">
        <f>HYPERLINK("http://service.sap.com/sap/support/notes/1961139","1961139")</f>
        <v>1961139</v>
      </c>
      <c r="D1363">
        <v>1</v>
      </c>
      <c r="E1363" t="s">
        <v>1608</v>
      </c>
      <c r="F1363" t="s">
        <v>9</v>
      </c>
    </row>
    <row r="1364" spans="1:6" x14ac:dyDescent="0.3">
      <c r="A1364" t="s">
        <v>476</v>
      </c>
      <c r="B1364" t="s">
        <v>134</v>
      </c>
      <c r="C1364" t="str">
        <f>HYPERLINK("http://service.sap.com/sap/support/notes/1894725","1894725")</f>
        <v>1894725</v>
      </c>
      <c r="D1364">
        <v>4</v>
      </c>
      <c r="E1364" t="s">
        <v>2108</v>
      </c>
      <c r="F1364" t="s">
        <v>35</v>
      </c>
    </row>
    <row r="1365" spans="1:6" x14ac:dyDescent="0.3">
      <c r="A1365" t="s">
        <v>476</v>
      </c>
      <c r="B1365" t="s">
        <v>134</v>
      </c>
      <c r="C1365" t="str">
        <f>HYPERLINK("http://service.sap.com/sap/support/notes/1954280","1954280")</f>
        <v>1954280</v>
      </c>
      <c r="D1365">
        <v>3</v>
      </c>
      <c r="E1365" t="s">
        <v>2109</v>
      </c>
      <c r="F1365" t="s">
        <v>9</v>
      </c>
    </row>
    <row r="1366" spans="1:6" x14ac:dyDescent="0.3">
      <c r="A1366" t="s">
        <v>476</v>
      </c>
      <c r="B1366" t="s">
        <v>134</v>
      </c>
      <c r="C1366" t="str">
        <f>HYPERLINK("http://service.sap.com/sap/support/notes/1956729","1956729")</f>
        <v>1956729</v>
      </c>
      <c r="D1366">
        <v>7</v>
      </c>
      <c r="E1366" t="s">
        <v>2110</v>
      </c>
      <c r="F1366" t="s">
        <v>9</v>
      </c>
    </row>
    <row r="1367" spans="1:6" x14ac:dyDescent="0.3">
      <c r="A1367" t="s">
        <v>476</v>
      </c>
      <c r="B1367" t="s">
        <v>134</v>
      </c>
      <c r="C1367" t="str">
        <f>HYPERLINK("http://service.sap.com/sap/support/notes/1958230","1958230")</f>
        <v>1958230</v>
      </c>
      <c r="D1367">
        <v>2</v>
      </c>
      <c r="E1367" t="s">
        <v>2111</v>
      </c>
      <c r="F1367" t="s">
        <v>9</v>
      </c>
    </row>
    <row r="1368" spans="1:6" x14ac:dyDescent="0.3">
      <c r="A1368" t="s">
        <v>476</v>
      </c>
      <c r="B1368" t="s">
        <v>134</v>
      </c>
      <c r="C1368" t="str">
        <f>HYPERLINK("http://service.sap.com/sap/support/notes/1958855","1958855")</f>
        <v>1958855</v>
      </c>
      <c r="D1368">
        <v>2</v>
      </c>
      <c r="E1368" t="s">
        <v>2112</v>
      </c>
      <c r="F1368" t="s">
        <v>9</v>
      </c>
    </row>
    <row r="1369" spans="1:6" x14ac:dyDescent="0.3">
      <c r="A1369" t="s">
        <v>476</v>
      </c>
      <c r="B1369" t="s">
        <v>134</v>
      </c>
      <c r="C1369" t="str">
        <f>HYPERLINK("http://service.sap.com/sap/support/notes/1962178","1962178")</f>
        <v>1962178</v>
      </c>
      <c r="D1369">
        <v>8</v>
      </c>
      <c r="E1369" t="s">
        <v>2113</v>
      </c>
      <c r="F1369" t="s">
        <v>9</v>
      </c>
    </row>
    <row r="1370" spans="1:6" x14ac:dyDescent="0.3">
      <c r="A1370" t="s">
        <v>476</v>
      </c>
      <c r="B1370" t="s">
        <v>134</v>
      </c>
      <c r="C1370" t="str">
        <f>HYPERLINK("http://service.sap.com/sap/support/notes/1963309","1963309")</f>
        <v>1963309</v>
      </c>
      <c r="D1370">
        <v>1</v>
      </c>
      <c r="E1370" t="s">
        <v>2114</v>
      </c>
      <c r="F1370" t="s">
        <v>9</v>
      </c>
    </row>
    <row r="1371" spans="1:6" x14ac:dyDescent="0.3">
      <c r="A1371" t="s">
        <v>476</v>
      </c>
      <c r="B1371" t="s">
        <v>134</v>
      </c>
      <c r="C1371" t="str">
        <f>HYPERLINK("http://service.sap.com/sap/support/notes/1963988","1963988")</f>
        <v>1963988</v>
      </c>
      <c r="D1371">
        <v>3</v>
      </c>
      <c r="E1371" t="s">
        <v>2115</v>
      </c>
      <c r="F1371" t="s">
        <v>9</v>
      </c>
    </row>
    <row r="1372" spans="1:6" x14ac:dyDescent="0.3">
      <c r="A1372" t="s">
        <v>476</v>
      </c>
      <c r="B1372" t="s">
        <v>134</v>
      </c>
      <c r="C1372" t="str">
        <f>HYPERLINK("http://service.sap.com/sap/support/notes/1964729","1964729")</f>
        <v>1964729</v>
      </c>
      <c r="D1372">
        <v>1</v>
      </c>
      <c r="E1372" t="s">
        <v>2116</v>
      </c>
      <c r="F1372" t="s">
        <v>9</v>
      </c>
    </row>
    <row r="1373" spans="1:6" x14ac:dyDescent="0.3">
      <c r="A1373" t="s">
        <v>476</v>
      </c>
      <c r="B1373" t="s">
        <v>134</v>
      </c>
      <c r="C1373" t="str">
        <f>HYPERLINK("http://service.sap.com/sap/support/notes/1965018","1965018")</f>
        <v>1965018</v>
      </c>
      <c r="D1373">
        <v>2</v>
      </c>
      <c r="E1373" t="s">
        <v>2117</v>
      </c>
      <c r="F1373" t="s">
        <v>9</v>
      </c>
    </row>
    <row r="1374" spans="1:6" x14ac:dyDescent="0.3">
      <c r="A1374" t="s">
        <v>476</v>
      </c>
      <c r="B1374" t="s">
        <v>134</v>
      </c>
      <c r="C1374" t="str">
        <f>HYPERLINK("http://service.sap.com/sap/support/notes/1965243","1965243")</f>
        <v>1965243</v>
      </c>
      <c r="D1374">
        <v>1</v>
      </c>
      <c r="E1374" t="s">
        <v>2118</v>
      </c>
      <c r="F1374" t="s">
        <v>9</v>
      </c>
    </row>
    <row r="1375" spans="1:6" x14ac:dyDescent="0.3">
      <c r="A1375" t="s">
        <v>476</v>
      </c>
      <c r="B1375" t="s">
        <v>134</v>
      </c>
      <c r="C1375" t="str">
        <f>HYPERLINK("http://service.sap.com/sap/support/notes/1966617","1966617")</f>
        <v>1966617</v>
      </c>
      <c r="D1375">
        <v>2</v>
      </c>
      <c r="E1375" t="s">
        <v>2119</v>
      </c>
      <c r="F1375" t="s">
        <v>9</v>
      </c>
    </row>
    <row r="1376" spans="1:6" x14ac:dyDescent="0.3">
      <c r="A1376" t="s">
        <v>476</v>
      </c>
      <c r="B1376" t="s">
        <v>134</v>
      </c>
      <c r="C1376" t="str">
        <f>HYPERLINK("http://service.sap.com/sap/support/notes/1967089","1967089")</f>
        <v>1967089</v>
      </c>
      <c r="D1376">
        <v>4</v>
      </c>
      <c r="E1376" t="s">
        <v>2120</v>
      </c>
      <c r="F1376" t="s">
        <v>9</v>
      </c>
    </row>
    <row r="1377" spans="1:6" x14ac:dyDescent="0.3">
      <c r="A1377" t="s">
        <v>476</v>
      </c>
      <c r="B1377" t="s">
        <v>134</v>
      </c>
      <c r="C1377" t="str">
        <f>HYPERLINK("http://service.sap.com/sap/support/notes/1967197","1967197")</f>
        <v>1967197</v>
      </c>
      <c r="D1377">
        <v>2</v>
      </c>
      <c r="E1377" t="s">
        <v>2121</v>
      </c>
      <c r="F1377" t="s">
        <v>9</v>
      </c>
    </row>
    <row r="1378" spans="1:6" x14ac:dyDescent="0.3">
      <c r="A1378" t="s">
        <v>476</v>
      </c>
      <c r="B1378" t="s">
        <v>134</v>
      </c>
      <c r="C1378" t="str">
        <f>HYPERLINK("http://service.sap.com/sap/support/notes/1967514","1967514")</f>
        <v>1967514</v>
      </c>
      <c r="D1378">
        <v>3</v>
      </c>
      <c r="E1378" t="s">
        <v>2122</v>
      </c>
      <c r="F1378" t="s">
        <v>9</v>
      </c>
    </row>
    <row r="1379" spans="1:6" x14ac:dyDescent="0.3">
      <c r="A1379" t="s">
        <v>476</v>
      </c>
      <c r="B1379" t="s">
        <v>134</v>
      </c>
      <c r="C1379" t="str">
        <f>HYPERLINK("http://service.sap.com/sap/support/notes/1967708","1967708")</f>
        <v>1967708</v>
      </c>
      <c r="D1379">
        <v>2</v>
      </c>
      <c r="E1379" t="s">
        <v>2123</v>
      </c>
      <c r="F1379" t="s">
        <v>9</v>
      </c>
    </row>
    <row r="1380" spans="1:6" x14ac:dyDescent="0.3">
      <c r="A1380" t="s">
        <v>476</v>
      </c>
      <c r="B1380" t="s">
        <v>134</v>
      </c>
      <c r="C1380" t="str">
        <f>HYPERLINK("http://service.sap.com/sap/support/notes/1969237","1969237")</f>
        <v>1969237</v>
      </c>
      <c r="D1380">
        <v>1</v>
      </c>
      <c r="E1380" t="s">
        <v>2124</v>
      </c>
      <c r="F1380" t="s">
        <v>9</v>
      </c>
    </row>
    <row r="1381" spans="1:6" x14ac:dyDescent="0.3">
      <c r="A1381" t="s">
        <v>476</v>
      </c>
      <c r="B1381" t="s">
        <v>134</v>
      </c>
      <c r="C1381" t="str">
        <f>HYPERLINK("http://service.sap.com/sap/support/notes/1969453","1969453")</f>
        <v>1969453</v>
      </c>
      <c r="D1381">
        <v>2</v>
      </c>
      <c r="E1381" t="s">
        <v>2125</v>
      </c>
      <c r="F1381" t="s">
        <v>9</v>
      </c>
    </row>
    <row r="1382" spans="1:6" x14ac:dyDescent="0.3">
      <c r="A1382" t="s">
        <v>476</v>
      </c>
      <c r="B1382" t="s">
        <v>134</v>
      </c>
      <c r="C1382" t="str">
        <f>HYPERLINK("http://service.sap.com/sap/support/notes/1969744","1969744")</f>
        <v>1969744</v>
      </c>
      <c r="D1382">
        <v>1</v>
      </c>
      <c r="E1382" t="s">
        <v>2126</v>
      </c>
      <c r="F1382" t="s">
        <v>9</v>
      </c>
    </row>
    <row r="1383" spans="1:6" x14ac:dyDescent="0.3">
      <c r="A1383" t="s">
        <v>476</v>
      </c>
      <c r="B1383" t="s">
        <v>134</v>
      </c>
      <c r="C1383" t="str">
        <f>HYPERLINK("http://service.sap.com/sap/support/notes/1944661","1944661")</f>
        <v>1944661</v>
      </c>
      <c r="D1383">
        <v>5</v>
      </c>
      <c r="E1383" t="s">
        <v>2448</v>
      </c>
      <c r="F1383" t="s">
        <v>9</v>
      </c>
    </row>
    <row r="1384" spans="1:6" x14ac:dyDescent="0.3">
      <c r="A1384" t="s">
        <v>476</v>
      </c>
      <c r="B1384" t="s">
        <v>134</v>
      </c>
      <c r="C1384" t="str">
        <f>HYPERLINK("http://service.sap.com/sap/support/notes/1953525","1953525")</f>
        <v>1953525</v>
      </c>
      <c r="D1384">
        <v>4</v>
      </c>
      <c r="E1384" t="s">
        <v>2449</v>
      </c>
      <c r="F1384" t="s">
        <v>9</v>
      </c>
    </row>
    <row r="1385" spans="1:6" x14ac:dyDescent="0.3">
      <c r="A1385" t="s">
        <v>476</v>
      </c>
      <c r="B1385" t="s">
        <v>134</v>
      </c>
      <c r="C1385" t="str">
        <f>HYPERLINK("http://service.sap.com/sap/support/notes/1956368","1956368")</f>
        <v>1956368</v>
      </c>
      <c r="D1385">
        <v>3</v>
      </c>
      <c r="E1385" t="s">
        <v>2450</v>
      </c>
      <c r="F1385" t="s">
        <v>16</v>
      </c>
    </row>
    <row r="1386" spans="1:6" x14ac:dyDescent="0.3">
      <c r="A1386" t="s">
        <v>476</v>
      </c>
      <c r="B1386" t="s">
        <v>134</v>
      </c>
      <c r="C1386" t="str">
        <f>HYPERLINK("http://service.sap.com/sap/support/notes/1967280","1967280")</f>
        <v>1967280</v>
      </c>
      <c r="D1386">
        <v>4</v>
      </c>
      <c r="E1386" t="s">
        <v>2451</v>
      </c>
      <c r="F1386" t="s">
        <v>9</v>
      </c>
    </row>
    <row r="1387" spans="1:6" x14ac:dyDescent="0.3">
      <c r="A1387" t="s">
        <v>476</v>
      </c>
      <c r="B1387" t="s">
        <v>134</v>
      </c>
      <c r="C1387" t="str">
        <f>HYPERLINK("http://service.sap.com/sap/support/notes/1969384","1969384")</f>
        <v>1969384</v>
      </c>
      <c r="D1387">
        <v>1</v>
      </c>
      <c r="E1387" t="s">
        <v>2452</v>
      </c>
      <c r="F1387" t="s">
        <v>9</v>
      </c>
    </row>
    <row r="1388" spans="1:6" x14ac:dyDescent="0.3">
      <c r="A1388" t="s">
        <v>476</v>
      </c>
      <c r="B1388" t="s">
        <v>134</v>
      </c>
      <c r="C1388" t="str">
        <f>HYPERLINK("http://service.sap.com/sap/support/notes/1970201","1970201")</f>
        <v>1970201</v>
      </c>
      <c r="D1388">
        <v>2</v>
      </c>
      <c r="E1388" t="s">
        <v>2453</v>
      </c>
      <c r="F1388" t="s">
        <v>9</v>
      </c>
    </row>
    <row r="1389" spans="1:6" x14ac:dyDescent="0.3">
      <c r="A1389" t="s">
        <v>476</v>
      </c>
      <c r="B1389" t="s">
        <v>134</v>
      </c>
      <c r="C1389" t="str">
        <f>HYPERLINK("http://service.sap.com/sap/support/notes/1970709","1970709")</f>
        <v>1970709</v>
      </c>
      <c r="D1389">
        <v>6</v>
      </c>
      <c r="E1389" t="s">
        <v>2454</v>
      </c>
      <c r="F1389" t="s">
        <v>9</v>
      </c>
    </row>
    <row r="1390" spans="1:6" x14ac:dyDescent="0.3">
      <c r="A1390" t="s">
        <v>476</v>
      </c>
      <c r="B1390" t="s">
        <v>134</v>
      </c>
      <c r="C1390" t="str">
        <f>HYPERLINK("http://service.sap.com/sap/support/notes/1971909","1971909")</f>
        <v>1971909</v>
      </c>
      <c r="D1390">
        <v>3</v>
      </c>
      <c r="E1390" t="s">
        <v>2455</v>
      </c>
      <c r="F1390" t="s">
        <v>9</v>
      </c>
    </row>
    <row r="1391" spans="1:6" x14ac:dyDescent="0.3">
      <c r="A1391" t="s">
        <v>476</v>
      </c>
      <c r="B1391" t="s">
        <v>134</v>
      </c>
      <c r="C1391" t="str">
        <f>HYPERLINK("http://service.sap.com/sap/support/notes/1972402","1972402")</f>
        <v>1972402</v>
      </c>
      <c r="D1391">
        <v>2</v>
      </c>
      <c r="E1391" t="s">
        <v>2456</v>
      </c>
      <c r="F1391" t="s">
        <v>9</v>
      </c>
    </row>
    <row r="1392" spans="1:6" x14ac:dyDescent="0.3">
      <c r="A1392" t="s">
        <v>476</v>
      </c>
      <c r="B1392" t="s">
        <v>134</v>
      </c>
      <c r="C1392" t="str">
        <f>HYPERLINK("http://service.sap.com/sap/support/notes/1973335","1973335")</f>
        <v>1973335</v>
      </c>
      <c r="D1392">
        <v>1</v>
      </c>
      <c r="E1392" t="s">
        <v>2457</v>
      </c>
      <c r="F1392" t="s">
        <v>9</v>
      </c>
    </row>
    <row r="1393" spans="1:6" x14ac:dyDescent="0.3">
      <c r="A1393" t="s">
        <v>476</v>
      </c>
      <c r="B1393" t="s">
        <v>134</v>
      </c>
      <c r="C1393" t="str">
        <f>HYPERLINK("http://service.sap.com/sap/support/notes/1973390","1973390")</f>
        <v>1973390</v>
      </c>
      <c r="D1393">
        <v>2</v>
      </c>
      <c r="E1393" t="s">
        <v>2458</v>
      </c>
      <c r="F1393" t="s">
        <v>28</v>
      </c>
    </row>
    <row r="1394" spans="1:6" x14ac:dyDescent="0.3">
      <c r="A1394" t="s">
        <v>476</v>
      </c>
      <c r="B1394" t="s">
        <v>134</v>
      </c>
      <c r="C1394" t="str">
        <f>HYPERLINK("http://service.sap.com/sap/support/notes/1973773","1973773")</f>
        <v>1973773</v>
      </c>
      <c r="D1394">
        <v>1</v>
      </c>
      <c r="E1394" t="s">
        <v>2459</v>
      </c>
      <c r="F1394" t="s">
        <v>9</v>
      </c>
    </row>
    <row r="1395" spans="1:6" x14ac:dyDescent="0.3">
      <c r="A1395" t="s">
        <v>476</v>
      </c>
      <c r="B1395" t="s">
        <v>134</v>
      </c>
      <c r="C1395" t="str">
        <f>HYPERLINK("http://service.sap.com/sap/support/notes/1973972","1973972")</f>
        <v>1973972</v>
      </c>
      <c r="D1395">
        <v>6</v>
      </c>
      <c r="E1395" t="s">
        <v>2460</v>
      </c>
      <c r="F1395" t="s">
        <v>9</v>
      </c>
    </row>
    <row r="1396" spans="1:6" x14ac:dyDescent="0.3">
      <c r="A1396" t="s">
        <v>476</v>
      </c>
      <c r="B1396" t="s">
        <v>134</v>
      </c>
      <c r="C1396" t="str">
        <f>HYPERLINK("http://service.sap.com/sap/support/notes/1974577","1974577")</f>
        <v>1974577</v>
      </c>
      <c r="D1396">
        <v>1</v>
      </c>
      <c r="E1396" t="s">
        <v>2461</v>
      </c>
      <c r="F1396" t="s">
        <v>9</v>
      </c>
    </row>
    <row r="1397" spans="1:6" x14ac:dyDescent="0.3">
      <c r="A1397" t="s">
        <v>476</v>
      </c>
      <c r="B1397" t="s">
        <v>134</v>
      </c>
      <c r="C1397" t="str">
        <f>HYPERLINK("http://service.sap.com/sap/support/notes/1974799","1974799")</f>
        <v>1974799</v>
      </c>
      <c r="D1397">
        <v>2</v>
      </c>
      <c r="E1397" t="s">
        <v>2462</v>
      </c>
      <c r="F1397" t="s">
        <v>28</v>
      </c>
    </row>
    <row r="1398" spans="1:6" x14ac:dyDescent="0.3">
      <c r="A1398" t="s">
        <v>476</v>
      </c>
      <c r="B1398" t="s">
        <v>134</v>
      </c>
      <c r="C1398" t="str">
        <f>HYPERLINK("http://service.sap.com/sap/support/notes/1976040","1976040")</f>
        <v>1976040</v>
      </c>
      <c r="D1398">
        <v>5</v>
      </c>
      <c r="E1398" t="s">
        <v>2463</v>
      </c>
      <c r="F1398" t="s">
        <v>9</v>
      </c>
    </row>
    <row r="1399" spans="1:6" x14ac:dyDescent="0.3">
      <c r="A1399" t="s">
        <v>476</v>
      </c>
      <c r="B1399" t="s">
        <v>134</v>
      </c>
      <c r="C1399" t="str">
        <f>HYPERLINK("http://service.sap.com/sap/support/notes/1976467","1976467")</f>
        <v>1976467</v>
      </c>
      <c r="D1399">
        <v>1</v>
      </c>
      <c r="E1399" t="s">
        <v>2464</v>
      </c>
      <c r="F1399" t="s">
        <v>9</v>
      </c>
    </row>
    <row r="1400" spans="1:6" x14ac:dyDescent="0.3">
      <c r="A1400" t="s">
        <v>476</v>
      </c>
      <c r="B1400" t="s">
        <v>134</v>
      </c>
      <c r="C1400" t="str">
        <f>HYPERLINK("http://service.sap.com/sap/support/notes/1978721","1978721")</f>
        <v>1978721</v>
      </c>
      <c r="D1400">
        <v>1</v>
      </c>
      <c r="E1400" t="s">
        <v>2465</v>
      </c>
      <c r="F1400" t="s">
        <v>9</v>
      </c>
    </row>
    <row r="1401" spans="1:6" x14ac:dyDescent="0.3">
      <c r="A1401" t="s">
        <v>476</v>
      </c>
      <c r="B1401" t="s">
        <v>134</v>
      </c>
      <c r="C1401" t="str">
        <f>HYPERLINK("http://service.sap.com/sap/support/notes/1980106","1980106")</f>
        <v>1980106</v>
      </c>
      <c r="D1401">
        <v>2</v>
      </c>
      <c r="E1401" t="s">
        <v>2466</v>
      </c>
      <c r="F1401" t="s">
        <v>9</v>
      </c>
    </row>
    <row r="1402" spans="1:6" x14ac:dyDescent="0.3">
      <c r="A1402" t="s">
        <v>476</v>
      </c>
      <c r="B1402" t="s">
        <v>134</v>
      </c>
      <c r="C1402" t="str">
        <f>HYPERLINK("http://service.sap.com/sap/support/notes/1980398","1980398")</f>
        <v>1980398</v>
      </c>
      <c r="D1402">
        <v>3</v>
      </c>
      <c r="E1402" t="s">
        <v>2467</v>
      </c>
      <c r="F1402" t="s">
        <v>9</v>
      </c>
    </row>
    <row r="1403" spans="1:6" x14ac:dyDescent="0.3">
      <c r="A1403" t="s">
        <v>476</v>
      </c>
      <c r="B1403" t="s">
        <v>134</v>
      </c>
      <c r="C1403" t="str">
        <f>HYPERLINK("http://service.sap.com/sap/support/notes/1951220","1951220")</f>
        <v>1951220</v>
      </c>
      <c r="D1403">
        <v>3</v>
      </c>
      <c r="E1403" t="s">
        <v>1602</v>
      </c>
      <c r="F1403" t="s">
        <v>9</v>
      </c>
    </row>
    <row r="1404" spans="1:6" x14ac:dyDescent="0.3">
      <c r="A1404" t="s">
        <v>476</v>
      </c>
      <c r="B1404" t="s">
        <v>134</v>
      </c>
      <c r="C1404" t="str">
        <f>HYPERLINK("http://service.sap.com/sap/support/notes/1956187","1956187")</f>
        <v>1956187</v>
      </c>
      <c r="D1404">
        <v>12</v>
      </c>
      <c r="E1404" t="s">
        <v>2890</v>
      </c>
      <c r="F1404" t="s">
        <v>9</v>
      </c>
    </row>
    <row r="1405" spans="1:6" x14ac:dyDescent="0.3">
      <c r="A1405" t="s">
        <v>476</v>
      </c>
      <c r="B1405" t="s">
        <v>134</v>
      </c>
      <c r="C1405" t="str">
        <f>HYPERLINK("http://service.sap.com/sap/support/notes/1974930","1974930")</f>
        <v>1974930</v>
      </c>
      <c r="D1405">
        <v>2</v>
      </c>
      <c r="E1405" t="s">
        <v>2891</v>
      </c>
      <c r="F1405" t="s">
        <v>9</v>
      </c>
    </row>
    <row r="1406" spans="1:6" x14ac:dyDescent="0.3">
      <c r="A1406" t="s">
        <v>476</v>
      </c>
      <c r="B1406" t="s">
        <v>134</v>
      </c>
      <c r="C1406" t="str">
        <f>HYPERLINK("http://service.sap.com/sap/support/notes/1976687","1976687")</f>
        <v>1976687</v>
      </c>
      <c r="D1406">
        <v>3</v>
      </c>
      <c r="E1406" t="s">
        <v>2892</v>
      </c>
      <c r="F1406" t="s">
        <v>9</v>
      </c>
    </row>
    <row r="1407" spans="1:6" x14ac:dyDescent="0.3">
      <c r="A1407" t="s">
        <v>476</v>
      </c>
      <c r="B1407" t="s">
        <v>134</v>
      </c>
      <c r="C1407" t="str">
        <f>HYPERLINK("http://service.sap.com/sap/support/notes/1976773","1976773")</f>
        <v>1976773</v>
      </c>
      <c r="D1407">
        <v>2</v>
      </c>
      <c r="E1407" t="s">
        <v>2893</v>
      </c>
      <c r="F1407" t="s">
        <v>9</v>
      </c>
    </row>
    <row r="1408" spans="1:6" x14ac:dyDescent="0.3">
      <c r="A1408" t="s">
        <v>476</v>
      </c>
      <c r="B1408" t="s">
        <v>134</v>
      </c>
      <c r="C1408" t="str">
        <f>HYPERLINK("http://service.sap.com/sap/support/notes/1977411","1977411")</f>
        <v>1977411</v>
      </c>
      <c r="D1408">
        <v>5</v>
      </c>
      <c r="E1408" t="s">
        <v>2894</v>
      </c>
      <c r="F1408" t="s">
        <v>9</v>
      </c>
    </row>
    <row r="1409" spans="1:6" x14ac:dyDescent="0.3">
      <c r="A1409" t="s">
        <v>476</v>
      </c>
      <c r="B1409" t="s">
        <v>134</v>
      </c>
      <c r="C1409" t="str">
        <f>HYPERLINK("http://service.sap.com/sap/support/notes/1980207","1980207")</f>
        <v>1980207</v>
      </c>
      <c r="D1409">
        <v>2</v>
      </c>
      <c r="E1409" t="s">
        <v>2895</v>
      </c>
      <c r="F1409" t="s">
        <v>9</v>
      </c>
    </row>
    <row r="1410" spans="1:6" x14ac:dyDescent="0.3">
      <c r="A1410" t="s">
        <v>476</v>
      </c>
      <c r="B1410" t="s">
        <v>134</v>
      </c>
      <c r="C1410" t="str">
        <f>HYPERLINK("http://service.sap.com/sap/support/notes/1981908","1981908")</f>
        <v>1981908</v>
      </c>
      <c r="D1410">
        <v>2</v>
      </c>
      <c r="E1410" t="s">
        <v>2896</v>
      </c>
      <c r="F1410" t="s">
        <v>9</v>
      </c>
    </row>
    <row r="1411" spans="1:6" x14ac:dyDescent="0.3">
      <c r="A1411" t="s">
        <v>476</v>
      </c>
      <c r="B1411" t="s">
        <v>134</v>
      </c>
      <c r="C1411" t="str">
        <f>HYPERLINK("http://service.sap.com/sap/support/notes/1982862","1982862")</f>
        <v>1982862</v>
      </c>
      <c r="D1411">
        <v>4</v>
      </c>
      <c r="E1411" t="s">
        <v>2897</v>
      </c>
      <c r="F1411" t="s">
        <v>9</v>
      </c>
    </row>
    <row r="1412" spans="1:6" x14ac:dyDescent="0.3">
      <c r="A1412" t="s">
        <v>476</v>
      </c>
      <c r="B1412" t="s">
        <v>134</v>
      </c>
      <c r="C1412" t="str">
        <f>HYPERLINK("http://service.sap.com/sap/support/notes/1983481","1983481")</f>
        <v>1983481</v>
      </c>
      <c r="D1412">
        <v>2</v>
      </c>
      <c r="E1412" t="s">
        <v>2898</v>
      </c>
      <c r="F1412" t="s">
        <v>9</v>
      </c>
    </row>
    <row r="1413" spans="1:6" x14ac:dyDescent="0.3">
      <c r="A1413" t="s">
        <v>476</v>
      </c>
      <c r="B1413" t="s">
        <v>134</v>
      </c>
      <c r="C1413" t="str">
        <f>HYPERLINK("http://service.sap.com/sap/support/notes/1984329","1984329")</f>
        <v>1984329</v>
      </c>
      <c r="D1413">
        <v>3</v>
      </c>
      <c r="E1413" t="s">
        <v>2899</v>
      </c>
      <c r="F1413" t="s">
        <v>9</v>
      </c>
    </row>
    <row r="1414" spans="1:6" x14ac:dyDescent="0.3">
      <c r="A1414" t="s">
        <v>476</v>
      </c>
      <c r="B1414" t="s">
        <v>134</v>
      </c>
      <c r="C1414" t="str">
        <f>HYPERLINK("http://service.sap.com/sap/support/notes/1984332","1984332")</f>
        <v>1984332</v>
      </c>
      <c r="D1414">
        <v>2</v>
      </c>
      <c r="E1414" t="s">
        <v>2900</v>
      </c>
      <c r="F1414" t="s">
        <v>9</v>
      </c>
    </row>
    <row r="1415" spans="1:6" x14ac:dyDescent="0.3">
      <c r="A1415" t="s">
        <v>476</v>
      </c>
      <c r="B1415" t="s">
        <v>134</v>
      </c>
      <c r="C1415" t="str">
        <f>HYPERLINK("http://service.sap.com/sap/support/notes/1987722","1987722")</f>
        <v>1987722</v>
      </c>
      <c r="D1415">
        <v>1</v>
      </c>
      <c r="E1415" t="s">
        <v>2901</v>
      </c>
      <c r="F1415" t="s">
        <v>9</v>
      </c>
    </row>
    <row r="1416" spans="1:6" x14ac:dyDescent="0.3">
      <c r="A1416" t="s">
        <v>476</v>
      </c>
      <c r="B1416" t="s">
        <v>134</v>
      </c>
      <c r="C1416" t="str">
        <f>HYPERLINK("http://service.sap.com/sap/support/notes/1987854","1987854")</f>
        <v>1987854</v>
      </c>
      <c r="D1416">
        <v>1</v>
      </c>
      <c r="E1416" t="s">
        <v>2902</v>
      </c>
      <c r="F1416" t="s">
        <v>9</v>
      </c>
    </row>
    <row r="1417" spans="1:6" x14ac:dyDescent="0.3">
      <c r="A1417" t="s">
        <v>476</v>
      </c>
      <c r="B1417" t="s">
        <v>134</v>
      </c>
      <c r="C1417" t="str">
        <f>HYPERLINK("http://service.sap.com/sap/support/notes/1990972","1990972")</f>
        <v>1990972</v>
      </c>
      <c r="D1417">
        <v>2</v>
      </c>
      <c r="E1417" t="s">
        <v>2903</v>
      </c>
      <c r="F1417" t="s">
        <v>9</v>
      </c>
    </row>
    <row r="1418" spans="1:6" x14ac:dyDescent="0.3">
      <c r="A1418" t="s">
        <v>476</v>
      </c>
      <c r="B1418" t="s">
        <v>134</v>
      </c>
      <c r="C1418" t="str">
        <f>HYPERLINK("http://service.sap.com/sap/support/notes/1991800","1991800")</f>
        <v>1991800</v>
      </c>
      <c r="D1418">
        <v>1</v>
      </c>
      <c r="E1418" t="s">
        <v>2904</v>
      </c>
      <c r="F1418" t="s">
        <v>28</v>
      </c>
    </row>
    <row r="1419" spans="1:6" x14ac:dyDescent="0.3">
      <c r="A1419" t="s">
        <v>476</v>
      </c>
      <c r="B1419" t="s">
        <v>134</v>
      </c>
      <c r="C1419" t="str">
        <f>HYPERLINK("http://service.sap.com/sap/support/notes/1992096","1992096")</f>
        <v>1992096</v>
      </c>
      <c r="D1419">
        <v>2</v>
      </c>
      <c r="E1419" t="s">
        <v>2905</v>
      </c>
      <c r="F1419" t="s">
        <v>9</v>
      </c>
    </row>
    <row r="1420" spans="1:6" x14ac:dyDescent="0.3">
      <c r="A1420" t="s">
        <v>476</v>
      </c>
      <c r="B1420" t="s">
        <v>134</v>
      </c>
      <c r="C1420" t="str">
        <f>HYPERLINK("http://service.sap.com/sap/support/notes/1993281","1993281")</f>
        <v>1993281</v>
      </c>
      <c r="D1420">
        <v>3</v>
      </c>
      <c r="E1420" t="s">
        <v>2906</v>
      </c>
      <c r="F1420" t="s">
        <v>16</v>
      </c>
    </row>
    <row r="1421" spans="1:6" x14ac:dyDescent="0.3">
      <c r="A1421" t="s">
        <v>476</v>
      </c>
      <c r="B1421" t="s">
        <v>134</v>
      </c>
      <c r="C1421" t="str">
        <f>HYPERLINK("http://service.sap.com/sap/support/notes/1993363","1993363")</f>
        <v>1993363</v>
      </c>
      <c r="D1421">
        <v>3</v>
      </c>
      <c r="E1421" t="s">
        <v>2907</v>
      </c>
      <c r="F1421" t="s">
        <v>28</v>
      </c>
    </row>
    <row r="1422" spans="1:6" x14ac:dyDescent="0.3">
      <c r="A1422" t="s">
        <v>476</v>
      </c>
      <c r="B1422" t="s">
        <v>134</v>
      </c>
      <c r="C1422" t="str">
        <f>HYPERLINK("http://service.sap.com/sap/support/notes/1850347","1850347")</f>
        <v>1850347</v>
      </c>
      <c r="D1422">
        <v>1</v>
      </c>
      <c r="E1422" t="s">
        <v>477</v>
      </c>
      <c r="F1422" t="s">
        <v>16</v>
      </c>
    </row>
    <row r="1423" spans="1:6" x14ac:dyDescent="0.3">
      <c r="A1423" t="s">
        <v>476</v>
      </c>
      <c r="B1423" t="s">
        <v>134</v>
      </c>
      <c r="C1423" t="str">
        <f>HYPERLINK("http://service.sap.com/sap/support/notes/1936493","1936493")</f>
        <v>1936493</v>
      </c>
      <c r="D1423">
        <v>4</v>
      </c>
      <c r="E1423" t="s">
        <v>3563</v>
      </c>
      <c r="F1423" t="s">
        <v>9</v>
      </c>
    </row>
    <row r="1424" spans="1:6" x14ac:dyDescent="0.3">
      <c r="A1424" t="s">
        <v>476</v>
      </c>
      <c r="B1424" t="s">
        <v>134</v>
      </c>
      <c r="C1424" t="str">
        <f>HYPERLINK("http://service.sap.com/sap/support/notes/1978087","1978087")</f>
        <v>1978087</v>
      </c>
      <c r="D1424">
        <v>3</v>
      </c>
      <c r="E1424" t="s">
        <v>3564</v>
      </c>
      <c r="F1424" t="s">
        <v>9</v>
      </c>
    </row>
    <row r="1425" spans="1:6" x14ac:dyDescent="0.3">
      <c r="A1425" t="s">
        <v>476</v>
      </c>
      <c r="B1425" t="s">
        <v>134</v>
      </c>
      <c r="C1425" t="str">
        <f>HYPERLINK("http://service.sap.com/sap/support/notes/1981908","1981908")</f>
        <v>1981908</v>
      </c>
      <c r="D1425">
        <v>2</v>
      </c>
      <c r="E1425" t="s">
        <v>2896</v>
      </c>
      <c r="F1425" t="s">
        <v>9</v>
      </c>
    </row>
    <row r="1426" spans="1:6" x14ac:dyDescent="0.3">
      <c r="A1426" t="s">
        <v>476</v>
      </c>
      <c r="B1426" t="s">
        <v>134</v>
      </c>
      <c r="C1426" t="str">
        <f>HYPERLINK("http://service.sap.com/sap/support/notes/1993363","1993363")</f>
        <v>1993363</v>
      </c>
      <c r="D1426">
        <v>3</v>
      </c>
      <c r="E1426" t="s">
        <v>2907</v>
      </c>
      <c r="F1426" t="s">
        <v>28</v>
      </c>
    </row>
    <row r="1427" spans="1:6" x14ac:dyDescent="0.3">
      <c r="A1427" t="s">
        <v>476</v>
      </c>
      <c r="B1427" t="s">
        <v>134</v>
      </c>
      <c r="C1427" t="str">
        <f>HYPERLINK("http://service.sap.com/sap/support/notes/1993364","1993364")</f>
        <v>1993364</v>
      </c>
      <c r="D1427">
        <v>3</v>
      </c>
      <c r="E1427" t="s">
        <v>3565</v>
      </c>
      <c r="F1427" t="s">
        <v>28</v>
      </c>
    </row>
    <row r="1428" spans="1:6" x14ac:dyDescent="0.3">
      <c r="A1428" t="s">
        <v>476</v>
      </c>
      <c r="B1428" t="s">
        <v>134</v>
      </c>
      <c r="C1428" t="str">
        <f>HYPERLINK("http://service.sap.com/sap/support/notes/1993708","1993708")</f>
        <v>1993708</v>
      </c>
      <c r="D1428">
        <v>3</v>
      </c>
      <c r="E1428" t="s">
        <v>3566</v>
      </c>
      <c r="F1428" t="s">
        <v>9</v>
      </c>
    </row>
    <row r="1429" spans="1:6" x14ac:dyDescent="0.3">
      <c r="A1429" t="s">
        <v>476</v>
      </c>
      <c r="B1429" t="s">
        <v>134</v>
      </c>
      <c r="C1429" t="str">
        <f>HYPERLINK("http://service.sap.com/sap/support/notes/1995033","1995033")</f>
        <v>1995033</v>
      </c>
      <c r="D1429">
        <v>5</v>
      </c>
      <c r="E1429" t="s">
        <v>3567</v>
      </c>
      <c r="F1429" t="s">
        <v>9</v>
      </c>
    </row>
    <row r="1430" spans="1:6" x14ac:dyDescent="0.3">
      <c r="A1430" t="s">
        <v>476</v>
      </c>
      <c r="B1430" t="s">
        <v>134</v>
      </c>
      <c r="C1430" t="str">
        <f>HYPERLINK("http://service.sap.com/sap/support/notes/1996845","1996845")</f>
        <v>1996845</v>
      </c>
      <c r="D1430">
        <v>2</v>
      </c>
      <c r="E1430" t="s">
        <v>3568</v>
      </c>
      <c r="F1430" t="s">
        <v>9</v>
      </c>
    </row>
    <row r="1431" spans="1:6" x14ac:dyDescent="0.3">
      <c r="A1431" t="s">
        <v>476</v>
      </c>
      <c r="B1431" t="s">
        <v>134</v>
      </c>
      <c r="C1431" t="str">
        <f>HYPERLINK("http://service.sap.com/sap/support/notes/1997127","1997127")</f>
        <v>1997127</v>
      </c>
      <c r="D1431">
        <v>1</v>
      </c>
      <c r="E1431" t="s">
        <v>3569</v>
      </c>
      <c r="F1431" t="s">
        <v>9</v>
      </c>
    </row>
    <row r="1432" spans="1:6" x14ac:dyDescent="0.3">
      <c r="A1432" t="s">
        <v>476</v>
      </c>
      <c r="B1432" t="s">
        <v>134</v>
      </c>
      <c r="C1432" t="str">
        <f>HYPERLINK("http://service.sap.com/sap/support/notes/1998323","1998323")</f>
        <v>1998323</v>
      </c>
      <c r="D1432">
        <v>1</v>
      </c>
      <c r="E1432" t="s">
        <v>3570</v>
      </c>
      <c r="F1432" t="s">
        <v>9</v>
      </c>
    </row>
    <row r="1433" spans="1:6" x14ac:dyDescent="0.3">
      <c r="A1433" t="s">
        <v>476</v>
      </c>
      <c r="B1433" t="s">
        <v>134</v>
      </c>
      <c r="C1433" t="str">
        <f>HYPERLINK("http://service.sap.com/sap/support/notes/2000354","2000354")</f>
        <v>2000354</v>
      </c>
      <c r="D1433">
        <v>2</v>
      </c>
      <c r="E1433" t="s">
        <v>3571</v>
      </c>
      <c r="F1433" t="s">
        <v>9</v>
      </c>
    </row>
    <row r="1434" spans="1:6" x14ac:dyDescent="0.3">
      <c r="A1434" t="s">
        <v>476</v>
      </c>
      <c r="B1434" t="s">
        <v>134</v>
      </c>
      <c r="C1434" t="str">
        <f>HYPERLINK("http://service.sap.com/sap/support/notes/2002206","2002206")</f>
        <v>2002206</v>
      </c>
      <c r="D1434">
        <v>2</v>
      </c>
      <c r="E1434" t="s">
        <v>3572</v>
      </c>
      <c r="F1434" t="s">
        <v>9</v>
      </c>
    </row>
    <row r="1435" spans="1:6" x14ac:dyDescent="0.3">
      <c r="A1435" t="s">
        <v>476</v>
      </c>
      <c r="B1435" t="s">
        <v>134</v>
      </c>
      <c r="C1435" t="str">
        <f>HYPERLINK("http://service.sap.com/sap/support/notes/2004149","2004149")</f>
        <v>2004149</v>
      </c>
      <c r="D1435">
        <v>1</v>
      </c>
      <c r="E1435" t="s">
        <v>3573</v>
      </c>
      <c r="F1435" t="s">
        <v>9</v>
      </c>
    </row>
    <row r="1436" spans="1:6" x14ac:dyDescent="0.3">
      <c r="A1436" t="s">
        <v>476</v>
      </c>
      <c r="B1436" t="s">
        <v>134</v>
      </c>
      <c r="C1436" t="str">
        <f>HYPERLINK("http://service.sap.com/sap/support/notes/2006446","2006446")</f>
        <v>2006446</v>
      </c>
      <c r="D1436">
        <v>1</v>
      </c>
      <c r="E1436" t="s">
        <v>3574</v>
      </c>
      <c r="F1436" t="s">
        <v>9</v>
      </c>
    </row>
    <row r="1437" spans="1:6" x14ac:dyDescent="0.3">
      <c r="A1437" t="s">
        <v>476</v>
      </c>
      <c r="B1437" t="s">
        <v>134</v>
      </c>
      <c r="C1437" t="str">
        <f>HYPERLINK("http://service.sap.com/sap/support/notes/2007940","2007940")</f>
        <v>2007940</v>
      </c>
      <c r="D1437">
        <v>1</v>
      </c>
      <c r="E1437" t="s">
        <v>3575</v>
      </c>
      <c r="F1437" t="s">
        <v>28</v>
      </c>
    </row>
    <row r="1438" spans="1:6" x14ac:dyDescent="0.3">
      <c r="A1438" t="s">
        <v>476</v>
      </c>
      <c r="B1438" t="s">
        <v>134</v>
      </c>
      <c r="C1438" t="str">
        <f>HYPERLINK("http://service.sap.com/sap/support/notes/1936493","1936493")</f>
        <v>1936493</v>
      </c>
      <c r="D1438">
        <v>4</v>
      </c>
      <c r="E1438" t="s">
        <v>3563</v>
      </c>
      <c r="F1438" t="s">
        <v>9</v>
      </c>
    </row>
    <row r="1439" spans="1:6" x14ac:dyDescent="0.3">
      <c r="A1439" t="s">
        <v>476</v>
      </c>
      <c r="B1439" t="s">
        <v>134</v>
      </c>
      <c r="C1439" t="str">
        <f>HYPERLINK("http://service.sap.com/sap/support/notes/2000267","2000267")</f>
        <v>2000267</v>
      </c>
      <c r="D1439">
        <v>2</v>
      </c>
      <c r="E1439" t="s">
        <v>4091</v>
      </c>
      <c r="F1439" t="s">
        <v>9</v>
      </c>
    </row>
    <row r="1440" spans="1:6" x14ac:dyDescent="0.3">
      <c r="A1440" t="s">
        <v>476</v>
      </c>
      <c r="B1440" t="s">
        <v>134</v>
      </c>
      <c r="C1440" t="str">
        <f>HYPERLINK("http://service.sap.com/sap/support/notes/2001179","2001179")</f>
        <v>2001179</v>
      </c>
      <c r="D1440">
        <v>5</v>
      </c>
      <c r="E1440" t="s">
        <v>4092</v>
      </c>
      <c r="F1440" t="s">
        <v>9</v>
      </c>
    </row>
    <row r="1441" spans="1:6" x14ac:dyDescent="0.3">
      <c r="A1441" t="s">
        <v>476</v>
      </c>
      <c r="B1441" t="s">
        <v>134</v>
      </c>
      <c r="C1441" t="str">
        <f>HYPERLINK("http://service.sap.com/sap/support/notes/2001454","2001454")</f>
        <v>2001454</v>
      </c>
      <c r="D1441">
        <v>3</v>
      </c>
      <c r="E1441" t="s">
        <v>4093</v>
      </c>
      <c r="F1441" t="s">
        <v>9</v>
      </c>
    </row>
    <row r="1442" spans="1:6" x14ac:dyDescent="0.3">
      <c r="A1442" t="s">
        <v>476</v>
      </c>
      <c r="B1442" t="s">
        <v>134</v>
      </c>
      <c r="C1442" t="str">
        <f>HYPERLINK("http://service.sap.com/sap/support/notes/2001532","2001532")</f>
        <v>2001532</v>
      </c>
      <c r="D1442">
        <v>3</v>
      </c>
      <c r="E1442" t="s">
        <v>4094</v>
      </c>
      <c r="F1442" t="s">
        <v>9</v>
      </c>
    </row>
    <row r="1443" spans="1:6" x14ac:dyDescent="0.3">
      <c r="A1443" t="s">
        <v>476</v>
      </c>
      <c r="B1443" t="s">
        <v>134</v>
      </c>
      <c r="C1443" t="str">
        <f>HYPERLINK("http://service.sap.com/sap/support/notes/2006548","2006548")</f>
        <v>2006548</v>
      </c>
      <c r="D1443">
        <v>2</v>
      </c>
      <c r="E1443" t="s">
        <v>4095</v>
      </c>
      <c r="F1443" t="s">
        <v>9</v>
      </c>
    </row>
    <row r="1444" spans="1:6" x14ac:dyDescent="0.3">
      <c r="A1444" t="s">
        <v>476</v>
      </c>
      <c r="B1444" t="s">
        <v>134</v>
      </c>
      <c r="C1444" t="str">
        <f>HYPERLINK("http://service.sap.com/sap/support/notes/2008484","2008484")</f>
        <v>2008484</v>
      </c>
      <c r="D1444">
        <v>2</v>
      </c>
      <c r="E1444" t="s">
        <v>4096</v>
      </c>
      <c r="F1444" t="s">
        <v>9</v>
      </c>
    </row>
    <row r="1445" spans="1:6" x14ac:dyDescent="0.3">
      <c r="A1445" t="s">
        <v>476</v>
      </c>
      <c r="B1445" t="s">
        <v>134</v>
      </c>
      <c r="C1445" t="str">
        <f>HYPERLINK("http://service.sap.com/sap/support/notes/2009007","2009007")</f>
        <v>2009007</v>
      </c>
      <c r="D1445">
        <v>3</v>
      </c>
      <c r="E1445" t="s">
        <v>4097</v>
      </c>
      <c r="F1445" t="s">
        <v>9</v>
      </c>
    </row>
    <row r="1446" spans="1:6" x14ac:dyDescent="0.3">
      <c r="A1446" t="s">
        <v>476</v>
      </c>
      <c r="B1446" t="s">
        <v>134</v>
      </c>
      <c r="C1446" t="str">
        <f>HYPERLINK("http://service.sap.com/sap/support/notes/2012965","2012965")</f>
        <v>2012965</v>
      </c>
      <c r="D1446">
        <v>2</v>
      </c>
      <c r="E1446" t="s">
        <v>4098</v>
      </c>
      <c r="F1446" t="s">
        <v>9</v>
      </c>
    </row>
    <row r="1447" spans="1:6" x14ac:dyDescent="0.3">
      <c r="A1447" t="s">
        <v>476</v>
      </c>
      <c r="B1447" t="s">
        <v>134</v>
      </c>
      <c r="C1447" t="str">
        <f>HYPERLINK("http://service.sap.com/sap/support/notes/2014121","2014121")</f>
        <v>2014121</v>
      </c>
      <c r="D1447">
        <v>2</v>
      </c>
      <c r="E1447" t="s">
        <v>4099</v>
      </c>
      <c r="F1447" t="s">
        <v>9</v>
      </c>
    </row>
    <row r="1448" spans="1:6" x14ac:dyDescent="0.3">
      <c r="A1448" t="s">
        <v>476</v>
      </c>
      <c r="B1448" t="s">
        <v>134</v>
      </c>
      <c r="C1448" t="str">
        <f>HYPERLINK("http://service.sap.com/sap/support/notes/2014175","2014175")</f>
        <v>2014175</v>
      </c>
      <c r="D1448">
        <v>3</v>
      </c>
      <c r="E1448" t="s">
        <v>4100</v>
      </c>
      <c r="F1448" t="s">
        <v>9</v>
      </c>
    </row>
    <row r="1449" spans="1:6" x14ac:dyDescent="0.3">
      <c r="A1449" t="s">
        <v>476</v>
      </c>
      <c r="B1449" t="s">
        <v>134</v>
      </c>
      <c r="C1449" t="str">
        <f>HYPERLINK("http://service.sap.com/sap/support/notes/2016321","2016321")</f>
        <v>2016321</v>
      </c>
      <c r="D1449">
        <v>1</v>
      </c>
      <c r="E1449" t="s">
        <v>4101</v>
      </c>
      <c r="F1449" t="s">
        <v>9</v>
      </c>
    </row>
    <row r="1450" spans="1:6" x14ac:dyDescent="0.3">
      <c r="A1450" t="s">
        <v>476</v>
      </c>
      <c r="B1450" t="s">
        <v>134</v>
      </c>
      <c r="C1450" t="str">
        <f>HYPERLINK("http://service.sap.com/sap/support/notes/2016774","2016774")</f>
        <v>2016774</v>
      </c>
      <c r="D1450">
        <v>4</v>
      </c>
      <c r="E1450" t="s">
        <v>4102</v>
      </c>
      <c r="F1450" t="s">
        <v>9</v>
      </c>
    </row>
    <row r="1451" spans="1:6" x14ac:dyDescent="0.3">
      <c r="A1451" t="s">
        <v>476</v>
      </c>
      <c r="B1451" t="s">
        <v>134</v>
      </c>
      <c r="C1451" t="str">
        <f>HYPERLINK("http://service.sap.com/sap/support/notes/2020143","2020143")</f>
        <v>2020143</v>
      </c>
      <c r="D1451">
        <v>2</v>
      </c>
      <c r="E1451" t="s">
        <v>4103</v>
      </c>
      <c r="F1451" t="s">
        <v>9</v>
      </c>
    </row>
    <row r="1452" spans="1:6" x14ac:dyDescent="0.3">
      <c r="A1452" t="s">
        <v>476</v>
      </c>
      <c r="B1452" t="s">
        <v>134</v>
      </c>
      <c r="C1452" t="str">
        <f>HYPERLINK("http://service.sap.com/sap/support/notes/1992878","1992878")</f>
        <v>1992878</v>
      </c>
      <c r="D1452">
        <v>3</v>
      </c>
      <c r="E1452" t="s">
        <v>4439</v>
      </c>
      <c r="F1452" t="s">
        <v>9</v>
      </c>
    </row>
    <row r="1453" spans="1:6" x14ac:dyDescent="0.3">
      <c r="A1453" t="s">
        <v>476</v>
      </c>
      <c r="B1453" t="s">
        <v>134</v>
      </c>
      <c r="C1453" t="str">
        <f>HYPERLINK("http://service.sap.com/sap/support/notes/2000218","2000218")</f>
        <v>2000218</v>
      </c>
      <c r="D1453">
        <v>2</v>
      </c>
      <c r="E1453" t="s">
        <v>4440</v>
      </c>
      <c r="F1453" t="s">
        <v>9</v>
      </c>
    </row>
    <row r="1454" spans="1:6" x14ac:dyDescent="0.3">
      <c r="A1454" t="s">
        <v>476</v>
      </c>
      <c r="B1454" t="s">
        <v>134</v>
      </c>
      <c r="C1454" t="str">
        <f>HYPERLINK("http://service.sap.com/sap/support/notes/2006168","2006168")</f>
        <v>2006168</v>
      </c>
      <c r="D1454">
        <v>5</v>
      </c>
      <c r="E1454" t="s">
        <v>4441</v>
      </c>
      <c r="F1454" t="s">
        <v>9</v>
      </c>
    </row>
    <row r="1455" spans="1:6" x14ac:dyDescent="0.3">
      <c r="A1455" t="s">
        <v>476</v>
      </c>
      <c r="B1455" t="s">
        <v>134</v>
      </c>
      <c r="C1455" t="str">
        <f>HYPERLINK("http://service.sap.com/sap/support/notes/2019124","2019124")</f>
        <v>2019124</v>
      </c>
      <c r="D1455">
        <v>2</v>
      </c>
      <c r="E1455" t="s">
        <v>4442</v>
      </c>
      <c r="F1455" t="s">
        <v>9</v>
      </c>
    </row>
    <row r="1456" spans="1:6" x14ac:dyDescent="0.3">
      <c r="A1456" t="s">
        <v>476</v>
      </c>
      <c r="B1456" t="s">
        <v>134</v>
      </c>
      <c r="C1456" t="str">
        <f>HYPERLINK("http://service.sap.com/sap/support/notes/2022163","2022163")</f>
        <v>2022163</v>
      </c>
      <c r="D1456">
        <v>3</v>
      </c>
      <c r="E1456" t="s">
        <v>4443</v>
      </c>
      <c r="F1456" t="s">
        <v>9</v>
      </c>
    </row>
    <row r="1457" spans="1:6" x14ac:dyDescent="0.3">
      <c r="A1457" t="s">
        <v>476</v>
      </c>
      <c r="B1457" t="s">
        <v>134</v>
      </c>
      <c r="C1457" t="str">
        <f>HYPERLINK("http://service.sap.com/sap/support/notes/2023560","2023560")</f>
        <v>2023560</v>
      </c>
      <c r="D1457">
        <v>2</v>
      </c>
      <c r="E1457" t="s">
        <v>4444</v>
      </c>
      <c r="F1457" t="s">
        <v>9</v>
      </c>
    </row>
    <row r="1458" spans="1:6" x14ac:dyDescent="0.3">
      <c r="A1458" t="s">
        <v>476</v>
      </c>
      <c r="B1458" t="s">
        <v>134</v>
      </c>
      <c r="C1458" t="str">
        <f>HYPERLINK("http://service.sap.com/sap/support/notes/2025268","2025268")</f>
        <v>2025268</v>
      </c>
      <c r="D1458">
        <v>1</v>
      </c>
      <c r="E1458" t="s">
        <v>4445</v>
      </c>
      <c r="F1458" t="s">
        <v>9</v>
      </c>
    </row>
    <row r="1459" spans="1:6" x14ac:dyDescent="0.3">
      <c r="A1459" t="s">
        <v>476</v>
      </c>
      <c r="B1459" t="s">
        <v>134</v>
      </c>
      <c r="C1459" t="str">
        <f>HYPERLINK("http://service.sap.com/sap/support/notes/2025336","2025336")</f>
        <v>2025336</v>
      </c>
      <c r="D1459">
        <v>3</v>
      </c>
      <c r="E1459" t="s">
        <v>4446</v>
      </c>
      <c r="F1459" t="s">
        <v>9</v>
      </c>
    </row>
    <row r="1460" spans="1:6" x14ac:dyDescent="0.3">
      <c r="A1460" t="s">
        <v>476</v>
      </c>
      <c r="B1460" t="s">
        <v>134</v>
      </c>
      <c r="C1460" t="str">
        <f>HYPERLINK("http://service.sap.com/sap/support/notes/2025995","2025995")</f>
        <v>2025995</v>
      </c>
      <c r="D1460">
        <v>1</v>
      </c>
      <c r="E1460" t="s">
        <v>4447</v>
      </c>
      <c r="F1460" t="s">
        <v>9</v>
      </c>
    </row>
    <row r="1461" spans="1:6" x14ac:dyDescent="0.3">
      <c r="A1461" t="s">
        <v>476</v>
      </c>
      <c r="B1461" t="s">
        <v>134</v>
      </c>
      <c r="C1461" t="str">
        <f>HYPERLINK("http://service.sap.com/sap/support/notes/2030827","2030827")</f>
        <v>2030827</v>
      </c>
      <c r="D1461">
        <v>1</v>
      </c>
      <c r="E1461" t="s">
        <v>4448</v>
      </c>
      <c r="F1461" t="s">
        <v>9</v>
      </c>
    </row>
    <row r="1462" spans="1:6" x14ac:dyDescent="0.3">
      <c r="A1462" t="s">
        <v>476</v>
      </c>
      <c r="B1462" t="s">
        <v>134</v>
      </c>
      <c r="C1462" t="str">
        <f>HYPERLINK("http://service.sap.com/sap/support/notes/2031022","2031022")</f>
        <v>2031022</v>
      </c>
      <c r="D1462">
        <v>2</v>
      </c>
      <c r="E1462" t="s">
        <v>4449</v>
      </c>
      <c r="F1462" t="s">
        <v>9</v>
      </c>
    </row>
    <row r="1463" spans="1:6" x14ac:dyDescent="0.3">
      <c r="A1463" t="s">
        <v>476</v>
      </c>
      <c r="B1463" t="s">
        <v>134</v>
      </c>
      <c r="C1463" t="str">
        <f>HYPERLINK("http://service.sap.com/sap/support/notes/2031317","2031317")</f>
        <v>2031317</v>
      </c>
      <c r="D1463">
        <v>2</v>
      </c>
      <c r="E1463" t="s">
        <v>4450</v>
      </c>
      <c r="F1463" t="s">
        <v>16</v>
      </c>
    </row>
    <row r="1464" spans="1:6" x14ac:dyDescent="0.3">
      <c r="A1464" t="s">
        <v>476</v>
      </c>
      <c r="B1464" t="s">
        <v>134</v>
      </c>
      <c r="C1464" t="str">
        <f>HYPERLINK("http://service.sap.com/sap/support/notes/2004950","2004950")</f>
        <v>2004950</v>
      </c>
      <c r="D1464">
        <v>2</v>
      </c>
      <c r="E1464" t="s">
        <v>4759</v>
      </c>
      <c r="F1464" t="s">
        <v>9</v>
      </c>
    </row>
    <row r="1465" spans="1:6" x14ac:dyDescent="0.3">
      <c r="A1465" t="s">
        <v>476</v>
      </c>
      <c r="B1465" t="s">
        <v>134</v>
      </c>
      <c r="C1465" t="str">
        <f>HYPERLINK("http://service.sap.com/sap/support/notes/2006002","2006002")</f>
        <v>2006002</v>
      </c>
      <c r="D1465">
        <v>4</v>
      </c>
      <c r="E1465" t="s">
        <v>4760</v>
      </c>
      <c r="F1465" t="s">
        <v>9</v>
      </c>
    </row>
    <row r="1466" spans="1:6" x14ac:dyDescent="0.3">
      <c r="A1466" t="s">
        <v>476</v>
      </c>
      <c r="B1466" t="s">
        <v>134</v>
      </c>
      <c r="C1466" t="str">
        <f>HYPERLINK("http://service.sap.com/sap/support/notes/2032675","2032675")</f>
        <v>2032675</v>
      </c>
      <c r="D1466">
        <v>3</v>
      </c>
      <c r="E1466" t="s">
        <v>4761</v>
      </c>
      <c r="F1466" t="s">
        <v>9</v>
      </c>
    </row>
    <row r="1467" spans="1:6" x14ac:dyDescent="0.3">
      <c r="A1467" t="s">
        <v>476</v>
      </c>
      <c r="B1467" t="s">
        <v>134</v>
      </c>
      <c r="C1467" t="str">
        <f>HYPERLINK("http://service.sap.com/sap/support/notes/2034195","2034195")</f>
        <v>2034195</v>
      </c>
      <c r="D1467">
        <v>3</v>
      </c>
      <c r="E1467" t="s">
        <v>4762</v>
      </c>
      <c r="F1467" t="s">
        <v>9</v>
      </c>
    </row>
    <row r="1468" spans="1:6" x14ac:dyDescent="0.3">
      <c r="A1468" t="s">
        <v>476</v>
      </c>
      <c r="B1468" t="s">
        <v>134</v>
      </c>
      <c r="C1468" t="str">
        <f>HYPERLINK("http://service.sap.com/sap/support/notes/2035462","2035462")</f>
        <v>2035462</v>
      </c>
      <c r="D1468">
        <v>1</v>
      </c>
      <c r="E1468" t="s">
        <v>4763</v>
      </c>
      <c r="F1468" t="s">
        <v>9</v>
      </c>
    </row>
    <row r="1469" spans="1:6" x14ac:dyDescent="0.3">
      <c r="A1469" t="s">
        <v>476</v>
      </c>
      <c r="B1469" t="s">
        <v>134</v>
      </c>
      <c r="C1469" t="str">
        <f>HYPERLINK("http://service.sap.com/sap/support/notes/2038626","2038626")</f>
        <v>2038626</v>
      </c>
      <c r="D1469">
        <v>2</v>
      </c>
      <c r="E1469" t="s">
        <v>4764</v>
      </c>
      <c r="F1469" t="s">
        <v>9</v>
      </c>
    </row>
    <row r="1470" spans="1:6" x14ac:dyDescent="0.3">
      <c r="A1470" t="s">
        <v>476</v>
      </c>
      <c r="B1470" t="s">
        <v>134</v>
      </c>
      <c r="C1470" t="str">
        <f>HYPERLINK("http://service.sap.com/sap/support/notes/2041736","2041736")</f>
        <v>2041736</v>
      </c>
      <c r="D1470">
        <v>3</v>
      </c>
      <c r="E1470" t="s">
        <v>4765</v>
      </c>
      <c r="F1470" t="s">
        <v>9</v>
      </c>
    </row>
    <row r="1471" spans="1:6" x14ac:dyDescent="0.3">
      <c r="A1471" t="s">
        <v>476</v>
      </c>
      <c r="B1471" t="s">
        <v>134</v>
      </c>
      <c r="C1471" t="str">
        <f>HYPERLINK("http://service.sap.com/sap/support/notes/1907626","1907626")</f>
        <v>1907626</v>
      </c>
      <c r="D1471">
        <v>6</v>
      </c>
      <c r="E1471" t="s">
        <v>5121</v>
      </c>
      <c r="F1471" t="s">
        <v>28</v>
      </c>
    </row>
    <row r="1472" spans="1:6" x14ac:dyDescent="0.3">
      <c r="A1472" t="s">
        <v>476</v>
      </c>
      <c r="B1472" t="s">
        <v>134</v>
      </c>
      <c r="C1472" t="str">
        <f>HYPERLINK("http://service.sap.com/sap/support/notes/2034854","2034854")</f>
        <v>2034854</v>
      </c>
      <c r="D1472">
        <v>1</v>
      </c>
      <c r="E1472" t="s">
        <v>5122</v>
      </c>
      <c r="F1472" t="s">
        <v>9</v>
      </c>
    </row>
    <row r="1473" spans="1:6" x14ac:dyDescent="0.3">
      <c r="A1473" t="s">
        <v>476</v>
      </c>
      <c r="B1473" t="s">
        <v>134</v>
      </c>
      <c r="C1473" t="str">
        <f>HYPERLINK("http://service.sap.com/sap/support/notes/2036472","2036472")</f>
        <v>2036472</v>
      </c>
      <c r="D1473">
        <v>4</v>
      </c>
      <c r="E1473" t="s">
        <v>5123</v>
      </c>
      <c r="F1473" t="s">
        <v>9</v>
      </c>
    </row>
    <row r="1474" spans="1:6" x14ac:dyDescent="0.3">
      <c r="A1474" t="s">
        <v>476</v>
      </c>
      <c r="B1474" t="s">
        <v>134</v>
      </c>
      <c r="C1474" t="str">
        <f>HYPERLINK("http://service.sap.com/sap/support/notes/2043081","2043081")</f>
        <v>2043081</v>
      </c>
      <c r="D1474">
        <v>4</v>
      </c>
      <c r="E1474" t="s">
        <v>5124</v>
      </c>
      <c r="F1474" t="s">
        <v>9</v>
      </c>
    </row>
    <row r="1475" spans="1:6" x14ac:dyDescent="0.3">
      <c r="A1475" t="s">
        <v>476</v>
      </c>
      <c r="B1475" t="s">
        <v>134</v>
      </c>
      <c r="C1475" t="str">
        <f>HYPERLINK("http://service.sap.com/sap/support/notes/2043878","2043878")</f>
        <v>2043878</v>
      </c>
      <c r="D1475">
        <v>3</v>
      </c>
      <c r="E1475" t="s">
        <v>5125</v>
      </c>
      <c r="F1475" t="s">
        <v>9</v>
      </c>
    </row>
    <row r="1476" spans="1:6" x14ac:dyDescent="0.3">
      <c r="A1476" t="s">
        <v>476</v>
      </c>
      <c r="B1476" t="s">
        <v>134</v>
      </c>
      <c r="C1476" t="str">
        <f>HYPERLINK("http://service.sap.com/sap/support/notes/2045891","2045891")</f>
        <v>2045891</v>
      </c>
      <c r="D1476">
        <v>3</v>
      </c>
      <c r="E1476" t="s">
        <v>5126</v>
      </c>
      <c r="F1476" t="s">
        <v>9</v>
      </c>
    </row>
    <row r="1477" spans="1:6" x14ac:dyDescent="0.3">
      <c r="A1477" t="s">
        <v>476</v>
      </c>
      <c r="B1477" t="s">
        <v>134</v>
      </c>
      <c r="C1477" t="str">
        <f>HYPERLINK("http://service.sap.com/sap/support/notes/2048542","2048542")</f>
        <v>2048542</v>
      </c>
      <c r="D1477">
        <v>1</v>
      </c>
      <c r="E1477" t="s">
        <v>5127</v>
      </c>
      <c r="F1477" t="s">
        <v>9</v>
      </c>
    </row>
    <row r="1478" spans="1:6" x14ac:dyDescent="0.3">
      <c r="A1478" t="s">
        <v>476</v>
      </c>
      <c r="B1478" t="s">
        <v>134</v>
      </c>
      <c r="C1478" t="str">
        <f>HYPERLINK("http://service.sap.com/sap/support/notes/2049196","2049196")</f>
        <v>2049196</v>
      </c>
      <c r="D1478">
        <v>3</v>
      </c>
      <c r="E1478" t="s">
        <v>5128</v>
      </c>
      <c r="F1478" t="s">
        <v>9</v>
      </c>
    </row>
    <row r="1479" spans="1:6" x14ac:dyDescent="0.3">
      <c r="A1479" t="s">
        <v>476</v>
      </c>
      <c r="B1479" t="s">
        <v>134</v>
      </c>
      <c r="C1479" t="str">
        <f>HYPERLINK("http://service.sap.com/sap/support/notes/2050680","2050680")</f>
        <v>2050680</v>
      </c>
      <c r="D1479">
        <v>1</v>
      </c>
      <c r="E1479" t="s">
        <v>5129</v>
      </c>
      <c r="F1479" t="s">
        <v>9</v>
      </c>
    </row>
    <row r="1480" spans="1:6" x14ac:dyDescent="0.3">
      <c r="A1480" t="s">
        <v>476</v>
      </c>
      <c r="B1480" t="s">
        <v>134</v>
      </c>
      <c r="C1480" t="str">
        <f>HYPERLINK("http://service.sap.com/sap/support/notes/2051182","2051182")</f>
        <v>2051182</v>
      </c>
      <c r="D1480">
        <v>2</v>
      </c>
      <c r="E1480" t="s">
        <v>5130</v>
      </c>
      <c r="F1480" t="s">
        <v>9</v>
      </c>
    </row>
    <row r="1481" spans="1:6" x14ac:dyDescent="0.3">
      <c r="A1481" t="s">
        <v>476</v>
      </c>
      <c r="B1481" t="s">
        <v>134</v>
      </c>
      <c r="C1481" t="str">
        <f>HYPERLINK("http://service.sap.com/sap/support/notes/2051525","2051525")</f>
        <v>2051525</v>
      </c>
      <c r="D1481">
        <v>1</v>
      </c>
      <c r="E1481" t="s">
        <v>5131</v>
      </c>
      <c r="F1481" t="s">
        <v>9</v>
      </c>
    </row>
    <row r="1482" spans="1:6" x14ac:dyDescent="0.3">
      <c r="A1482" t="s">
        <v>476</v>
      </c>
      <c r="B1482" t="s">
        <v>134</v>
      </c>
      <c r="C1482" t="str">
        <f>HYPERLINK("http://service.sap.com/sap/support/notes/2052695","2052695")</f>
        <v>2052695</v>
      </c>
      <c r="D1482">
        <v>4</v>
      </c>
      <c r="E1482" t="s">
        <v>5132</v>
      </c>
      <c r="F1482" t="s">
        <v>9</v>
      </c>
    </row>
    <row r="1483" spans="1:6" x14ac:dyDescent="0.3">
      <c r="A1483" t="s">
        <v>476</v>
      </c>
      <c r="B1483" t="s">
        <v>134</v>
      </c>
      <c r="C1483" t="str">
        <f>HYPERLINK("http://service.sap.com/sap/support/notes/2055585","2055585")</f>
        <v>2055585</v>
      </c>
      <c r="D1483">
        <v>9</v>
      </c>
      <c r="E1483" t="s">
        <v>5133</v>
      </c>
      <c r="F1483" t="s">
        <v>9</v>
      </c>
    </row>
    <row r="1484" spans="1:6" x14ac:dyDescent="0.3">
      <c r="A1484" t="s">
        <v>476</v>
      </c>
      <c r="B1484" t="s">
        <v>134</v>
      </c>
      <c r="C1484" t="str">
        <f>HYPERLINK("http://service.sap.com/sap/support/notes/2056629","2056629")</f>
        <v>2056629</v>
      </c>
      <c r="D1484">
        <v>1</v>
      </c>
      <c r="E1484" t="s">
        <v>5134</v>
      </c>
      <c r="F1484" t="s">
        <v>9</v>
      </c>
    </row>
    <row r="1485" spans="1:6" x14ac:dyDescent="0.3">
      <c r="A1485" t="s">
        <v>476</v>
      </c>
      <c r="B1485" t="s">
        <v>134</v>
      </c>
      <c r="C1485" t="str">
        <f>HYPERLINK("http://service.sap.com/sap/support/notes/2041305","2041305")</f>
        <v>2041305</v>
      </c>
      <c r="D1485">
        <v>1</v>
      </c>
      <c r="E1485" t="s">
        <v>5454</v>
      </c>
      <c r="F1485" t="s">
        <v>16</v>
      </c>
    </row>
    <row r="1486" spans="1:6" x14ac:dyDescent="0.3">
      <c r="A1486" t="s">
        <v>476</v>
      </c>
      <c r="B1486" t="s">
        <v>134</v>
      </c>
      <c r="C1486" t="str">
        <f>HYPERLINK("http://service.sap.com/sap/support/notes/2048370","2048370")</f>
        <v>2048370</v>
      </c>
      <c r="D1486">
        <v>3</v>
      </c>
      <c r="E1486" t="s">
        <v>5455</v>
      </c>
      <c r="F1486" t="s">
        <v>9</v>
      </c>
    </row>
    <row r="1487" spans="1:6" x14ac:dyDescent="0.3">
      <c r="A1487" t="s">
        <v>476</v>
      </c>
      <c r="B1487" t="s">
        <v>134</v>
      </c>
      <c r="C1487" t="str">
        <f>HYPERLINK("http://service.sap.com/sap/support/notes/2058006","2058006")</f>
        <v>2058006</v>
      </c>
      <c r="D1487">
        <v>4</v>
      </c>
      <c r="E1487" t="s">
        <v>5456</v>
      </c>
      <c r="F1487" t="s">
        <v>9</v>
      </c>
    </row>
    <row r="1488" spans="1:6" x14ac:dyDescent="0.3">
      <c r="A1488" t="s">
        <v>476</v>
      </c>
      <c r="B1488" t="s">
        <v>134</v>
      </c>
      <c r="C1488" t="str">
        <f>HYPERLINK("http://service.sap.com/sap/support/notes/2060197","2060197")</f>
        <v>2060197</v>
      </c>
      <c r="D1488">
        <v>4</v>
      </c>
      <c r="E1488" t="s">
        <v>5457</v>
      </c>
      <c r="F1488" t="s">
        <v>9</v>
      </c>
    </row>
    <row r="1489" spans="1:6" x14ac:dyDescent="0.3">
      <c r="A1489" t="s">
        <v>476</v>
      </c>
      <c r="B1489" t="s">
        <v>134</v>
      </c>
      <c r="C1489" t="str">
        <f>HYPERLINK("http://service.sap.com/sap/support/notes/2061331","2061331")</f>
        <v>2061331</v>
      </c>
      <c r="D1489">
        <v>4</v>
      </c>
      <c r="E1489" t="s">
        <v>5458</v>
      </c>
      <c r="F1489" t="s">
        <v>9</v>
      </c>
    </row>
    <row r="1490" spans="1:6" x14ac:dyDescent="0.3">
      <c r="A1490" t="s">
        <v>476</v>
      </c>
      <c r="B1490" t="s">
        <v>134</v>
      </c>
      <c r="C1490" t="str">
        <f>HYPERLINK("http://service.sap.com/sap/support/notes/2066365","2066365")</f>
        <v>2066365</v>
      </c>
      <c r="D1490">
        <v>1</v>
      </c>
      <c r="E1490" t="s">
        <v>5459</v>
      </c>
      <c r="F1490" t="s">
        <v>9</v>
      </c>
    </row>
    <row r="1491" spans="1:6" x14ac:dyDescent="0.3">
      <c r="A1491" t="s">
        <v>476</v>
      </c>
      <c r="B1491" t="s">
        <v>134</v>
      </c>
      <c r="C1491" t="str">
        <f>HYPERLINK("http://service.sap.com/sap/support/notes/2066593","2066593")</f>
        <v>2066593</v>
      </c>
      <c r="D1491">
        <v>1</v>
      </c>
      <c r="E1491" t="s">
        <v>5460</v>
      </c>
      <c r="F1491" t="s">
        <v>9</v>
      </c>
    </row>
    <row r="1492" spans="1:6" x14ac:dyDescent="0.3">
      <c r="A1492" t="s">
        <v>476</v>
      </c>
      <c r="B1492" t="s">
        <v>134</v>
      </c>
      <c r="C1492" t="str">
        <f>HYPERLINK("http://service.sap.com/sap/support/notes/2067747","2067747")</f>
        <v>2067747</v>
      </c>
      <c r="D1492">
        <v>2</v>
      </c>
      <c r="E1492" t="s">
        <v>5461</v>
      </c>
      <c r="F1492" t="s">
        <v>16</v>
      </c>
    </row>
    <row r="1493" spans="1:6" x14ac:dyDescent="0.3">
      <c r="A1493" t="s">
        <v>499</v>
      </c>
      <c r="B1493" t="s">
        <v>471</v>
      </c>
      <c r="C1493" t="str">
        <f>HYPERLINK("http://service.sap.com/sap/support/notes/1922272","1922272")</f>
        <v>1922272</v>
      </c>
      <c r="D1493">
        <v>3</v>
      </c>
      <c r="E1493" t="s">
        <v>500</v>
      </c>
      <c r="F1493" t="s">
        <v>9</v>
      </c>
    </row>
    <row r="1494" spans="1:6" x14ac:dyDescent="0.3">
      <c r="A1494" t="s">
        <v>499</v>
      </c>
      <c r="B1494" t="s">
        <v>471</v>
      </c>
      <c r="C1494" t="str">
        <f>HYPERLINK("http://service.sap.com/sap/support/notes/1246605","1246605")</f>
        <v>1246605</v>
      </c>
      <c r="D1494">
        <v>1</v>
      </c>
      <c r="E1494" t="s">
        <v>1609</v>
      </c>
      <c r="F1494" t="s">
        <v>9</v>
      </c>
    </row>
    <row r="1495" spans="1:6" x14ac:dyDescent="0.3">
      <c r="A1495" t="s">
        <v>499</v>
      </c>
      <c r="B1495" t="s">
        <v>471</v>
      </c>
      <c r="C1495" t="str">
        <f>HYPERLINK("http://service.sap.com/sap/support/notes/2017932","2017932")</f>
        <v>2017932</v>
      </c>
      <c r="D1495">
        <v>1</v>
      </c>
      <c r="E1495" t="s">
        <v>4104</v>
      </c>
      <c r="F1495" t="s">
        <v>9</v>
      </c>
    </row>
    <row r="1496" spans="1:6" x14ac:dyDescent="0.3">
      <c r="A1496" t="s">
        <v>499</v>
      </c>
      <c r="B1496" t="s">
        <v>471</v>
      </c>
      <c r="C1496" t="str">
        <f>HYPERLINK("http://service.sap.com/sap/support/notes/2054001","2054001")</f>
        <v>2054001</v>
      </c>
      <c r="D1496">
        <v>3</v>
      </c>
      <c r="E1496" t="s">
        <v>5462</v>
      </c>
      <c r="F1496" t="s">
        <v>9</v>
      </c>
    </row>
    <row r="1497" spans="1:6" x14ac:dyDescent="0.3">
      <c r="A1497" t="s">
        <v>499</v>
      </c>
      <c r="B1497" t="s">
        <v>471</v>
      </c>
      <c r="C1497" t="str">
        <f>HYPERLINK("http://service.sap.com/sap/support/notes/2066902","2066902")</f>
        <v>2066902</v>
      </c>
      <c r="D1497">
        <v>2</v>
      </c>
      <c r="E1497" t="s">
        <v>5463</v>
      </c>
      <c r="F1497" t="s">
        <v>16</v>
      </c>
    </row>
    <row r="1498" spans="1:6" x14ac:dyDescent="0.3">
      <c r="A1498" t="s">
        <v>501</v>
      </c>
      <c r="B1498" t="s">
        <v>502</v>
      </c>
      <c r="C1498" t="str">
        <f>HYPERLINK("http://service.sap.com/sap/support/notes/1060819","1060819")</f>
        <v>1060819</v>
      </c>
      <c r="D1498">
        <v>1</v>
      </c>
      <c r="E1498" t="s">
        <v>503</v>
      </c>
      <c r="F1498" t="s">
        <v>16</v>
      </c>
    </row>
    <row r="1499" spans="1:6" x14ac:dyDescent="0.3">
      <c r="A1499" t="s">
        <v>501</v>
      </c>
      <c r="B1499" t="s">
        <v>502</v>
      </c>
      <c r="C1499" t="str">
        <f>HYPERLINK("http://service.sap.com/sap/support/notes/1575426","1575426")</f>
        <v>1575426</v>
      </c>
      <c r="D1499">
        <v>4</v>
      </c>
      <c r="E1499" t="s">
        <v>504</v>
      </c>
      <c r="F1499" t="s">
        <v>9</v>
      </c>
    </row>
    <row r="1500" spans="1:6" x14ac:dyDescent="0.3">
      <c r="A1500" t="s">
        <v>501</v>
      </c>
      <c r="B1500" t="s">
        <v>502</v>
      </c>
      <c r="C1500" t="str">
        <f>HYPERLINK("http://service.sap.com/sap/support/notes/1713246","1713246")</f>
        <v>1713246</v>
      </c>
      <c r="D1500">
        <v>3</v>
      </c>
      <c r="E1500" t="s">
        <v>505</v>
      </c>
      <c r="F1500" t="s">
        <v>16</v>
      </c>
    </row>
    <row r="1501" spans="1:6" x14ac:dyDescent="0.3">
      <c r="A1501" t="s">
        <v>501</v>
      </c>
      <c r="B1501" t="s">
        <v>502</v>
      </c>
      <c r="C1501" t="str">
        <f>HYPERLINK("http://service.sap.com/sap/support/notes/1909592","1909592")</f>
        <v>1909592</v>
      </c>
      <c r="D1501">
        <v>3</v>
      </c>
      <c r="E1501" t="s">
        <v>506</v>
      </c>
      <c r="F1501" t="s">
        <v>9</v>
      </c>
    </row>
    <row r="1502" spans="1:6" x14ac:dyDescent="0.3">
      <c r="A1502" t="s">
        <v>501</v>
      </c>
      <c r="B1502" t="s">
        <v>502</v>
      </c>
      <c r="C1502" t="str">
        <f>HYPERLINK("http://service.sap.com/sap/support/notes/1916329","1916329")</f>
        <v>1916329</v>
      </c>
      <c r="D1502">
        <v>5</v>
      </c>
      <c r="E1502" t="s">
        <v>507</v>
      </c>
      <c r="F1502" t="s">
        <v>28</v>
      </c>
    </row>
    <row r="1503" spans="1:6" x14ac:dyDescent="0.3">
      <c r="A1503" t="s">
        <v>501</v>
      </c>
      <c r="B1503" t="s">
        <v>502</v>
      </c>
      <c r="C1503" t="str">
        <f>HYPERLINK("http://service.sap.com/sap/support/notes/1922497","1922497")</f>
        <v>1922497</v>
      </c>
      <c r="D1503">
        <v>2</v>
      </c>
      <c r="E1503" t="s">
        <v>508</v>
      </c>
      <c r="F1503" t="s">
        <v>9</v>
      </c>
    </row>
    <row r="1504" spans="1:6" x14ac:dyDescent="0.3">
      <c r="A1504" t="s">
        <v>501</v>
      </c>
      <c r="B1504" t="s">
        <v>502</v>
      </c>
      <c r="C1504" t="str">
        <f>HYPERLINK("http://service.sap.com/sap/support/notes/1924596","1924596")</f>
        <v>1924596</v>
      </c>
      <c r="D1504">
        <v>2</v>
      </c>
      <c r="E1504" t="s">
        <v>509</v>
      </c>
      <c r="F1504" t="s">
        <v>9</v>
      </c>
    </row>
    <row r="1505" spans="1:6" x14ac:dyDescent="0.3">
      <c r="A1505" t="s">
        <v>501</v>
      </c>
      <c r="B1505" t="s">
        <v>502</v>
      </c>
      <c r="C1505" t="str">
        <f>HYPERLINK("http://service.sap.com/sap/support/notes/1929648","1929648")</f>
        <v>1929648</v>
      </c>
      <c r="D1505">
        <v>1</v>
      </c>
      <c r="E1505" t="s">
        <v>510</v>
      </c>
      <c r="F1505" t="s">
        <v>9</v>
      </c>
    </row>
    <row r="1506" spans="1:6" x14ac:dyDescent="0.3">
      <c r="A1506" t="s">
        <v>501</v>
      </c>
      <c r="B1506" t="s">
        <v>502</v>
      </c>
      <c r="C1506" t="str">
        <f>HYPERLINK("http://service.sap.com/sap/support/notes/1929649","1929649")</f>
        <v>1929649</v>
      </c>
      <c r="D1506">
        <v>5</v>
      </c>
      <c r="E1506" t="s">
        <v>511</v>
      </c>
      <c r="F1506" t="s">
        <v>9</v>
      </c>
    </row>
    <row r="1507" spans="1:6" x14ac:dyDescent="0.3">
      <c r="A1507" t="s">
        <v>501</v>
      </c>
      <c r="B1507" t="s">
        <v>502</v>
      </c>
      <c r="C1507" t="str">
        <f>HYPERLINK("http://service.sap.com/sap/support/notes/1929652","1929652")</f>
        <v>1929652</v>
      </c>
      <c r="D1507">
        <v>9</v>
      </c>
      <c r="E1507" t="s">
        <v>512</v>
      </c>
      <c r="F1507" t="s">
        <v>9</v>
      </c>
    </row>
    <row r="1508" spans="1:6" x14ac:dyDescent="0.3">
      <c r="A1508" t="s">
        <v>501</v>
      </c>
      <c r="B1508" t="s">
        <v>502</v>
      </c>
      <c r="C1508" t="str">
        <f>HYPERLINK("http://service.sap.com/sap/support/notes/1929701","1929701")</f>
        <v>1929701</v>
      </c>
      <c r="D1508">
        <v>8</v>
      </c>
      <c r="E1508" t="s">
        <v>513</v>
      </c>
      <c r="F1508" t="s">
        <v>9</v>
      </c>
    </row>
    <row r="1509" spans="1:6" x14ac:dyDescent="0.3">
      <c r="A1509" t="s">
        <v>501</v>
      </c>
      <c r="B1509" t="s">
        <v>502</v>
      </c>
      <c r="C1509" t="str">
        <f>HYPERLINK("http://service.sap.com/sap/support/notes/1929794","1929794")</f>
        <v>1929794</v>
      </c>
      <c r="D1509">
        <v>2</v>
      </c>
      <c r="E1509" t="s">
        <v>514</v>
      </c>
      <c r="F1509" t="s">
        <v>28</v>
      </c>
    </row>
    <row r="1510" spans="1:6" x14ac:dyDescent="0.3">
      <c r="A1510" t="s">
        <v>501</v>
      </c>
      <c r="B1510" t="s">
        <v>502</v>
      </c>
      <c r="C1510" t="str">
        <f>HYPERLINK("http://service.sap.com/sap/support/notes/1929797","1929797")</f>
        <v>1929797</v>
      </c>
      <c r="D1510">
        <v>3</v>
      </c>
      <c r="E1510" t="s">
        <v>515</v>
      </c>
      <c r="F1510" t="s">
        <v>28</v>
      </c>
    </row>
    <row r="1511" spans="1:6" x14ac:dyDescent="0.3">
      <c r="A1511" t="s">
        <v>501</v>
      </c>
      <c r="B1511" t="s">
        <v>502</v>
      </c>
      <c r="C1511" t="str">
        <f>HYPERLINK("http://service.sap.com/sap/support/notes/1930591","1930591")</f>
        <v>1930591</v>
      </c>
      <c r="D1511">
        <v>3</v>
      </c>
      <c r="E1511" t="s">
        <v>516</v>
      </c>
      <c r="F1511" t="s">
        <v>9</v>
      </c>
    </row>
    <row r="1512" spans="1:6" x14ac:dyDescent="0.3">
      <c r="A1512" t="s">
        <v>501</v>
      </c>
      <c r="B1512" t="s">
        <v>502</v>
      </c>
      <c r="C1512" t="str">
        <f>HYPERLINK("http://service.sap.com/sap/support/notes/1930613","1930613")</f>
        <v>1930613</v>
      </c>
      <c r="D1512">
        <v>4</v>
      </c>
      <c r="E1512" t="s">
        <v>517</v>
      </c>
      <c r="F1512" t="s">
        <v>9</v>
      </c>
    </row>
    <row r="1513" spans="1:6" x14ac:dyDescent="0.3">
      <c r="A1513" t="s">
        <v>501</v>
      </c>
      <c r="B1513" t="s">
        <v>502</v>
      </c>
      <c r="C1513" t="str">
        <f>HYPERLINK("http://service.sap.com/sap/support/notes/1930614","1930614")</f>
        <v>1930614</v>
      </c>
      <c r="D1513">
        <v>1</v>
      </c>
      <c r="E1513" t="s">
        <v>518</v>
      </c>
      <c r="F1513" t="s">
        <v>9</v>
      </c>
    </row>
    <row r="1514" spans="1:6" x14ac:dyDescent="0.3">
      <c r="A1514" t="s">
        <v>501</v>
      </c>
      <c r="B1514" t="s">
        <v>502</v>
      </c>
      <c r="C1514" t="str">
        <f>HYPERLINK("http://service.sap.com/sap/support/notes/1930615","1930615")</f>
        <v>1930615</v>
      </c>
      <c r="D1514">
        <v>2</v>
      </c>
      <c r="E1514" t="s">
        <v>519</v>
      </c>
      <c r="F1514" t="s">
        <v>9</v>
      </c>
    </row>
    <row r="1515" spans="1:6" x14ac:dyDescent="0.3">
      <c r="A1515" t="s">
        <v>501</v>
      </c>
      <c r="B1515" t="s">
        <v>502</v>
      </c>
      <c r="C1515" t="str">
        <f>HYPERLINK("http://service.sap.com/sap/support/notes/1930930","1930930")</f>
        <v>1930930</v>
      </c>
      <c r="D1515">
        <v>3</v>
      </c>
      <c r="E1515" t="s">
        <v>520</v>
      </c>
      <c r="F1515" t="s">
        <v>9</v>
      </c>
    </row>
    <row r="1516" spans="1:6" x14ac:dyDescent="0.3">
      <c r="A1516" t="s">
        <v>501</v>
      </c>
      <c r="B1516" t="s">
        <v>502</v>
      </c>
      <c r="C1516" t="str">
        <f>HYPERLINK("http://service.sap.com/sap/support/notes/1866749","1866749")</f>
        <v>1866749</v>
      </c>
      <c r="D1516">
        <v>2</v>
      </c>
      <c r="E1516" t="s">
        <v>1197</v>
      </c>
      <c r="F1516" t="s">
        <v>9</v>
      </c>
    </row>
    <row r="1517" spans="1:6" x14ac:dyDescent="0.3">
      <c r="A1517" t="s">
        <v>501</v>
      </c>
      <c r="B1517" t="s">
        <v>502</v>
      </c>
      <c r="C1517" t="str">
        <f>HYPERLINK("http://service.sap.com/sap/support/notes/1928503","1928503")</f>
        <v>1928503</v>
      </c>
      <c r="D1517">
        <v>3</v>
      </c>
      <c r="E1517" t="s">
        <v>1198</v>
      </c>
      <c r="F1517" t="s">
        <v>28</v>
      </c>
    </row>
    <row r="1518" spans="1:6" x14ac:dyDescent="0.3">
      <c r="A1518" t="s">
        <v>501</v>
      </c>
      <c r="B1518" t="s">
        <v>502</v>
      </c>
      <c r="C1518" t="str">
        <f>HYPERLINK("http://service.sap.com/sap/support/notes/1929800","1929800")</f>
        <v>1929800</v>
      </c>
      <c r="D1518">
        <v>3</v>
      </c>
      <c r="E1518" t="s">
        <v>1199</v>
      </c>
      <c r="F1518" t="s">
        <v>9</v>
      </c>
    </row>
    <row r="1519" spans="1:6" x14ac:dyDescent="0.3">
      <c r="A1519" t="s">
        <v>501</v>
      </c>
      <c r="B1519" t="s">
        <v>502</v>
      </c>
      <c r="C1519" t="str">
        <f>HYPERLINK("http://service.sap.com/sap/support/notes/1935709","1935709")</f>
        <v>1935709</v>
      </c>
      <c r="D1519">
        <v>3</v>
      </c>
      <c r="E1519" t="s">
        <v>1200</v>
      </c>
      <c r="F1519" t="s">
        <v>9</v>
      </c>
    </row>
    <row r="1520" spans="1:6" x14ac:dyDescent="0.3">
      <c r="A1520" t="s">
        <v>501</v>
      </c>
      <c r="B1520" t="s">
        <v>502</v>
      </c>
      <c r="C1520" t="str">
        <f>HYPERLINK("http://service.sap.com/sap/support/notes/1935188","1935188")</f>
        <v>1935188</v>
      </c>
      <c r="D1520">
        <v>2</v>
      </c>
      <c r="E1520" t="s">
        <v>1410</v>
      </c>
      <c r="F1520" t="s">
        <v>9</v>
      </c>
    </row>
    <row r="1521" spans="1:6" x14ac:dyDescent="0.3">
      <c r="A1521" t="s">
        <v>501</v>
      </c>
      <c r="B1521" t="s">
        <v>502</v>
      </c>
      <c r="C1521" t="str">
        <f>HYPERLINK("http://service.sap.com/sap/support/notes/1950960","1950960")</f>
        <v>1950960</v>
      </c>
      <c r="D1521">
        <v>4</v>
      </c>
      <c r="E1521" t="s">
        <v>1411</v>
      </c>
      <c r="F1521" t="s">
        <v>9</v>
      </c>
    </row>
    <row r="1522" spans="1:6" x14ac:dyDescent="0.3">
      <c r="A1522" t="s">
        <v>501</v>
      </c>
      <c r="B1522" t="s">
        <v>502</v>
      </c>
      <c r="C1522" t="str">
        <f>HYPERLINK("http://service.sap.com/sap/support/notes/1950961","1950961")</f>
        <v>1950961</v>
      </c>
      <c r="D1522">
        <v>1</v>
      </c>
      <c r="E1522" t="s">
        <v>1412</v>
      </c>
      <c r="F1522" t="s">
        <v>9</v>
      </c>
    </row>
    <row r="1523" spans="1:6" x14ac:dyDescent="0.3">
      <c r="A1523" t="s">
        <v>501</v>
      </c>
      <c r="B1523" t="s">
        <v>502</v>
      </c>
      <c r="C1523" t="str">
        <f>HYPERLINK("http://service.sap.com/sap/support/notes/1950983","1950983")</f>
        <v>1950983</v>
      </c>
      <c r="D1523">
        <v>1</v>
      </c>
      <c r="E1523" t="s">
        <v>1413</v>
      </c>
      <c r="F1523" t="s">
        <v>9</v>
      </c>
    </row>
    <row r="1524" spans="1:6" x14ac:dyDescent="0.3">
      <c r="A1524" t="s">
        <v>501</v>
      </c>
      <c r="B1524" t="s">
        <v>502</v>
      </c>
      <c r="C1524" t="str">
        <f>HYPERLINK("http://service.sap.com/sap/support/notes/1060819","1060819")</f>
        <v>1060819</v>
      </c>
      <c r="D1524">
        <v>1</v>
      </c>
      <c r="E1524" t="s">
        <v>503</v>
      </c>
      <c r="F1524" t="s">
        <v>16</v>
      </c>
    </row>
    <row r="1525" spans="1:6" x14ac:dyDescent="0.3">
      <c r="A1525" t="s">
        <v>501</v>
      </c>
      <c r="B1525" t="s">
        <v>502</v>
      </c>
      <c r="C1525" t="str">
        <f>HYPERLINK("http://service.sap.com/sap/support/notes/1572948","1572948")</f>
        <v>1572948</v>
      </c>
      <c r="D1525">
        <v>4</v>
      </c>
      <c r="E1525" t="s">
        <v>1610</v>
      </c>
      <c r="F1525" t="s">
        <v>28</v>
      </c>
    </row>
    <row r="1526" spans="1:6" x14ac:dyDescent="0.3">
      <c r="A1526" t="s">
        <v>501</v>
      </c>
      <c r="B1526" t="s">
        <v>502</v>
      </c>
      <c r="C1526" t="str">
        <f>HYPERLINK("http://service.sap.com/sap/support/notes/1755208","1755208")</f>
        <v>1755208</v>
      </c>
      <c r="D1526">
        <v>4</v>
      </c>
      <c r="E1526" t="s">
        <v>1611</v>
      </c>
      <c r="F1526" t="s">
        <v>16</v>
      </c>
    </row>
    <row r="1527" spans="1:6" x14ac:dyDescent="0.3">
      <c r="A1527" t="s">
        <v>501</v>
      </c>
      <c r="B1527" t="s">
        <v>502</v>
      </c>
      <c r="C1527" t="str">
        <f>HYPERLINK("http://service.sap.com/sap/support/notes/1909454","1909454")</f>
        <v>1909454</v>
      </c>
      <c r="D1527">
        <v>3</v>
      </c>
      <c r="E1527" t="s">
        <v>1612</v>
      </c>
      <c r="F1527" t="s">
        <v>9</v>
      </c>
    </row>
    <row r="1528" spans="1:6" x14ac:dyDescent="0.3">
      <c r="A1528" t="s">
        <v>501</v>
      </c>
      <c r="B1528" t="s">
        <v>502</v>
      </c>
      <c r="C1528" t="str">
        <f>HYPERLINK("http://service.sap.com/sap/support/notes/1910165","1910165")</f>
        <v>1910165</v>
      </c>
      <c r="D1528">
        <v>2</v>
      </c>
      <c r="E1528" t="s">
        <v>1613</v>
      </c>
      <c r="F1528" t="s">
        <v>9</v>
      </c>
    </row>
    <row r="1529" spans="1:6" x14ac:dyDescent="0.3">
      <c r="A1529" t="s">
        <v>501</v>
      </c>
      <c r="B1529" t="s">
        <v>502</v>
      </c>
      <c r="C1529" t="str">
        <f>HYPERLINK("http://service.sap.com/sap/support/notes/1918710","1918710")</f>
        <v>1918710</v>
      </c>
      <c r="D1529">
        <v>3</v>
      </c>
      <c r="E1529" t="s">
        <v>1614</v>
      </c>
      <c r="F1529" t="s">
        <v>9</v>
      </c>
    </row>
    <row r="1530" spans="1:6" x14ac:dyDescent="0.3">
      <c r="A1530" t="s">
        <v>501</v>
      </c>
      <c r="B1530" t="s">
        <v>502</v>
      </c>
      <c r="C1530" t="str">
        <f>HYPERLINK("http://service.sap.com/sap/support/notes/1935712","1935712")</f>
        <v>1935712</v>
      </c>
      <c r="D1530">
        <v>4</v>
      </c>
      <c r="E1530" t="s">
        <v>1615</v>
      </c>
      <c r="F1530" t="s">
        <v>9</v>
      </c>
    </row>
    <row r="1531" spans="1:6" x14ac:dyDescent="0.3">
      <c r="A1531" t="s">
        <v>501</v>
      </c>
      <c r="B1531" t="s">
        <v>502</v>
      </c>
      <c r="C1531" t="str">
        <f>HYPERLINK("http://service.sap.com/sap/support/notes/1950953","1950953")</f>
        <v>1950953</v>
      </c>
      <c r="D1531">
        <v>1</v>
      </c>
      <c r="E1531" t="s">
        <v>1616</v>
      </c>
      <c r="F1531" t="s">
        <v>9</v>
      </c>
    </row>
    <row r="1532" spans="1:6" x14ac:dyDescent="0.3">
      <c r="A1532" t="s">
        <v>501</v>
      </c>
      <c r="B1532" t="s">
        <v>502</v>
      </c>
      <c r="C1532" t="str">
        <f>HYPERLINK("http://service.sap.com/sap/support/notes/1952261","1952261")</f>
        <v>1952261</v>
      </c>
      <c r="D1532">
        <v>6</v>
      </c>
      <c r="E1532" t="s">
        <v>1617</v>
      </c>
      <c r="F1532" t="s">
        <v>9</v>
      </c>
    </row>
    <row r="1533" spans="1:6" x14ac:dyDescent="0.3">
      <c r="A1533" t="s">
        <v>501</v>
      </c>
      <c r="B1533" t="s">
        <v>502</v>
      </c>
      <c r="C1533" t="str">
        <f>HYPERLINK("http://service.sap.com/sap/support/notes/1956678","1956678")</f>
        <v>1956678</v>
      </c>
      <c r="D1533">
        <v>2</v>
      </c>
      <c r="E1533" t="s">
        <v>1618</v>
      </c>
      <c r="F1533" t="s">
        <v>9</v>
      </c>
    </row>
    <row r="1534" spans="1:6" x14ac:dyDescent="0.3">
      <c r="A1534" t="s">
        <v>501</v>
      </c>
      <c r="B1534" t="s">
        <v>502</v>
      </c>
      <c r="C1534" t="str">
        <f>HYPERLINK("http://service.sap.com/sap/support/notes/1959607","1959607")</f>
        <v>1959607</v>
      </c>
      <c r="D1534">
        <v>2</v>
      </c>
      <c r="E1534" t="s">
        <v>1619</v>
      </c>
      <c r="F1534" t="s">
        <v>9</v>
      </c>
    </row>
    <row r="1535" spans="1:6" x14ac:dyDescent="0.3">
      <c r="A1535" t="s">
        <v>501</v>
      </c>
      <c r="B1535" t="s">
        <v>502</v>
      </c>
      <c r="C1535" t="str">
        <f>HYPERLINK("http://service.sap.com/sap/support/notes/1313659","1313659")</f>
        <v>1313659</v>
      </c>
      <c r="D1535">
        <v>4</v>
      </c>
      <c r="E1535" t="s">
        <v>2127</v>
      </c>
      <c r="F1535" t="s">
        <v>9</v>
      </c>
    </row>
    <row r="1536" spans="1:6" x14ac:dyDescent="0.3">
      <c r="A1536" t="s">
        <v>501</v>
      </c>
      <c r="B1536" t="s">
        <v>502</v>
      </c>
      <c r="C1536" t="str">
        <f>HYPERLINK("http://service.sap.com/sap/support/notes/1886704","1886704")</f>
        <v>1886704</v>
      </c>
      <c r="D1536">
        <v>3</v>
      </c>
      <c r="E1536" t="s">
        <v>2128</v>
      </c>
      <c r="F1536" t="s">
        <v>16</v>
      </c>
    </row>
    <row r="1537" spans="1:6" x14ac:dyDescent="0.3">
      <c r="A1537" t="s">
        <v>501</v>
      </c>
      <c r="B1537" t="s">
        <v>502</v>
      </c>
      <c r="C1537" t="str">
        <f>HYPERLINK("http://service.sap.com/sap/support/notes/1962376","1962376")</f>
        <v>1962376</v>
      </c>
      <c r="D1537">
        <v>2</v>
      </c>
      <c r="E1537" t="s">
        <v>2129</v>
      </c>
      <c r="F1537" t="s">
        <v>9</v>
      </c>
    </row>
    <row r="1538" spans="1:6" x14ac:dyDescent="0.3">
      <c r="A1538" t="s">
        <v>501</v>
      </c>
      <c r="B1538" t="s">
        <v>502</v>
      </c>
      <c r="C1538" t="str">
        <f>HYPERLINK("http://service.sap.com/sap/support/notes/1963547","1963547")</f>
        <v>1963547</v>
      </c>
      <c r="D1538">
        <v>3</v>
      </c>
      <c r="E1538" t="s">
        <v>2130</v>
      </c>
      <c r="F1538" t="s">
        <v>9</v>
      </c>
    </row>
    <row r="1539" spans="1:6" x14ac:dyDescent="0.3">
      <c r="A1539" t="s">
        <v>501</v>
      </c>
      <c r="B1539" t="s">
        <v>502</v>
      </c>
      <c r="C1539" t="str">
        <f>HYPERLINK("http://service.sap.com/sap/support/notes/1966670","1966670")</f>
        <v>1966670</v>
      </c>
      <c r="D1539">
        <v>1</v>
      </c>
      <c r="E1539" t="s">
        <v>2131</v>
      </c>
      <c r="F1539" t="s">
        <v>9</v>
      </c>
    </row>
    <row r="1540" spans="1:6" x14ac:dyDescent="0.3">
      <c r="A1540" t="s">
        <v>501</v>
      </c>
      <c r="B1540" t="s">
        <v>502</v>
      </c>
      <c r="C1540" t="str">
        <f>HYPERLINK("http://service.sap.com/sap/support/notes/1969046","1969046")</f>
        <v>1969046</v>
      </c>
      <c r="D1540">
        <v>2</v>
      </c>
      <c r="E1540" t="s">
        <v>2132</v>
      </c>
      <c r="F1540" t="s">
        <v>28</v>
      </c>
    </row>
    <row r="1541" spans="1:6" x14ac:dyDescent="0.3">
      <c r="A1541" t="s">
        <v>501</v>
      </c>
      <c r="B1541" t="s">
        <v>502</v>
      </c>
      <c r="C1541" t="str">
        <f>HYPERLINK("http://service.sap.com/sap/support/notes/1969224","1969224")</f>
        <v>1969224</v>
      </c>
      <c r="D1541">
        <v>2</v>
      </c>
      <c r="E1541" t="s">
        <v>2133</v>
      </c>
      <c r="F1541" t="s">
        <v>9</v>
      </c>
    </row>
    <row r="1542" spans="1:6" x14ac:dyDescent="0.3">
      <c r="A1542" t="s">
        <v>501</v>
      </c>
      <c r="B1542" t="s">
        <v>502</v>
      </c>
      <c r="C1542" t="str">
        <f>HYPERLINK("http://service.sap.com/sap/support/notes/1972153","1972153")</f>
        <v>1972153</v>
      </c>
      <c r="D1542">
        <v>6</v>
      </c>
      <c r="E1542" t="s">
        <v>2134</v>
      </c>
      <c r="F1542" t="s">
        <v>9</v>
      </c>
    </row>
    <row r="1543" spans="1:6" x14ac:dyDescent="0.3">
      <c r="A1543" t="s">
        <v>501</v>
      </c>
      <c r="B1543" t="s">
        <v>502</v>
      </c>
      <c r="C1543" t="str">
        <f>HYPERLINK("http://service.sap.com/sap/support/notes/1956971","1956971")</f>
        <v>1956971</v>
      </c>
      <c r="D1543">
        <v>5</v>
      </c>
      <c r="E1543" t="s">
        <v>2468</v>
      </c>
      <c r="F1543" t="s">
        <v>9</v>
      </c>
    </row>
    <row r="1544" spans="1:6" x14ac:dyDescent="0.3">
      <c r="A1544" t="s">
        <v>501</v>
      </c>
      <c r="B1544" t="s">
        <v>502</v>
      </c>
      <c r="C1544" t="str">
        <f>HYPERLINK("http://service.sap.com/sap/support/notes/1961342","1961342")</f>
        <v>1961342</v>
      </c>
      <c r="D1544">
        <v>2</v>
      </c>
      <c r="E1544" t="s">
        <v>2469</v>
      </c>
      <c r="F1544" t="s">
        <v>9</v>
      </c>
    </row>
    <row r="1545" spans="1:6" x14ac:dyDescent="0.3">
      <c r="A1545" t="s">
        <v>501</v>
      </c>
      <c r="B1545" t="s">
        <v>502</v>
      </c>
      <c r="C1545" t="str">
        <f>HYPERLINK("http://service.sap.com/sap/support/notes/1969239","1969239")</f>
        <v>1969239</v>
      </c>
      <c r="D1545">
        <v>5</v>
      </c>
      <c r="E1545" t="s">
        <v>2470</v>
      </c>
      <c r="F1545" t="s">
        <v>9</v>
      </c>
    </row>
    <row r="1546" spans="1:6" x14ac:dyDescent="0.3">
      <c r="A1546" t="s">
        <v>501</v>
      </c>
      <c r="B1546" t="s">
        <v>502</v>
      </c>
      <c r="C1546" t="str">
        <f>HYPERLINK("http://service.sap.com/sap/support/notes/1972153","1972153")</f>
        <v>1972153</v>
      </c>
      <c r="D1546">
        <v>6</v>
      </c>
      <c r="E1546" t="s">
        <v>2134</v>
      </c>
      <c r="F1546" t="s">
        <v>9</v>
      </c>
    </row>
    <row r="1547" spans="1:6" x14ac:dyDescent="0.3">
      <c r="A1547" t="s">
        <v>501</v>
      </c>
      <c r="B1547" t="s">
        <v>502</v>
      </c>
      <c r="C1547" t="str">
        <f>HYPERLINK("http://service.sap.com/sap/support/notes/1972938","1972938")</f>
        <v>1972938</v>
      </c>
      <c r="D1547">
        <v>2</v>
      </c>
      <c r="E1547" t="s">
        <v>2471</v>
      </c>
      <c r="F1547" t="s">
        <v>9</v>
      </c>
    </row>
    <row r="1548" spans="1:6" x14ac:dyDescent="0.3">
      <c r="A1548" t="s">
        <v>501</v>
      </c>
      <c r="B1548" t="s">
        <v>502</v>
      </c>
      <c r="C1548" t="str">
        <f>HYPERLINK("http://service.sap.com/sap/support/notes/1973505","1973505")</f>
        <v>1973505</v>
      </c>
      <c r="D1548">
        <v>6</v>
      </c>
      <c r="E1548" t="s">
        <v>2472</v>
      </c>
      <c r="F1548" t="s">
        <v>9</v>
      </c>
    </row>
    <row r="1549" spans="1:6" x14ac:dyDescent="0.3">
      <c r="A1549" t="s">
        <v>501</v>
      </c>
      <c r="B1549" t="s">
        <v>502</v>
      </c>
      <c r="C1549" t="str">
        <f>HYPERLINK("http://service.sap.com/sap/support/notes/1974643","1974643")</f>
        <v>1974643</v>
      </c>
      <c r="D1549">
        <v>4</v>
      </c>
      <c r="E1549" t="s">
        <v>2473</v>
      </c>
      <c r="F1549" t="s">
        <v>9</v>
      </c>
    </row>
    <row r="1550" spans="1:6" x14ac:dyDescent="0.3">
      <c r="A1550" t="s">
        <v>501</v>
      </c>
      <c r="B1550" t="s">
        <v>502</v>
      </c>
      <c r="C1550" t="str">
        <f>HYPERLINK("http://service.sap.com/sap/support/notes/1982611","1982611")</f>
        <v>1982611</v>
      </c>
      <c r="D1550">
        <v>2</v>
      </c>
      <c r="E1550" t="s">
        <v>2474</v>
      </c>
      <c r="F1550" t="s">
        <v>9</v>
      </c>
    </row>
    <row r="1551" spans="1:6" x14ac:dyDescent="0.3">
      <c r="A1551" t="s">
        <v>501</v>
      </c>
      <c r="B1551" t="s">
        <v>502</v>
      </c>
      <c r="C1551" t="str">
        <f>HYPERLINK("http://service.sap.com/sap/support/notes/1982612","1982612")</f>
        <v>1982612</v>
      </c>
      <c r="D1551">
        <v>2</v>
      </c>
      <c r="E1551" t="s">
        <v>2475</v>
      </c>
      <c r="F1551" t="s">
        <v>9</v>
      </c>
    </row>
    <row r="1552" spans="1:6" x14ac:dyDescent="0.3">
      <c r="A1552" t="s">
        <v>501</v>
      </c>
      <c r="B1552" t="s">
        <v>502</v>
      </c>
      <c r="C1552" t="str">
        <f>HYPERLINK("http://service.sap.com/sap/support/notes/1982626","1982626")</f>
        <v>1982626</v>
      </c>
      <c r="D1552">
        <v>2</v>
      </c>
      <c r="E1552" t="s">
        <v>2476</v>
      </c>
      <c r="F1552" t="s">
        <v>9</v>
      </c>
    </row>
    <row r="1553" spans="1:6" x14ac:dyDescent="0.3">
      <c r="A1553" t="s">
        <v>501</v>
      </c>
      <c r="B1553" t="s">
        <v>502</v>
      </c>
      <c r="C1553" t="str">
        <f>HYPERLINK("http://service.sap.com/sap/support/notes/1984908","1984908")</f>
        <v>1984908</v>
      </c>
      <c r="D1553">
        <v>2</v>
      </c>
      <c r="E1553" t="s">
        <v>2477</v>
      </c>
      <c r="F1553" t="s">
        <v>9</v>
      </c>
    </row>
    <row r="1554" spans="1:6" x14ac:dyDescent="0.3">
      <c r="A1554" t="s">
        <v>501</v>
      </c>
      <c r="B1554" t="s">
        <v>502</v>
      </c>
      <c r="C1554" t="str">
        <f>HYPERLINK("http://service.sap.com/sap/support/notes/1060819","1060819")</f>
        <v>1060819</v>
      </c>
      <c r="D1554">
        <v>1</v>
      </c>
      <c r="E1554" t="s">
        <v>503</v>
      </c>
      <c r="F1554" t="s">
        <v>16</v>
      </c>
    </row>
    <row r="1555" spans="1:6" x14ac:dyDescent="0.3">
      <c r="A1555" t="s">
        <v>501</v>
      </c>
      <c r="B1555" t="s">
        <v>502</v>
      </c>
      <c r="C1555" t="str">
        <f>HYPERLINK("http://service.sap.com/sap/support/notes/1940585","1940585")</f>
        <v>1940585</v>
      </c>
      <c r="D1555">
        <v>3</v>
      </c>
      <c r="E1555" t="s">
        <v>2908</v>
      </c>
      <c r="F1555" t="s">
        <v>9</v>
      </c>
    </row>
    <row r="1556" spans="1:6" x14ac:dyDescent="0.3">
      <c r="A1556" t="s">
        <v>501</v>
      </c>
      <c r="B1556" t="s">
        <v>502</v>
      </c>
      <c r="C1556" t="str">
        <f>HYPERLINK("http://service.sap.com/sap/support/notes/1980047","1980047")</f>
        <v>1980047</v>
      </c>
      <c r="D1556">
        <v>5</v>
      </c>
      <c r="E1556" t="s">
        <v>2909</v>
      </c>
      <c r="F1556" t="s">
        <v>9</v>
      </c>
    </row>
    <row r="1557" spans="1:6" x14ac:dyDescent="0.3">
      <c r="A1557" t="s">
        <v>501</v>
      </c>
      <c r="B1557" t="s">
        <v>502</v>
      </c>
      <c r="C1557" t="str">
        <f>HYPERLINK("http://service.sap.com/sap/support/notes/1980121","1980121")</f>
        <v>1980121</v>
      </c>
      <c r="D1557">
        <v>4</v>
      </c>
      <c r="E1557" t="s">
        <v>2910</v>
      </c>
      <c r="F1557" t="s">
        <v>9</v>
      </c>
    </row>
    <row r="1558" spans="1:6" x14ac:dyDescent="0.3">
      <c r="A1558" t="s">
        <v>501</v>
      </c>
      <c r="B1558" t="s">
        <v>502</v>
      </c>
      <c r="C1558" t="str">
        <f>HYPERLINK("http://service.sap.com/sap/support/notes/1980804","1980804")</f>
        <v>1980804</v>
      </c>
      <c r="D1558">
        <v>6</v>
      </c>
      <c r="E1558" t="s">
        <v>2911</v>
      </c>
      <c r="F1558" t="s">
        <v>9</v>
      </c>
    </row>
    <row r="1559" spans="1:6" x14ac:dyDescent="0.3">
      <c r="A1559" t="s">
        <v>501</v>
      </c>
      <c r="B1559" t="s">
        <v>502</v>
      </c>
      <c r="C1559" t="str">
        <f>HYPERLINK("http://service.sap.com/sap/support/notes/1981771","1981771")</f>
        <v>1981771</v>
      </c>
      <c r="D1559">
        <v>3</v>
      </c>
      <c r="E1559" t="s">
        <v>2912</v>
      </c>
      <c r="F1559" t="s">
        <v>9</v>
      </c>
    </row>
    <row r="1560" spans="1:6" x14ac:dyDescent="0.3">
      <c r="A1560" t="s">
        <v>501</v>
      </c>
      <c r="B1560" t="s">
        <v>502</v>
      </c>
      <c r="C1560" t="str">
        <f>HYPERLINK("http://service.sap.com/sap/support/notes/1984908","1984908")</f>
        <v>1984908</v>
      </c>
      <c r="D1560">
        <v>2</v>
      </c>
      <c r="E1560" t="s">
        <v>2477</v>
      </c>
      <c r="F1560" t="s">
        <v>9</v>
      </c>
    </row>
    <row r="1561" spans="1:6" x14ac:dyDescent="0.3">
      <c r="A1561" t="s">
        <v>501</v>
      </c>
      <c r="B1561" t="s">
        <v>502</v>
      </c>
      <c r="C1561" t="str">
        <f>HYPERLINK("http://service.sap.com/sap/support/notes/1988334","1988334")</f>
        <v>1988334</v>
      </c>
      <c r="D1561">
        <v>1</v>
      </c>
      <c r="E1561" t="s">
        <v>2913</v>
      </c>
      <c r="F1561" t="s">
        <v>9</v>
      </c>
    </row>
    <row r="1562" spans="1:6" x14ac:dyDescent="0.3">
      <c r="A1562" t="s">
        <v>501</v>
      </c>
      <c r="B1562" t="s">
        <v>502</v>
      </c>
      <c r="C1562" t="str">
        <f>HYPERLINK("http://service.sap.com/sap/support/notes/1988386","1988386")</f>
        <v>1988386</v>
      </c>
      <c r="D1562">
        <v>2</v>
      </c>
      <c r="E1562" t="s">
        <v>2914</v>
      </c>
      <c r="F1562" t="s">
        <v>9</v>
      </c>
    </row>
    <row r="1563" spans="1:6" x14ac:dyDescent="0.3">
      <c r="A1563" t="s">
        <v>501</v>
      </c>
      <c r="B1563" t="s">
        <v>502</v>
      </c>
      <c r="C1563" t="str">
        <f>HYPERLINK("http://service.sap.com/sap/support/notes/1991761","1991761")</f>
        <v>1991761</v>
      </c>
      <c r="D1563">
        <v>4</v>
      </c>
      <c r="E1563" t="s">
        <v>2915</v>
      </c>
      <c r="F1563" t="s">
        <v>9</v>
      </c>
    </row>
    <row r="1564" spans="1:6" x14ac:dyDescent="0.3">
      <c r="A1564" t="s">
        <v>501</v>
      </c>
      <c r="B1564" t="s">
        <v>502</v>
      </c>
      <c r="C1564" t="str">
        <f>HYPERLINK("http://service.sap.com/sap/support/notes/1994791","1994791")</f>
        <v>1994791</v>
      </c>
      <c r="D1564">
        <v>1</v>
      </c>
      <c r="E1564" t="s">
        <v>2916</v>
      </c>
      <c r="F1564" t="s">
        <v>9</v>
      </c>
    </row>
    <row r="1565" spans="1:6" x14ac:dyDescent="0.3">
      <c r="A1565" t="s">
        <v>501</v>
      </c>
      <c r="B1565" t="s">
        <v>502</v>
      </c>
      <c r="C1565" t="str">
        <f>HYPERLINK("http://service.sap.com/sap/support/notes/1994792","1994792")</f>
        <v>1994792</v>
      </c>
      <c r="D1565">
        <v>2</v>
      </c>
      <c r="E1565" t="s">
        <v>2917</v>
      </c>
      <c r="F1565" t="s">
        <v>9</v>
      </c>
    </row>
    <row r="1566" spans="1:6" x14ac:dyDescent="0.3">
      <c r="A1566" t="s">
        <v>501</v>
      </c>
      <c r="B1566" t="s">
        <v>502</v>
      </c>
      <c r="C1566" t="str">
        <f>HYPERLINK("http://service.sap.com/sap/support/notes/1994793","1994793")</f>
        <v>1994793</v>
      </c>
      <c r="D1566">
        <v>2</v>
      </c>
      <c r="E1566" t="s">
        <v>2918</v>
      </c>
      <c r="F1566" t="s">
        <v>9</v>
      </c>
    </row>
    <row r="1567" spans="1:6" x14ac:dyDescent="0.3">
      <c r="A1567" t="s">
        <v>501</v>
      </c>
      <c r="B1567" t="s">
        <v>502</v>
      </c>
      <c r="C1567" t="str">
        <f>HYPERLINK("http://service.sap.com/sap/support/notes/1995380","1995380")</f>
        <v>1995380</v>
      </c>
      <c r="D1567">
        <v>3</v>
      </c>
      <c r="E1567" t="s">
        <v>2919</v>
      </c>
      <c r="F1567" t="s">
        <v>9</v>
      </c>
    </row>
    <row r="1568" spans="1:6" x14ac:dyDescent="0.3">
      <c r="A1568" t="s">
        <v>501</v>
      </c>
      <c r="B1568" t="s">
        <v>502</v>
      </c>
      <c r="C1568" t="str">
        <f>HYPERLINK("http://service.sap.com/sap/support/notes/1995413","1995413")</f>
        <v>1995413</v>
      </c>
      <c r="D1568">
        <v>2</v>
      </c>
      <c r="E1568" t="s">
        <v>2920</v>
      </c>
      <c r="F1568" t="s">
        <v>9</v>
      </c>
    </row>
    <row r="1569" spans="1:6" x14ac:dyDescent="0.3">
      <c r="A1569" t="s">
        <v>501</v>
      </c>
      <c r="B1569" t="s">
        <v>502</v>
      </c>
      <c r="C1569" t="str">
        <f>HYPERLINK("http://service.sap.com/sap/support/notes/1060819","1060819")</f>
        <v>1060819</v>
      </c>
      <c r="D1569">
        <v>1</v>
      </c>
      <c r="E1569" t="s">
        <v>503</v>
      </c>
      <c r="F1569" t="s">
        <v>16</v>
      </c>
    </row>
    <row r="1570" spans="1:6" x14ac:dyDescent="0.3">
      <c r="A1570" t="s">
        <v>501</v>
      </c>
      <c r="B1570" t="s">
        <v>502</v>
      </c>
      <c r="C1570" t="str">
        <f>HYPERLINK("http://service.sap.com/sap/support/notes/1861012","1861012")</f>
        <v>1861012</v>
      </c>
      <c r="D1570">
        <v>4</v>
      </c>
      <c r="E1570" t="s">
        <v>3576</v>
      </c>
      <c r="F1570" t="s">
        <v>9</v>
      </c>
    </row>
    <row r="1571" spans="1:6" x14ac:dyDescent="0.3">
      <c r="A1571" t="s">
        <v>501</v>
      </c>
      <c r="B1571" t="s">
        <v>502</v>
      </c>
      <c r="C1571" t="str">
        <f>HYPERLINK("http://service.sap.com/sap/support/notes/1893439","1893439")</f>
        <v>1893439</v>
      </c>
      <c r="D1571">
        <v>2</v>
      </c>
      <c r="E1571" t="s">
        <v>3577</v>
      </c>
      <c r="F1571" t="s">
        <v>9</v>
      </c>
    </row>
    <row r="1572" spans="1:6" x14ac:dyDescent="0.3">
      <c r="A1572" t="s">
        <v>501</v>
      </c>
      <c r="B1572" t="s">
        <v>502</v>
      </c>
      <c r="C1572" t="str">
        <f>HYPERLINK("http://service.sap.com/sap/support/notes/1994791","1994791")</f>
        <v>1994791</v>
      </c>
      <c r="D1572">
        <v>1</v>
      </c>
      <c r="E1572" t="s">
        <v>2916</v>
      </c>
      <c r="F1572" t="s">
        <v>9</v>
      </c>
    </row>
    <row r="1573" spans="1:6" x14ac:dyDescent="0.3">
      <c r="A1573" t="s">
        <v>501</v>
      </c>
      <c r="B1573" t="s">
        <v>502</v>
      </c>
      <c r="C1573" t="str">
        <f>HYPERLINK("http://service.sap.com/sap/support/notes/1996042","1996042")</f>
        <v>1996042</v>
      </c>
      <c r="D1573">
        <v>2</v>
      </c>
      <c r="E1573" t="s">
        <v>3578</v>
      </c>
      <c r="F1573" t="s">
        <v>9</v>
      </c>
    </row>
    <row r="1574" spans="1:6" x14ac:dyDescent="0.3">
      <c r="A1574" t="s">
        <v>501</v>
      </c>
      <c r="B1574" t="s">
        <v>502</v>
      </c>
      <c r="C1574" t="str">
        <f>HYPERLINK("http://service.sap.com/sap/support/notes/2004688","2004688")</f>
        <v>2004688</v>
      </c>
      <c r="D1574">
        <v>1</v>
      </c>
      <c r="E1574" t="s">
        <v>3579</v>
      </c>
      <c r="F1574" t="s">
        <v>9</v>
      </c>
    </row>
    <row r="1575" spans="1:6" x14ac:dyDescent="0.3">
      <c r="A1575" t="s">
        <v>501</v>
      </c>
      <c r="B1575" t="s">
        <v>502</v>
      </c>
      <c r="C1575" t="str">
        <f>HYPERLINK("http://service.sap.com/sap/support/notes/2004799","2004799")</f>
        <v>2004799</v>
      </c>
      <c r="D1575">
        <v>2</v>
      </c>
      <c r="E1575" t="s">
        <v>3580</v>
      </c>
      <c r="F1575" t="s">
        <v>9</v>
      </c>
    </row>
    <row r="1576" spans="1:6" x14ac:dyDescent="0.3">
      <c r="A1576" t="s">
        <v>501</v>
      </c>
      <c r="B1576" t="s">
        <v>502</v>
      </c>
      <c r="C1576" t="str">
        <f>HYPERLINK("http://service.sap.com/sap/support/notes/2008660","2008660")</f>
        <v>2008660</v>
      </c>
      <c r="D1576">
        <v>1</v>
      </c>
      <c r="E1576" t="s">
        <v>3581</v>
      </c>
      <c r="F1576" t="s">
        <v>9</v>
      </c>
    </row>
    <row r="1577" spans="1:6" x14ac:dyDescent="0.3">
      <c r="A1577" t="s">
        <v>501</v>
      </c>
      <c r="B1577" t="s">
        <v>502</v>
      </c>
      <c r="C1577" t="str">
        <f>HYPERLINK("http://service.sap.com/sap/support/notes/2008864","2008864")</f>
        <v>2008864</v>
      </c>
      <c r="D1577">
        <v>2</v>
      </c>
      <c r="E1577" t="s">
        <v>3582</v>
      </c>
      <c r="F1577" t="s">
        <v>9</v>
      </c>
    </row>
    <row r="1578" spans="1:6" x14ac:dyDescent="0.3">
      <c r="A1578" t="s">
        <v>501</v>
      </c>
      <c r="B1578" t="s">
        <v>502</v>
      </c>
      <c r="C1578" t="str">
        <f>HYPERLINK("http://service.sap.com/sap/support/notes/2009331","2009331")</f>
        <v>2009331</v>
      </c>
      <c r="D1578">
        <v>2</v>
      </c>
      <c r="E1578" t="s">
        <v>3583</v>
      </c>
      <c r="F1578" t="s">
        <v>9</v>
      </c>
    </row>
    <row r="1579" spans="1:6" x14ac:dyDescent="0.3">
      <c r="A1579" t="s">
        <v>501</v>
      </c>
      <c r="B1579" t="s">
        <v>502</v>
      </c>
      <c r="C1579" t="str">
        <f>HYPERLINK("http://service.sap.com/sap/support/notes/2009339","2009339")</f>
        <v>2009339</v>
      </c>
      <c r="D1579">
        <v>2</v>
      </c>
      <c r="E1579" t="s">
        <v>3584</v>
      </c>
      <c r="F1579" t="s">
        <v>9</v>
      </c>
    </row>
    <row r="1580" spans="1:6" x14ac:dyDescent="0.3">
      <c r="A1580" t="s">
        <v>501</v>
      </c>
      <c r="B1580" t="s">
        <v>502</v>
      </c>
      <c r="C1580" t="str">
        <f>HYPERLINK("http://service.sap.com/sap/support/notes/2009967","2009967")</f>
        <v>2009967</v>
      </c>
      <c r="D1580">
        <v>2</v>
      </c>
      <c r="E1580" t="s">
        <v>3585</v>
      </c>
      <c r="F1580" t="s">
        <v>9</v>
      </c>
    </row>
    <row r="1581" spans="1:6" x14ac:dyDescent="0.3">
      <c r="A1581" t="s">
        <v>501</v>
      </c>
      <c r="B1581" t="s">
        <v>502</v>
      </c>
      <c r="C1581" t="str">
        <f>HYPERLINK("http://service.sap.com/sap/support/notes/1749558","1749558")</f>
        <v>1749558</v>
      </c>
      <c r="D1581">
        <v>3</v>
      </c>
      <c r="E1581" t="s">
        <v>4105</v>
      </c>
      <c r="F1581" t="s">
        <v>16</v>
      </c>
    </row>
    <row r="1582" spans="1:6" x14ac:dyDescent="0.3">
      <c r="A1582" t="s">
        <v>501</v>
      </c>
      <c r="B1582" t="s">
        <v>502</v>
      </c>
      <c r="C1582" t="str">
        <f>HYPERLINK("http://service.sap.com/sap/support/notes/1750760","1750760")</f>
        <v>1750760</v>
      </c>
      <c r="D1582">
        <v>2</v>
      </c>
      <c r="E1582" t="s">
        <v>4106</v>
      </c>
      <c r="F1582" t="s">
        <v>9</v>
      </c>
    </row>
    <row r="1583" spans="1:6" x14ac:dyDescent="0.3">
      <c r="A1583" t="s">
        <v>501</v>
      </c>
      <c r="B1583" t="s">
        <v>502</v>
      </c>
      <c r="C1583" t="str">
        <f>HYPERLINK("http://service.sap.com/sap/support/notes/1789579","1789579")</f>
        <v>1789579</v>
      </c>
      <c r="D1583">
        <v>2</v>
      </c>
      <c r="E1583" t="s">
        <v>4107</v>
      </c>
      <c r="F1583" t="s">
        <v>16</v>
      </c>
    </row>
    <row r="1584" spans="1:6" x14ac:dyDescent="0.3">
      <c r="A1584" t="s">
        <v>501</v>
      </c>
      <c r="B1584" t="s">
        <v>502</v>
      </c>
      <c r="C1584" t="str">
        <f>HYPERLINK("http://service.sap.com/sap/support/notes/2013154","2013154")</f>
        <v>2013154</v>
      </c>
      <c r="D1584">
        <v>2</v>
      </c>
      <c r="E1584" t="s">
        <v>4108</v>
      </c>
      <c r="F1584" t="s">
        <v>9</v>
      </c>
    </row>
    <row r="1585" spans="1:6" x14ac:dyDescent="0.3">
      <c r="A1585" t="s">
        <v>501</v>
      </c>
      <c r="B1585" t="s">
        <v>502</v>
      </c>
      <c r="C1585" t="str">
        <f>HYPERLINK("http://service.sap.com/sap/support/notes/2017938","2017938")</f>
        <v>2017938</v>
      </c>
      <c r="D1585">
        <v>4</v>
      </c>
      <c r="E1585" t="s">
        <v>4109</v>
      </c>
      <c r="F1585" t="s">
        <v>9</v>
      </c>
    </row>
    <row r="1586" spans="1:6" x14ac:dyDescent="0.3">
      <c r="A1586" t="s">
        <v>501</v>
      </c>
      <c r="B1586" t="s">
        <v>502</v>
      </c>
      <c r="C1586" t="str">
        <f>HYPERLINK("http://service.sap.com/sap/support/notes/2021221","2021221")</f>
        <v>2021221</v>
      </c>
      <c r="D1586">
        <v>1</v>
      </c>
      <c r="E1586" t="s">
        <v>4110</v>
      </c>
      <c r="F1586" t="s">
        <v>9</v>
      </c>
    </row>
    <row r="1587" spans="1:6" x14ac:dyDescent="0.3">
      <c r="A1587" t="s">
        <v>501</v>
      </c>
      <c r="B1587" t="s">
        <v>502</v>
      </c>
      <c r="C1587" t="str">
        <f>HYPERLINK("http://service.sap.com/sap/support/notes/2021226","2021226")</f>
        <v>2021226</v>
      </c>
      <c r="D1587">
        <v>1</v>
      </c>
      <c r="E1587" t="s">
        <v>4111</v>
      </c>
      <c r="F1587" t="s">
        <v>9</v>
      </c>
    </row>
    <row r="1588" spans="1:6" x14ac:dyDescent="0.3">
      <c r="A1588" t="s">
        <v>501</v>
      </c>
      <c r="B1588" t="s">
        <v>502</v>
      </c>
      <c r="C1588" t="str">
        <f>HYPERLINK("http://service.sap.com/sap/support/notes/2021274","2021274")</f>
        <v>2021274</v>
      </c>
      <c r="D1588">
        <v>1</v>
      </c>
      <c r="E1588" t="s">
        <v>4112</v>
      </c>
      <c r="F1588" t="s">
        <v>9</v>
      </c>
    </row>
    <row r="1589" spans="1:6" x14ac:dyDescent="0.3">
      <c r="A1589" t="s">
        <v>501</v>
      </c>
      <c r="B1589" t="s">
        <v>502</v>
      </c>
      <c r="C1589" t="str">
        <f>HYPERLINK("http://service.sap.com/sap/support/notes/2021319","2021319")</f>
        <v>2021319</v>
      </c>
      <c r="D1589">
        <v>1</v>
      </c>
      <c r="E1589" t="s">
        <v>4113</v>
      </c>
      <c r="F1589" t="s">
        <v>9</v>
      </c>
    </row>
    <row r="1590" spans="1:6" x14ac:dyDescent="0.3">
      <c r="A1590" t="s">
        <v>501</v>
      </c>
      <c r="B1590" t="s">
        <v>502</v>
      </c>
      <c r="C1590" t="str">
        <f>HYPERLINK("http://service.sap.com/sap/support/notes/2021971","2021971")</f>
        <v>2021971</v>
      </c>
      <c r="D1590">
        <v>1</v>
      </c>
      <c r="E1590" t="s">
        <v>4114</v>
      </c>
      <c r="F1590" t="s">
        <v>9</v>
      </c>
    </row>
    <row r="1591" spans="1:6" x14ac:dyDescent="0.3">
      <c r="A1591" t="s">
        <v>501</v>
      </c>
      <c r="B1591" t="s">
        <v>502</v>
      </c>
      <c r="C1591" t="str">
        <f>HYPERLINK("http://service.sap.com/sap/support/notes/1721252","1721252")</f>
        <v>1721252</v>
      </c>
      <c r="D1591">
        <v>8</v>
      </c>
      <c r="E1591" t="s">
        <v>4451</v>
      </c>
      <c r="F1591" t="s">
        <v>16</v>
      </c>
    </row>
    <row r="1592" spans="1:6" x14ac:dyDescent="0.3">
      <c r="A1592" t="s">
        <v>501</v>
      </c>
      <c r="B1592" t="s">
        <v>502</v>
      </c>
      <c r="C1592" t="str">
        <f>HYPERLINK("http://service.sap.com/sap/support/notes/1881344","1881344")</f>
        <v>1881344</v>
      </c>
      <c r="D1592">
        <v>4</v>
      </c>
      <c r="E1592" t="s">
        <v>4452</v>
      </c>
      <c r="F1592" t="s">
        <v>9</v>
      </c>
    </row>
    <row r="1593" spans="1:6" x14ac:dyDescent="0.3">
      <c r="A1593" t="s">
        <v>501</v>
      </c>
      <c r="B1593" t="s">
        <v>502</v>
      </c>
      <c r="C1593" t="str">
        <f>HYPERLINK("http://service.sap.com/sap/support/notes/1924390","1924390")</f>
        <v>1924390</v>
      </c>
      <c r="D1593">
        <v>3</v>
      </c>
      <c r="E1593" t="s">
        <v>4453</v>
      </c>
      <c r="F1593" t="s">
        <v>9</v>
      </c>
    </row>
    <row r="1594" spans="1:6" x14ac:dyDescent="0.3">
      <c r="A1594" t="s">
        <v>501</v>
      </c>
      <c r="B1594" t="s">
        <v>502</v>
      </c>
      <c r="C1594" t="str">
        <f>HYPERLINK("http://service.sap.com/sap/support/notes/1952305","1952305")</f>
        <v>1952305</v>
      </c>
      <c r="D1594">
        <v>3</v>
      </c>
      <c r="E1594" t="s">
        <v>4454</v>
      </c>
      <c r="F1594" t="s">
        <v>9</v>
      </c>
    </row>
    <row r="1595" spans="1:6" x14ac:dyDescent="0.3">
      <c r="A1595" t="s">
        <v>501</v>
      </c>
      <c r="B1595" t="s">
        <v>502</v>
      </c>
      <c r="C1595" t="str">
        <f>HYPERLINK("http://service.sap.com/sap/support/notes/1967920","1967920")</f>
        <v>1967920</v>
      </c>
      <c r="D1595">
        <v>2</v>
      </c>
      <c r="E1595" t="s">
        <v>4455</v>
      </c>
      <c r="F1595" t="s">
        <v>9</v>
      </c>
    </row>
    <row r="1596" spans="1:6" x14ac:dyDescent="0.3">
      <c r="A1596" t="s">
        <v>501</v>
      </c>
      <c r="B1596" t="s">
        <v>502</v>
      </c>
      <c r="C1596" t="str">
        <f>HYPERLINK("http://service.sap.com/sap/support/notes/2021274","2021274")</f>
        <v>2021274</v>
      </c>
      <c r="D1596">
        <v>1</v>
      </c>
      <c r="E1596" t="s">
        <v>4112</v>
      </c>
      <c r="F1596" t="s">
        <v>9</v>
      </c>
    </row>
    <row r="1597" spans="1:6" x14ac:dyDescent="0.3">
      <c r="A1597" t="s">
        <v>501</v>
      </c>
      <c r="B1597" t="s">
        <v>502</v>
      </c>
      <c r="C1597" t="str">
        <f>HYPERLINK("http://service.sap.com/sap/support/notes/2021983","2021983")</f>
        <v>2021983</v>
      </c>
      <c r="D1597">
        <v>3</v>
      </c>
      <c r="E1597" t="s">
        <v>4456</v>
      </c>
      <c r="F1597" t="s">
        <v>9</v>
      </c>
    </row>
    <row r="1598" spans="1:6" x14ac:dyDescent="0.3">
      <c r="A1598" t="s">
        <v>501</v>
      </c>
      <c r="B1598" t="s">
        <v>502</v>
      </c>
      <c r="C1598" t="str">
        <f>HYPERLINK("http://service.sap.com/sap/support/notes/2025456","2025456")</f>
        <v>2025456</v>
      </c>
      <c r="D1598">
        <v>3</v>
      </c>
      <c r="E1598" t="s">
        <v>4457</v>
      </c>
      <c r="F1598" t="s">
        <v>9</v>
      </c>
    </row>
    <row r="1599" spans="1:6" x14ac:dyDescent="0.3">
      <c r="A1599" t="s">
        <v>501</v>
      </c>
      <c r="B1599" t="s">
        <v>502</v>
      </c>
      <c r="C1599" t="str">
        <f>HYPERLINK("http://service.sap.com/sap/support/notes/2033019","2033019")</f>
        <v>2033019</v>
      </c>
      <c r="D1599">
        <v>1</v>
      </c>
      <c r="E1599" t="s">
        <v>4458</v>
      </c>
      <c r="F1599" t="s">
        <v>9</v>
      </c>
    </row>
    <row r="1600" spans="1:6" x14ac:dyDescent="0.3">
      <c r="A1600" t="s">
        <v>501</v>
      </c>
      <c r="B1600" t="s">
        <v>502</v>
      </c>
      <c r="C1600" t="str">
        <f>HYPERLINK("http://service.sap.com/sap/support/notes/2033099","2033099")</f>
        <v>2033099</v>
      </c>
      <c r="D1600">
        <v>1</v>
      </c>
      <c r="E1600" t="s">
        <v>4459</v>
      </c>
      <c r="F1600" t="s">
        <v>9</v>
      </c>
    </row>
    <row r="1601" spans="1:6" x14ac:dyDescent="0.3">
      <c r="A1601" t="s">
        <v>501</v>
      </c>
      <c r="B1601" t="s">
        <v>502</v>
      </c>
      <c r="C1601" t="str">
        <f>HYPERLINK("http://service.sap.com/sap/support/notes/2033111","2033111")</f>
        <v>2033111</v>
      </c>
      <c r="D1601">
        <v>1</v>
      </c>
      <c r="E1601" t="s">
        <v>4460</v>
      </c>
      <c r="F1601" t="s">
        <v>9</v>
      </c>
    </row>
    <row r="1602" spans="1:6" x14ac:dyDescent="0.3">
      <c r="A1602" t="s">
        <v>501</v>
      </c>
      <c r="B1602" t="s">
        <v>502</v>
      </c>
      <c r="C1602" t="str">
        <f>HYPERLINK("http://service.sap.com/sap/support/notes/2033114","2033114")</f>
        <v>2033114</v>
      </c>
      <c r="D1602">
        <v>1</v>
      </c>
      <c r="E1602" t="s">
        <v>4461</v>
      </c>
      <c r="F1602" t="s">
        <v>9</v>
      </c>
    </row>
    <row r="1603" spans="1:6" x14ac:dyDescent="0.3">
      <c r="A1603" t="s">
        <v>501</v>
      </c>
      <c r="B1603" t="s">
        <v>502</v>
      </c>
      <c r="C1603" t="str">
        <f>HYPERLINK("http://service.sap.com/sap/support/notes/2033117","2033117")</f>
        <v>2033117</v>
      </c>
      <c r="D1603">
        <v>2</v>
      </c>
      <c r="E1603" t="s">
        <v>4462</v>
      </c>
      <c r="F1603" t="s">
        <v>9</v>
      </c>
    </row>
    <row r="1604" spans="1:6" x14ac:dyDescent="0.3">
      <c r="A1604" t="s">
        <v>501</v>
      </c>
      <c r="B1604" t="s">
        <v>502</v>
      </c>
      <c r="C1604" t="str">
        <f>HYPERLINK("http://service.sap.com/sap/support/notes/2033144","2033144")</f>
        <v>2033144</v>
      </c>
      <c r="D1604">
        <v>2</v>
      </c>
      <c r="E1604" t="s">
        <v>4463</v>
      </c>
      <c r="F1604" t="s">
        <v>9</v>
      </c>
    </row>
    <row r="1605" spans="1:6" x14ac:dyDescent="0.3">
      <c r="A1605" t="s">
        <v>501</v>
      </c>
      <c r="B1605" t="s">
        <v>502</v>
      </c>
      <c r="C1605" t="str">
        <f>HYPERLINK("http://service.sap.com/sap/support/notes/1912430","1912430")</f>
        <v>1912430</v>
      </c>
      <c r="D1605">
        <v>2</v>
      </c>
      <c r="E1605" t="s">
        <v>4766</v>
      </c>
      <c r="F1605" t="s">
        <v>9</v>
      </c>
    </row>
    <row r="1606" spans="1:6" x14ac:dyDescent="0.3">
      <c r="A1606" t="s">
        <v>501</v>
      </c>
      <c r="B1606" t="s">
        <v>502</v>
      </c>
      <c r="C1606" t="str">
        <f>HYPERLINK("http://service.sap.com/sap/support/notes/1941912","1941912")</f>
        <v>1941912</v>
      </c>
      <c r="D1606">
        <v>3</v>
      </c>
      <c r="E1606" t="s">
        <v>4767</v>
      </c>
      <c r="F1606" t="s">
        <v>9</v>
      </c>
    </row>
    <row r="1607" spans="1:6" x14ac:dyDescent="0.3">
      <c r="A1607" t="s">
        <v>501</v>
      </c>
      <c r="B1607" t="s">
        <v>502</v>
      </c>
      <c r="C1607" t="str">
        <f>HYPERLINK("http://service.sap.com/sap/support/notes/2000269","2000269")</f>
        <v>2000269</v>
      </c>
      <c r="D1607">
        <v>3</v>
      </c>
      <c r="E1607" t="s">
        <v>4768</v>
      </c>
      <c r="F1607" t="s">
        <v>9</v>
      </c>
    </row>
    <row r="1608" spans="1:6" x14ac:dyDescent="0.3">
      <c r="A1608" t="s">
        <v>501</v>
      </c>
      <c r="B1608" t="s">
        <v>502</v>
      </c>
      <c r="C1608" t="str">
        <f>HYPERLINK("http://service.sap.com/sap/support/notes/2030957","2030957")</f>
        <v>2030957</v>
      </c>
      <c r="D1608">
        <v>2</v>
      </c>
      <c r="E1608" t="s">
        <v>4769</v>
      </c>
      <c r="F1608" t="s">
        <v>9</v>
      </c>
    </row>
    <row r="1609" spans="1:6" x14ac:dyDescent="0.3">
      <c r="A1609" t="s">
        <v>501</v>
      </c>
      <c r="B1609" t="s">
        <v>502</v>
      </c>
      <c r="C1609" t="str">
        <f>HYPERLINK("http://service.sap.com/sap/support/notes/2036986","2036986")</f>
        <v>2036986</v>
      </c>
      <c r="D1609">
        <v>3</v>
      </c>
      <c r="E1609" t="s">
        <v>4770</v>
      </c>
      <c r="F1609" t="s">
        <v>9</v>
      </c>
    </row>
    <row r="1610" spans="1:6" x14ac:dyDescent="0.3">
      <c r="A1610" t="s">
        <v>501</v>
      </c>
      <c r="B1610" t="s">
        <v>502</v>
      </c>
      <c r="C1610" t="str">
        <f>HYPERLINK("http://service.sap.com/sap/support/notes/2045264","2045264")</f>
        <v>2045264</v>
      </c>
      <c r="D1610">
        <v>6</v>
      </c>
      <c r="E1610" t="s">
        <v>4771</v>
      </c>
      <c r="F1610" t="s">
        <v>9</v>
      </c>
    </row>
    <row r="1611" spans="1:6" x14ac:dyDescent="0.3">
      <c r="A1611" t="s">
        <v>501</v>
      </c>
      <c r="B1611" t="s">
        <v>502</v>
      </c>
      <c r="C1611" t="str">
        <f>HYPERLINK("http://service.sap.com/sap/support/notes/2045382","2045382")</f>
        <v>2045382</v>
      </c>
      <c r="D1611">
        <v>1</v>
      </c>
      <c r="E1611" t="s">
        <v>4772</v>
      </c>
      <c r="F1611" t="s">
        <v>9</v>
      </c>
    </row>
    <row r="1612" spans="1:6" x14ac:dyDescent="0.3">
      <c r="A1612" t="s">
        <v>501</v>
      </c>
      <c r="B1612" t="s">
        <v>502</v>
      </c>
      <c r="C1612" t="str">
        <f>HYPERLINK("http://service.sap.com/sap/support/notes/2045786","2045786")</f>
        <v>2045786</v>
      </c>
      <c r="D1612">
        <v>1</v>
      </c>
      <c r="E1612" t="s">
        <v>4773</v>
      </c>
      <c r="F1612" t="s">
        <v>9</v>
      </c>
    </row>
    <row r="1613" spans="1:6" x14ac:dyDescent="0.3">
      <c r="A1613" t="s">
        <v>501</v>
      </c>
      <c r="B1613" t="s">
        <v>502</v>
      </c>
      <c r="C1613" t="str">
        <f>HYPERLINK("http://service.sap.com/sap/support/notes/1991724","1991724")</f>
        <v>1991724</v>
      </c>
      <c r="D1613">
        <v>2</v>
      </c>
      <c r="E1613" t="s">
        <v>5135</v>
      </c>
      <c r="F1613" t="s">
        <v>9</v>
      </c>
    </row>
    <row r="1614" spans="1:6" x14ac:dyDescent="0.3">
      <c r="A1614" t="s">
        <v>501</v>
      </c>
      <c r="B1614" t="s">
        <v>502</v>
      </c>
      <c r="C1614" t="str">
        <f>HYPERLINK("http://service.sap.com/sap/support/notes/2048062","2048062")</f>
        <v>2048062</v>
      </c>
      <c r="D1614">
        <v>1</v>
      </c>
      <c r="E1614" t="s">
        <v>5136</v>
      </c>
      <c r="F1614" t="s">
        <v>9</v>
      </c>
    </row>
    <row r="1615" spans="1:6" x14ac:dyDescent="0.3">
      <c r="A1615" t="s">
        <v>501</v>
      </c>
      <c r="B1615" t="s">
        <v>502</v>
      </c>
      <c r="C1615" t="str">
        <f>HYPERLINK("http://service.sap.com/sap/support/notes/2049293","2049293")</f>
        <v>2049293</v>
      </c>
      <c r="D1615">
        <v>1</v>
      </c>
      <c r="E1615" t="s">
        <v>5137</v>
      </c>
      <c r="F1615" t="s">
        <v>9</v>
      </c>
    </row>
    <row r="1616" spans="1:6" x14ac:dyDescent="0.3">
      <c r="A1616" t="s">
        <v>501</v>
      </c>
      <c r="B1616" t="s">
        <v>502</v>
      </c>
      <c r="C1616" t="str">
        <f>HYPERLINK("http://service.sap.com/sap/support/notes/2049342","2049342")</f>
        <v>2049342</v>
      </c>
      <c r="D1616">
        <v>1</v>
      </c>
      <c r="E1616" t="s">
        <v>5138</v>
      </c>
      <c r="F1616" t="s">
        <v>9</v>
      </c>
    </row>
    <row r="1617" spans="1:6" x14ac:dyDescent="0.3">
      <c r="A1617" t="s">
        <v>501</v>
      </c>
      <c r="B1617" t="s">
        <v>502</v>
      </c>
      <c r="C1617" t="str">
        <f>HYPERLINK("http://service.sap.com/sap/support/notes/2050167","2050167")</f>
        <v>2050167</v>
      </c>
      <c r="D1617">
        <v>2</v>
      </c>
      <c r="E1617" t="s">
        <v>5139</v>
      </c>
      <c r="F1617" t="s">
        <v>9</v>
      </c>
    </row>
    <row r="1618" spans="1:6" x14ac:dyDescent="0.3">
      <c r="A1618" t="s">
        <v>501</v>
      </c>
      <c r="B1618" t="s">
        <v>502</v>
      </c>
      <c r="C1618" t="str">
        <f>HYPERLINK("http://service.sap.com/sap/support/notes/2053052","2053052")</f>
        <v>2053052</v>
      </c>
      <c r="D1618">
        <v>3</v>
      </c>
      <c r="E1618" t="s">
        <v>5140</v>
      </c>
      <c r="F1618" t="s">
        <v>9</v>
      </c>
    </row>
    <row r="1619" spans="1:6" x14ac:dyDescent="0.3">
      <c r="A1619" t="s">
        <v>501</v>
      </c>
      <c r="B1619" t="s">
        <v>502</v>
      </c>
      <c r="C1619" t="str">
        <f>HYPERLINK("http://service.sap.com/sap/support/notes/2054118","2054118")</f>
        <v>2054118</v>
      </c>
      <c r="D1619">
        <v>4</v>
      </c>
      <c r="E1619" t="s">
        <v>5141</v>
      </c>
      <c r="F1619" t="s">
        <v>9</v>
      </c>
    </row>
    <row r="1620" spans="1:6" x14ac:dyDescent="0.3">
      <c r="A1620" t="s">
        <v>501</v>
      </c>
      <c r="B1620" t="s">
        <v>502</v>
      </c>
      <c r="C1620" t="str">
        <f>HYPERLINK("http://service.sap.com/sap/support/notes/2055102","2055102")</f>
        <v>2055102</v>
      </c>
      <c r="D1620">
        <v>2</v>
      </c>
      <c r="E1620" t="s">
        <v>5142</v>
      </c>
      <c r="F1620" t="s">
        <v>9</v>
      </c>
    </row>
    <row r="1621" spans="1:6" x14ac:dyDescent="0.3">
      <c r="A1621" t="s">
        <v>501</v>
      </c>
      <c r="B1621" t="s">
        <v>502</v>
      </c>
      <c r="C1621" t="str">
        <f>HYPERLINK("http://service.sap.com/sap/support/notes/2057176","2057176")</f>
        <v>2057176</v>
      </c>
      <c r="D1621">
        <v>3</v>
      </c>
      <c r="E1621" t="s">
        <v>5143</v>
      </c>
      <c r="F1621" t="s">
        <v>9</v>
      </c>
    </row>
    <row r="1622" spans="1:6" x14ac:dyDescent="0.3">
      <c r="A1622" t="s">
        <v>501</v>
      </c>
      <c r="B1622" t="s">
        <v>502</v>
      </c>
      <c r="C1622" t="str">
        <f>HYPERLINK("http://service.sap.com/sap/support/notes/2057402","2057402")</f>
        <v>2057402</v>
      </c>
      <c r="D1622">
        <v>3</v>
      </c>
      <c r="E1622" t="s">
        <v>5144</v>
      </c>
      <c r="F1622" t="s">
        <v>9</v>
      </c>
    </row>
    <row r="1623" spans="1:6" x14ac:dyDescent="0.3">
      <c r="A1623" t="s">
        <v>501</v>
      </c>
      <c r="B1623" t="s">
        <v>502</v>
      </c>
      <c r="C1623" t="str">
        <f>HYPERLINK("http://service.sap.com/sap/support/notes/1621560","1621560")</f>
        <v>1621560</v>
      </c>
      <c r="D1623">
        <v>9</v>
      </c>
      <c r="E1623" t="s">
        <v>5464</v>
      </c>
      <c r="F1623" t="s">
        <v>16</v>
      </c>
    </row>
    <row r="1624" spans="1:6" x14ac:dyDescent="0.3">
      <c r="A1624" t="s">
        <v>501</v>
      </c>
      <c r="B1624" t="s">
        <v>502</v>
      </c>
      <c r="C1624" t="str">
        <f>HYPERLINK("http://service.sap.com/sap/support/notes/1979518","1979518")</f>
        <v>1979518</v>
      </c>
      <c r="D1624">
        <v>2</v>
      </c>
      <c r="E1624" t="s">
        <v>5465</v>
      </c>
      <c r="F1624" t="s">
        <v>9</v>
      </c>
    </row>
    <row r="1625" spans="1:6" x14ac:dyDescent="0.3">
      <c r="A1625" t="s">
        <v>501</v>
      </c>
      <c r="B1625" t="s">
        <v>502</v>
      </c>
      <c r="C1625" t="str">
        <f>HYPERLINK("http://service.sap.com/sap/support/notes/1984290","1984290")</f>
        <v>1984290</v>
      </c>
      <c r="D1625">
        <v>4</v>
      </c>
      <c r="E1625" t="s">
        <v>5466</v>
      </c>
      <c r="F1625" t="s">
        <v>9</v>
      </c>
    </row>
    <row r="1626" spans="1:6" x14ac:dyDescent="0.3">
      <c r="A1626" t="s">
        <v>501</v>
      </c>
      <c r="B1626" t="s">
        <v>502</v>
      </c>
      <c r="C1626" t="str">
        <f>HYPERLINK("http://service.sap.com/sap/support/notes/1985520","1985520")</f>
        <v>1985520</v>
      </c>
      <c r="D1626">
        <v>2</v>
      </c>
      <c r="E1626" t="s">
        <v>5467</v>
      </c>
      <c r="F1626" t="s">
        <v>9</v>
      </c>
    </row>
    <row r="1627" spans="1:6" x14ac:dyDescent="0.3">
      <c r="A1627" t="s">
        <v>501</v>
      </c>
      <c r="B1627" t="s">
        <v>502</v>
      </c>
      <c r="C1627" t="str">
        <f>HYPERLINK("http://service.sap.com/sap/support/notes/1992767","1992767")</f>
        <v>1992767</v>
      </c>
      <c r="D1627">
        <v>2</v>
      </c>
      <c r="E1627" t="s">
        <v>5468</v>
      </c>
      <c r="F1627" t="s">
        <v>9</v>
      </c>
    </row>
    <row r="1628" spans="1:6" x14ac:dyDescent="0.3">
      <c r="A1628" t="s">
        <v>501</v>
      </c>
      <c r="B1628" t="s">
        <v>502</v>
      </c>
      <c r="C1628" t="str">
        <f>HYPERLINK("http://service.sap.com/sap/support/notes/2025320","2025320")</f>
        <v>2025320</v>
      </c>
      <c r="D1628">
        <v>5</v>
      </c>
      <c r="E1628" t="s">
        <v>5469</v>
      </c>
      <c r="F1628" t="s">
        <v>9</v>
      </c>
    </row>
    <row r="1629" spans="1:6" x14ac:dyDescent="0.3">
      <c r="A1629" t="s">
        <v>501</v>
      </c>
      <c r="B1629" t="s">
        <v>502</v>
      </c>
      <c r="C1629" t="str">
        <f>HYPERLINK("http://service.sap.com/sap/support/notes/2025973","2025973")</f>
        <v>2025973</v>
      </c>
      <c r="D1629">
        <v>7</v>
      </c>
      <c r="E1629" t="s">
        <v>5470</v>
      </c>
      <c r="F1629" t="s">
        <v>9</v>
      </c>
    </row>
    <row r="1630" spans="1:6" x14ac:dyDescent="0.3">
      <c r="A1630" t="s">
        <v>501</v>
      </c>
      <c r="B1630" t="s">
        <v>502</v>
      </c>
      <c r="C1630" t="str">
        <f>HYPERLINK("http://service.sap.com/sap/support/notes/2026029","2026029")</f>
        <v>2026029</v>
      </c>
      <c r="D1630">
        <v>6</v>
      </c>
      <c r="E1630" t="s">
        <v>5471</v>
      </c>
      <c r="F1630" t="s">
        <v>9</v>
      </c>
    </row>
    <row r="1631" spans="1:6" x14ac:dyDescent="0.3">
      <c r="A1631" t="s">
        <v>501</v>
      </c>
      <c r="B1631" t="s">
        <v>502</v>
      </c>
      <c r="C1631" t="str">
        <f>HYPERLINK("http://service.sap.com/sap/support/notes/2026131","2026131")</f>
        <v>2026131</v>
      </c>
      <c r="D1631">
        <v>1</v>
      </c>
      <c r="E1631" t="s">
        <v>5472</v>
      </c>
      <c r="F1631" t="s">
        <v>9</v>
      </c>
    </row>
    <row r="1632" spans="1:6" x14ac:dyDescent="0.3">
      <c r="A1632" t="s">
        <v>501</v>
      </c>
      <c r="B1632" t="s">
        <v>502</v>
      </c>
      <c r="C1632" t="str">
        <f>HYPERLINK("http://service.sap.com/sap/support/notes/2053437","2053437")</f>
        <v>2053437</v>
      </c>
      <c r="D1632">
        <v>5</v>
      </c>
      <c r="E1632" t="s">
        <v>5473</v>
      </c>
      <c r="F1632" t="s">
        <v>9</v>
      </c>
    </row>
    <row r="1633" spans="1:6" x14ac:dyDescent="0.3">
      <c r="A1633" t="s">
        <v>501</v>
      </c>
      <c r="B1633" t="s">
        <v>502</v>
      </c>
      <c r="C1633" t="str">
        <f>HYPERLINK("http://service.sap.com/sap/support/notes/2062522","2062522")</f>
        <v>2062522</v>
      </c>
      <c r="D1633">
        <v>2</v>
      </c>
      <c r="E1633" t="s">
        <v>5474</v>
      </c>
      <c r="F1633" t="s">
        <v>9</v>
      </c>
    </row>
    <row r="1634" spans="1:6" x14ac:dyDescent="0.3">
      <c r="A1634" t="s">
        <v>501</v>
      </c>
      <c r="B1634" t="s">
        <v>502</v>
      </c>
      <c r="C1634" t="str">
        <f>HYPERLINK("http://service.sap.com/sap/support/notes/2062584","2062584")</f>
        <v>2062584</v>
      </c>
      <c r="D1634">
        <v>3</v>
      </c>
      <c r="E1634" t="s">
        <v>5475</v>
      </c>
      <c r="F1634" t="s">
        <v>9</v>
      </c>
    </row>
    <row r="1635" spans="1:6" x14ac:dyDescent="0.3">
      <c r="A1635" t="s">
        <v>501</v>
      </c>
      <c r="B1635" t="s">
        <v>502</v>
      </c>
      <c r="C1635" t="str">
        <f>HYPERLINK("http://service.sap.com/sap/support/notes/2062723","2062723")</f>
        <v>2062723</v>
      </c>
      <c r="D1635">
        <v>3</v>
      </c>
      <c r="E1635" t="s">
        <v>5476</v>
      </c>
      <c r="F1635" t="s">
        <v>9</v>
      </c>
    </row>
    <row r="1636" spans="1:6" x14ac:dyDescent="0.3">
      <c r="A1636" t="s">
        <v>501</v>
      </c>
      <c r="B1636" t="s">
        <v>502</v>
      </c>
      <c r="C1636" t="str">
        <f>HYPERLINK("http://service.sap.com/sap/support/notes/2064211","2064211")</f>
        <v>2064211</v>
      </c>
      <c r="D1636">
        <v>1</v>
      </c>
      <c r="E1636" t="s">
        <v>5477</v>
      </c>
      <c r="F1636" t="s">
        <v>9</v>
      </c>
    </row>
    <row r="1637" spans="1:6" x14ac:dyDescent="0.3">
      <c r="A1637" t="s">
        <v>501</v>
      </c>
      <c r="B1637" t="s">
        <v>502</v>
      </c>
      <c r="C1637" t="str">
        <f>HYPERLINK("http://service.sap.com/sap/support/notes/2064726","2064726")</f>
        <v>2064726</v>
      </c>
      <c r="D1637">
        <v>1</v>
      </c>
      <c r="E1637" t="s">
        <v>5478</v>
      </c>
      <c r="F1637" t="s">
        <v>9</v>
      </c>
    </row>
    <row r="1638" spans="1:6" x14ac:dyDescent="0.3">
      <c r="A1638" t="s">
        <v>501</v>
      </c>
      <c r="B1638" t="s">
        <v>502</v>
      </c>
      <c r="C1638" t="str">
        <f>HYPERLINK("http://service.sap.com/sap/support/notes/2065889","2065889")</f>
        <v>2065889</v>
      </c>
      <c r="D1638">
        <v>1</v>
      </c>
      <c r="E1638" t="s">
        <v>5479</v>
      </c>
      <c r="F1638" t="s">
        <v>9</v>
      </c>
    </row>
    <row r="1639" spans="1:6" x14ac:dyDescent="0.3">
      <c r="A1639" t="s">
        <v>501</v>
      </c>
      <c r="B1639" t="s">
        <v>502</v>
      </c>
      <c r="C1639" t="str">
        <f>HYPERLINK("http://service.sap.com/sap/support/notes/2066395","2066395")</f>
        <v>2066395</v>
      </c>
      <c r="D1639">
        <v>1</v>
      </c>
      <c r="E1639" t="s">
        <v>5480</v>
      </c>
      <c r="F1639" t="s">
        <v>9</v>
      </c>
    </row>
    <row r="1640" spans="1:6" x14ac:dyDescent="0.3">
      <c r="A1640" t="s">
        <v>501</v>
      </c>
      <c r="B1640" t="s">
        <v>502</v>
      </c>
      <c r="C1640" t="str">
        <f>HYPERLINK("http://service.sap.com/sap/support/notes/2066475","2066475")</f>
        <v>2066475</v>
      </c>
      <c r="D1640">
        <v>1</v>
      </c>
      <c r="E1640" t="s">
        <v>5481</v>
      </c>
      <c r="F1640" t="s">
        <v>9</v>
      </c>
    </row>
    <row r="1641" spans="1:6" x14ac:dyDescent="0.3">
      <c r="A1641" t="s">
        <v>521</v>
      </c>
      <c r="B1641" t="s">
        <v>522</v>
      </c>
      <c r="C1641" t="str">
        <f>HYPERLINK("http://service.sap.com/sap/support/notes/1884356","1884356")</f>
        <v>1884356</v>
      </c>
      <c r="D1641">
        <v>2</v>
      </c>
      <c r="E1641" t="s">
        <v>523</v>
      </c>
      <c r="F1641" t="s">
        <v>28</v>
      </c>
    </row>
    <row r="1642" spans="1:6" x14ac:dyDescent="0.3">
      <c r="A1642" t="s">
        <v>521</v>
      </c>
      <c r="B1642" t="s">
        <v>522</v>
      </c>
      <c r="C1642" t="str">
        <f>HYPERLINK("http://service.sap.com/sap/support/notes/612934","612934")</f>
        <v>612934</v>
      </c>
      <c r="D1642">
        <v>1</v>
      </c>
      <c r="E1642" t="s">
        <v>1620</v>
      </c>
      <c r="F1642" t="s">
        <v>16</v>
      </c>
    </row>
    <row r="1643" spans="1:6" x14ac:dyDescent="0.3">
      <c r="A1643" t="s">
        <v>521</v>
      </c>
      <c r="B1643" t="s">
        <v>522</v>
      </c>
      <c r="C1643" t="str">
        <f>HYPERLINK("http://service.sap.com/sap/support/notes/1951786","1951786")</f>
        <v>1951786</v>
      </c>
      <c r="D1643">
        <v>3</v>
      </c>
      <c r="E1643" t="s">
        <v>1621</v>
      </c>
      <c r="F1643" t="s">
        <v>28</v>
      </c>
    </row>
    <row r="1644" spans="1:6" x14ac:dyDescent="0.3">
      <c r="A1644" t="s">
        <v>521</v>
      </c>
      <c r="B1644" t="s">
        <v>522</v>
      </c>
      <c r="C1644" t="str">
        <f>HYPERLINK("http://service.sap.com/sap/support/notes/1966898","1966898")</f>
        <v>1966898</v>
      </c>
      <c r="D1644">
        <v>2</v>
      </c>
      <c r="E1644" t="s">
        <v>2135</v>
      </c>
      <c r="F1644" t="s">
        <v>9</v>
      </c>
    </row>
    <row r="1645" spans="1:6" x14ac:dyDescent="0.3">
      <c r="A1645" t="s">
        <v>521</v>
      </c>
      <c r="B1645" t="s">
        <v>522</v>
      </c>
      <c r="C1645" t="str">
        <f>HYPERLINK("http://service.sap.com/sap/support/notes/1929942","1929942")</f>
        <v>1929942</v>
      </c>
      <c r="D1645">
        <v>2</v>
      </c>
      <c r="E1645" t="s">
        <v>2478</v>
      </c>
      <c r="F1645" t="s">
        <v>9</v>
      </c>
    </row>
    <row r="1646" spans="1:6" x14ac:dyDescent="0.3">
      <c r="A1646" t="s">
        <v>521</v>
      </c>
      <c r="B1646" t="s">
        <v>522</v>
      </c>
      <c r="C1646" t="str">
        <f>HYPERLINK("http://service.sap.com/sap/support/notes/1956493","1956493")</f>
        <v>1956493</v>
      </c>
      <c r="D1646">
        <v>1</v>
      </c>
      <c r="E1646" t="s">
        <v>2479</v>
      </c>
      <c r="F1646" t="s">
        <v>9</v>
      </c>
    </row>
    <row r="1647" spans="1:6" x14ac:dyDescent="0.3">
      <c r="A1647" t="s">
        <v>521</v>
      </c>
      <c r="B1647" t="s">
        <v>522</v>
      </c>
      <c r="C1647" t="str">
        <f>HYPERLINK("http://service.sap.com/sap/support/notes/1968122","1968122")</f>
        <v>1968122</v>
      </c>
      <c r="D1647">
        <v>3</v>
      </c>
      <c r="E1647" t="s">
        <v>2480</v>
      </c>
      <c r="F1647" t="s">
        <v>9</v>
      </c>
    </row>
    <row r="1648" spans="1:6" x14ac:dyDescent="0.3">
      <c r="A1648" t="s">
        <v>521</v>
      </c>
      <c r="B1648" t="s">
        <v>522</v>
      </c>
      <c r="C1648" t="str">
        <f>HYPERLINK("http://service.sap.com/sap/support/notes/612934","612934")</f>
        <v>612934</v>
      </c>
      <c r="D1648">
        <v>1</v>
      </c>
      <c r="E1648" t="s">
        <v>1620</v>
      </c>
      <c r="F1648" t="s">
        <v>16</v>
      </c>
    </row>
    <row r="1649" spans="1:6" x14ac:dyDescent="0.3">
      <c r="A1649" t="s">
        <v>521</v>
      </c>
      <c r="B1649" t="s">
        <v>522</v>
      </c>
      <c r="C1649" t="str">
        <f>HYPERLINK("http://service.sap.com/sap/support/notes/1974021","1974021")</f>
        <v>1974021</v>
      </c>
      <c r="D1649">
        <v>2</v>
      </c>
      <c r="E1649" t="s">
        <v>2921</v>
      </c>
      <c r="F1649" t="s">
        <v>9</v>
      </c>
    </row>
    <row r="1650" spans="1:6" x14ac:dyDescent="0.3">
      <c r="A1650" t="s">
        <v>521</v>
      </c>
      <c r="B1650" t="s">
        <v>522</v>
      </c>
      <c r="C1650" t="str">
        <f>HYPERLINK("http://service.sap.com/sap/support/notes/1974688","1974688")</f>
        <v>1974688</v>
      </c>
      <c r="D1650">
        <v>3</v>
      </c>
      <c r="E1650" t="s">
        <v>2922</v>
      </c>
      <c r="F1650" t="s">
        <v>9</v>
      </c>
    </row>
    <row r="1651" spans="1:6" x14ac:dyDescent="0.3">
      <c r="A1651" t="s">
        <v>521</v>
      </c>
      <c r="B1651" t="s">
        <v>522</v>
      </c>
      <c r="C1651" t="str">
        <f>HYPERLINK("http://service.sap.com/sap/support/notes/1994405","1994405")</f>
        <v>1994405</v>
      </c>
      <c r="D1651">
        <v>3</v>
      </c>
      <c r="E1651" t="s">
        <v>3586</v>
      </c>
      <c r="F1651" t="s">
        <v>9</v>
      </c>
    </row>
    <row r="1652" spans="1:6" x14ac:dyDescent="0.3">
      <c r="A1652" t="s">
        <v>521</v>
      </c>
      <c r="B1652" t="s">
        <v>522</v>
      </c>
      <c r="C1652" t="str">
        <f>HYPERLINK("http://service.sap.com/sap/support/notes/1973502","1973502")</f>
        <v>1973502</v>
      </c>
      <c r="D1652">
        <v>6</v>
      </c>
      <c r="E1652" t="s">
        <v>4115</v>
      </c>
      <c r="F1652" t="s">
        <v>9</v>
      </c>
    </row>
    <row r="1653" spans="1:6" x14ac:dyDescent="0.3">
      <c r="A1653" t="s">
        <v>521</v>
      </c>
      <c r="B1653" t="s">
        <v>522</v>
      </c>
      <c r="C1653" t="str">
        <f>HYPERLINK("http://service.sap.com/sap/support/notes/2015126","2015126")</f>
        <v>2015126</v>
      </c>
      <c r="D1653">
        <v>3</v>
      </c>
      <c r="E1653" t="s">
        <v>4774</v>
      </c>
      <c r="F1653" t="s">
        <v>9</v>
      </c>
    </row>
    <row r="1654" spans="1:6" x14ac:dyDescent="0.3">
      <c r="A1654" t="s">
        <v>521</v>
      </c>
      <c r="B1654" t="s">
        <v>522</v>
      </c>
      <c r="C1654" t="str">
        <f>HYPERLINK("http://service.sap.com/sap/support/notes/1999791","1999791")</f>
        <v>1999791</v>
      </c>
      <c r="D1654">
        <v>6</v>
      </c>
      <c r="E1654" t="s">
        <v>5145</v>
      </c>
      <c r="F1654" t="s">
        <v>9</v>
      </c>
    </row>
    <row r="1655" spans="1:6" x14ac:dyDescent="0.3">
      <c r="A1655" t="s">
        <v>521</v>
      </c>
      <c r="B1655" t="s">
        <v>522</v>
      </c>
      <c r="C1655" t="str">
        <f>HYPERLINK("http://service.sap.com/sap/support/notes/2038248","2038248")</f>
        <v>2038248</v>
      </c>
      <c r="D1655">
        <v>1</v>
      </c>
      <c r="E1655" t="s">
        <v>5145</v>
      </c>
      <c r="F1655" t="s">
        <v>9</v>
      </c>
    </row>
    <row r="1656" spans="1:6" x14ac:dyDescent="0.3">
      <c r="A1656" t="s">
        <v>521</v>
      </c>
      <c r="B1656" t="s">
        <v>522</v>
      </c>
      <c r="C1656" t="str">
        <f>HYPERLINK("http://service.sap.com/sap/support/notes/1924670","1924670")</f>
        <v>1924670</v>
      </c>
      <c r="D1656">
        <v>3</v>
      </c>
      <c r="E1656" t="s">
        <v>5482</v>
      </c>
      <c r="F1656" t="s">
        <v>9</v>
      </c>
    </row>
    <row r="1657" spans="1:6" x14ac:dyDescent="0.3">
      <c r="A1657" t="s">
        <v>521</v>
      </c>
      <c r="B1657" t="s">
        <v>522</v>
      </c>
      <c r="C1657" t="str">
        <f>HYPERLINK("http://service.sap.com/sap/support/notes/1931897","1931897")</f>
        <v>1931897</v>
      </c>
      <c r="D1657">
        <v>3</v>
      </c>
      <c r="E1657" t="s">
        <v>5483</v>
      </c>
      <c r="F1657" t="s">
        <v>9</v>
      </c>
    </row>
    <row r="1658" spans="1:6" x14ac:dyDescent="0.3">
      <c r="A1658" t="s">
        <v>521</v>
      </c>
      <c r="B1658" t="s">
        <v>522</v>
      </c>
      <c r="C1658" t="str">
        <f>HYPERLINK("http://service.sap.com/sap/support/notes/1999791","1999791")</f>
        <v>1999791</v>
      </c>
      <c r="D1658">
        <v>6</v>
      </c>
      <c r="E1658" t="s">
        <v>5145</v>
      </c>
      <c r="F1658" t="s">
        <v>9</v>
      </c>
    </row>
    <row r="1659" spans="1:6" x14ac:dyDescent="0.3">
      <c r="A1659" t="s">
        <v>521</v>
      </c>
      <c r="B1659" t="s">
        <v>522</v>
      </c>
      <c r="C1659" t="str">
        <f>HYPERLINK("http://service.sap.com/sap/support/notes/2033832","2033832")</f>
        <v>2033832</v>
      </c>
      <c r="D1659">
        <v>2</v>
      </c>
      <c r="E1659" t="s">
        <v>5484</v>
      </c>
      <c r="F1659" t="s">
        <v>9</v>
      </c>
    </row>
    <row r="1660" spans="1:6" x14ac:dyDescent="0.3">
      <c r="A1660" t="s">
        <v>521</v>
      </c>
      <c r="B1660" t="s">
        <v>522</v>
      </c>
      <c r="C1660" t="str">
        <f>HYPERLINK("http://service.sap.com/sap/support/notes/2038248","2038248")</f>
        <v>2038248</v>
      </c>
      <c r="D1660">
        <v>1</v>
      </c>
      <c r="E1660" t="s">
        <v>5145</v>
      </c>
      <c r="F1660" t="s">
        <v>9</v>
      </c>
    </row>
    <row r="1661" spans="1:6" x14ac:dyDescent="0.3">
      <c r="A1661" t="s">
        <v>521</v>
      </c>
      <c r="B1661" t="s">
        <v>522</v>
      </c>
      <c r="C1661" t="str">
        <f>HYPERLINK("http://service.sap.com/sap/support/notes/2043334","2043334")</f>
        <v>2043334</v>
      </c>
      <c r="D1661">
        <v>1</v>
      </c>
      <c r="E1661" t="s">
        <v>5485</v>
      </c>
      <c r="F1661" t="s">
        <v>9</v>
      </c>
    </row>
    <row r="1662" spans="1:6" x14ac:dyDescent="0.3">
      <c r="A1662" t="s">
        <v>2481</v>
      </c>
      <c r="B1662" t="s">
        <v>2482</v>
      </c>
      <c r="C1662" t="str">
        <f>HYPERLINK("http://service.sap.com/sap/support/notes/1904899","1904899")</f>
        <v>1904899</v>
      </c>
      <c r="D1662">
        <v>2</v>
      </c>
      <c r="E1662" t="s">
        <v>2483</v>
      </c>
      <c r="F1662" t="s">
        <v>9</v>
      </c>
    </row>
    <row r="1663" spans="1:6" x14ac:dyDescent="0.3">
      <c r="A1663" t="s">
        <v>2481</v>
      </c>
      <c r="B1663" t="s">
        <v>2482</v>
      </c>
      <c r="C1663" t="str">
        <f>HYPERLINK("http://service.sap.com/sap/support/notes/1886858","1886858")</f>
        <v>1886858</v>
      </c>
      <c r="D1663">
        <v>3</v>
      </c>
      <c r="E1663" t="s">
        <v>5146</v>
      </c>
      <c r="F1663" t="s">
        <v>9</v>
      </c>
    </row>
    <row r="1664" spans="1:6" x14ac:dyDescent="0.3">
      <c r="A1664" t="s">
        <v>524</v>
      </c>
      <c r="B1664" t="s">
        <v>525</v>
      </c>
      <c r="C1664" t="str">
        <f>HYPERLINK("http://service.sap.com/sap/support/notes/1867227","1867227")</f>
        <v>1867227</v>
      </c>
      <c r="D1664">
        <v>2</v>
      </c>
      <c r="E1664" t="s">
        <v>526</v>
      </c>
      <c r="F1664" t="s">
        <v>9</v>
      </c>
    </row>
    <row r="1665" spans="1:6" x14ac:dyDescent="0.3">
      <c r="A1665" t="s">
        <v>524</v>
      </c>
      <c r="B1665" t="s">
        <v>525</v>
      </c>
      <c r="C1665" t="str">
        <f>HYPERLINK("http://service.sap.com/sap/support/notes/1896147","1896147")</f>
        <v>1896147</v>
      </c>
      <c r="D1665">
        <v>3</v>
      </c>
      <c r="E1665" t="s">
        <v>1201</v>
      </c>
      <c r="F1665" t="s">
        <v>9</v>
      </c>
    </row>
    <row r="1666" spans="1:6" x14ac:dyDescent="0.3">
      <c r="A1666" t="s">
        <v>524</v>
      </c>
      <c r="B1666" t="s">
        <v>525</v>
      </c>
      <c r="C1666" t="str">
        <f>HYPERLINK("http://service.sap.com/sap/support/notes/1882739","1882739")</f>
        <v>1882739</v>
      </c>
      <c r="D1666">
        <v>4</v>
      </c>
      <c r="E1666" t="s">
        <v>1622</v>
      </c>
      <c r="F1666" t="s">
        <v>9</v>
      </c>
    </row>
    <row r="1667" spans="1:6" x14ac:dyDescent="0.3">
      <c r="A1667" t="s">
        <v>524</v>
      </c>
      <c r="B1667" t="s">
        <v>525</v>
      </c>
      <c r="C1667" t="str">
        <f>HYPERLINK("http://service.sap.com/sap/support/notes/1936831","1936831")</f>
        <v>1936831</v>
      </c>
      <c r="D1667">
        <v>2</v>
      </c>
      <c r="E1667" t="s">
        <v>1623</v>
      </c>
      <c r="F1667" t="s">
        <v>9</v>
      </c>
    </row>
    <row r="1668" spans="1:6" x14ac:dyDescent="0.3">
      <c r="A1668" t="s">
        <v>524</v>
      </c>
      <c r="B1668" t="s">
        <v>525</v>
      </c>
      <c r="C1668" t="str">
        <f>HYPERLINK("http://service.sap.com/sap/support/notes/1968105","1968105")</f>
        <v>1968105</v>
      </c>
      <c r="D1668">
        <v>3</v>
      </c>
      <c r="E1668" t="s">
        <v>2136</v>
      </c>
      <c r="F1668" t="s">
        <v>9</v>
      </c>
    </row>
    <row r="1669" spans="1:6" x14ac:dyDescent="0.3">
      <c r="A1669" t="s">
        <v>524</v>
      </c>
      <c r="B1669" t="s">
        <v>525</v>
      </c>
      <c r="C1669" t="str">
        <f>HYPERLINK("http://service.sap.com/sap/support/notes/1835259","1835259")</f>
        <v>1835259</v>
      </c>
      <c r="D1669">
        <v>4</v>
      </c>
      <c r="E1669" t="s">
        <v>2484</v>
      </c>
      <c r="F1669" t="s">
        <v>9</v>
      </c>
    </row>
    <row r="1670" spans="1:6" x14ac:dyDescent="0.3">
      <c r="A1670" t="s">
        <v>524</v>
      </c>
      <c r="B1670" t="s">
        <v>525</v>
      </c>
      <c r="C1670" t="str">
        <f>HYPERLINK("http://service.sap.com/sap/support/notes/1905647","1905647")</f>
        <v>1905647</v>
      </c>
      <c r="D1670">
        <v>3</v>
      </c>
      <c r="E1670" t="s">
        <v>2485</v>
      </c>
      <c r="F1670" t="s">
        <v>9</v>
      </c>
    </row>
    <row r="1671" spans="1:6" x14ac:dyDescent="0.3">
      <c r="A1671" t="s">
        <v>524</v>
      </c>
      <c r="B1671" t="s">
        <v>525</v>
      </c>
      <c r="C1671" t="str">
        <f>HYPERLINK("http://service.sap.com/sap/support/notes/1968105","1968105")</f>
        <v>1968105</v>
      </c>
      <c r="D1671">
        <v>3</v>
      </c>
      <c r="E1671" t="s">
        <v>2136</v>
      </c>
      <c r="F1671" t="s">
        <v>9</v>
      </c>
    </row>
    <row r="1672" spans="1:6" x14ac:dyDescent="0.3">
      <c r="A1672" t="s">
        <v>524</v>
      </c>
      <c r="B1672" t="s">
        <v>525</v>
      </c>
      <c r="C1672" t="str">
        <f>HYPERLINK("http://service.sap.com/sap/support/notes/1968698","1968698")</f>
        <v>1968698</v>
      </c>
      <c r="D1672">
        <v>1</v>
      </c>
      <c r="E1672" t="s">
        <v>2486</v>
      </c>
      <c r="F1672" t="s">
        <v>9</v>
      </c>
    </row>
    <row r="1673" spans="1:6" x14ac:dyDescent="0.3">
      <c r="A1673" t="s">
        <v>524</v>
      </c>
      <c r="B1673" t="s">
        <v>525</v>
      </c>
      <c r="C1673" t="str">
        <f>HYPERLINK("http://service.sap.com/sap/support/notes/1972783","1972783")</f>
        <v>1972783</v>
      </c>
      <c r="D1673">
        <v>5</v>
      </c>
      <c r="E1673" t="s">
        <v>2487</v>
      </c>
      <c r="F1673" t="s">
        <v>9</v>
      </c>
    </row>
    <row r="1674" spans="1:6" x14ac:dyDescent="0.3">
      <c r="A1674" t="s">
        <v>524</v>
      </c>
      <c r="B1674" t="s">
        <v>525</v>
      </c>
      <c r="C1674" t="str">
        <f>HYPERLINK("http://service.sap.com/sap/support/notes/1978272","1978272")</f>
        <v>1978272</v>
      </c>
      <c r="D1674">
        <v>1</v>
      </c>
      <c r="E1674" t="s">
        <v>2488</v>
      </c>
      <c r="F1674" t="s">
        <v>9</v>
      </c>
    </row>
    <row r="1675" spans="1:6" x14ac:dyDescent="0.3">
      <c r="A1675" t="s">
        <v>524</v>
      </c>
      <c r="B1675" t="s">
        <v>525</v>
      </c>
      <c r="C1675" t="str">
        <f>HYPERLINK("http://service.sap.com/sap/support/notes/1972783","1972783")</f>
        <v>1972783</v>
      </c>
      <c r="D1675">
        <v>5</v>
      </c>
      <c r="E1675" t="s">
        <v>2923</v>
      </c>
      <c r="F1675" t="s">
        <v>9</v>
      </c>
    </row>
    <row r="1676" spans="1:6" x14ac:dyDescent="0.3">
      <c r="A1676" t="s">
        <v>524</v>
      </c>
      <c r="B1676" t="s">
        <v>525</v>
      </c>
      <c r="C1676" t="str">
        <f>HYPERLINK("http://service.sap.com/sap/support/notes/1969549","1969549")</f>
        <v>1969549</v>
      </c>
      <c r="D1676">
        <v>2</v>
      </c>
      <c r="E1676" t="s">
        <v>3587</v>
      </c>
      <c r="F1676" t="s">
        <v>9</v>
      </c>
    </row>
    <row r="1677" spans="1:6" x14ac:dyDescent="0.3">
      <c r="A1677" t="s">
        <v>524</v>
      </c>
      <c r="B1677" t="s">
        <v>525</v>
      </c>
      <c r="C1677" t="str">
        <f>HYPERLINK("http://service.sap.com/sap/support/notes/1973004","1973004")</f>
        <v>1973004</v>
      </c>
      <c r="D1677">
        <v>4</v>
      </c>
      <c r="E1677" t="s">
        <v>3588</v>
      </c>
      <c r="F1677" t="s">
        <v>9</v>
      </c>
    </row>
    <row r="1678" spans="1:6" x14ac:dyDescent="0.3">
      <c r="A1678" t="s">
        <v>524</v>
      </c>
      <c r="B1678" t="s">
        <v>525</v>
      </c>
      <c r="C1678" t="str">
        <f>HYPERLINK("http://service.sap.com/sap/support/notes/1951732","1951732")</f>
        <v>1951732</v>
      </c>
      <c r="D1678">
        <v>4</v>
      </c>
      <c r="E1678" t="s">
        <v>4464</v>
      </c>
      <c r="F1678" t="s">
        <v>9</v>
      </c>
    </row>
    <row r="1679" spans="1:6" x14ac:dyDescent="0.3">
      <c r="A1679" t="s">
        <v>524</v>
      </c>
      <c r="B1679" t="s">
        <v>525</v>
      </c>
      <c r="C1679" t="str">
        <f>HYPERLINK("http://service.sap.com/sap/support/notes/1918435","1918435")</f>
        <v>1918435</v>
      </c>
      <c r="D1679">
        <v>2</v>
      </c>
      <c r="E1679" t="s">
        <v>5147</v>
      </c>
      <c r="F1679" t="s">
        <v>9</v>
      </c>
    </row>
    <row r="1680" spans="1:6" x14ac:dyDescent="0.3">
      <c r="A1680" t="s">
        <v>524</v>
      </c>
      <c r="B1680" t="s">
        <v>525</v>
      </c>
      <c r="C1680" t="str">
        <f>HYPERLINK("http://service.sap.com/sap/support/notes/1923463","1923463")</f>
        <v>1923463</v>
      </c>
      <c r="D1680">
        <v>3</v>
      </c>
      <c r="E1680" t="s">
        <v>5486</v>
      </c>
      <c r="F1680" t="s">
        <v>9</v>
      </c>
    </row>
    <row r="1681" spans="1:6" x14ac:dyDescent="0.3">
      <c r="A1681" t="s">
        <v>524</v>
      </c>
      <c r="B1681" t="s">
        <v>525</v>
      </c>
      <c r="C1681" t="str">
        <f>HYPERLINK("http://service.sap.com/sap/support/notes/1981414","1981414")</f>
        <v>1981414</v>
      </c>
      <c r="D1681">
        <v>1</v>
      </c>
      <c r="E1681" t="s">
        <v>5487</v>
      </c>
      <c r="F1681" t="s">
        <v>9</v>
      </c>
    </row>
    <row r="1682" spans="1:6" x14ac:dyDescent="0.3">
      <c r="A1682" t="s">
        <v>524</v>
      </c>
      <c r="B1682" t="s">
        <v>525</v>
      </c>
      <c r="C1682" t="str">
        <f>HYPERLINK("http://service.sap.com/sap/support/notes/2002306","2002306")</f>
        <v>2002306</v>
      </c>
      <c r="D1682">
        <v>3</v>
      </c>
      <c r="E1682" t="s">
        <v>5488</v>
      </c>
      <c r="F1682" t="s">
        <v>9</v>
      </c>
    </row>
    <row r="1683" spans="1:6" x14ac:dyDescent="0.3">
      <c r="A1683" t="s">
        <v>524</v>
      </c>
      <c r="B1683" t="s">
        <v>525</v>
      </c>
      <c r="C1683" t="str">
        <f>HYPERLINK("http://service.sap.com/sap/support/notes/2026452","2026452")</f>
        <v>2026452</v>
      </c>
      <c r="D1683">
        <v>2</v>
      </c>
      <c r="E1683" t="s">
        <v>5489</v>
      </c>
      <c r="F1683" t="s">
        <v>9</v>
      </c>
    </row>
    <row r="1684" spans="1:6" x14ac:dyDescent="0.3">
      <c r="A1684" t="s">
        <v>524</v>
      </c>
      <c r="B1684" t="s">
        <v>525</v>
      </c>
      <c r="C1684" t="str">
        <f>HYPERLINK("http://service.sap.com/sap/support/notes/2058960","2058960")</f>
        <v>2058960</v>
      </c>
      <c r="D1684">
        <v>3</v>
      </c>
      <c r="E1684" t="s">
        <v>5490</v>
      </c>
      <c r="F1684" t="s">
        <v>9</v>
      </c>
    </row>
    <row r="1685" spans="1:6" x14ac:dyDescent="0.3">
      <c r="A1685" t="s">
        <v>527</v>
      </c>
      <c r="B1685" t="s">
        <v>528</v>
      </c>
      <c r="C1685" t="str">
        <f>HYPERLINK("http://service.sap.com/sap/support/notes/1910905","1910905")</f>
        <v>1910905</v>
      </c>
      <c r="D1685">
        <v>4</v>
      </c>
      <c r="E1685" t="s">
        <v>529</v>
      </c>
      <c r="F1685" t="s">
        <v>9</v>
      </c>
    </row>
    <row r="1686" spans="1:6" x14ac:dyDescent="0.3">
      <c r="A1686" t="s">
        <v>527</v>
      </c>
      <c r="B1686" t="s">
        <v>528</v>
      </c>
      <c r="C1686" t="str">
        <f>HYPERLINK("http://service.sap.com/sap/support/notes/1938869","1938869")</f>
        <v>1938869</v>
      </c>
      <c r="D1686">
        <v>3</v>
      </c>
      <c r="E1686" t="s">
        <v>1414</v>
      </c>
      <c r="F1686" t="s">
        <v>9</v>
      </c>
    </row>
    <row r="1687" spans="1:6" x14ac:dyDescent="0.3">
      <c r="A1687" t="s">
        <v>527</v>
      </c>
      <c r="B1687" t="s">
        <v>528</v>
      </c>
      <c r="C1687" t="str">
        <f>HYPERLINK("http://service.sap.com/sap/support/notes/1946608","1946608")</f>
        <v>1946608</v>
      </c>
      <c r="D1687">
        <v>5</v>
      </c>
      <c r="E1687" t="s">
        <v>1415</v>
      </c>
      <c r="F1687" t="s">
        <v>9</v>
      </c>
    </row>
    <row r="1688" spans="1:6" x14ac:dyDescent="0.3">
      <c r="A1688" t="s">
        <v>527</v>
      </c>
      <c r="B1688" t="s">
        <v>528</v>
      </c>
      <c r="C1688" t="str">
        <f>HYPERLINK("http://service.sap.com/sap/support/notes/1954548","1954548")</f>
        <v>1954548</v>
      </c>
      <c r="D1688">
        <v>1</v>
      </c>
      <c r="E1688" t="s">
        <v>1624</v>
      </c>
      <c r="F1688" t="s">
        <v>9</v>
      </c>
    </row>
    <row r="1689" spans="1:6" x14ac:dyDescent="0.3">
      <c r="A1689" t="s">
        <v>527</v>
      </c>
      <c r="B1689" t="s">
        <v>528</v>
      </c>
      <c r="C1689" t="str">
        <f>HYPERLINK("http://service.sap.com/sap/support/notes/1983186","1983186")</f>
        <v>1983186</v>
      </c>
      <c r="D1689">
        <v>2</v>
      </c>
      <c r="E1689" t="s">
        <v>2924</v>
      </c>
      <c r="F1689" t="s">
        <v>9</v>
      </c>
    </row>
    <row r="1690" spans="1:6" x14ac:dyDescent="0.3">
      <c r="A1690" t="s">
        <v>527</v>
      </c>
      <c r="B1690" t="s">
        <v>528</v>
      </c>
      <c r="C1690" t="str">
        <f>HYPERLINK("http://service.sap.com/sap/support/notes/2029172","2029172")</f>
        <v>2029172</v>
      </c>
      <c r="D1690">
        <v>1</v>
      </c>
      <c r="E1690" t="s">
        <v>5148</v>
      </c>
      <c r="F1690" t="s">
        <v>9</v>
      </c>
    </row>
    <row r="1691" spans="1:6" x14ac:dyDescent="0.3">
      <c r="A1691" t="s">
        <v>527</v>
      </c>
      <c r="B1691" t="s">
        <v>528</v>
      </c>
      <c r="C1691" t="str">
        <f>HYPERLINK("http://service.sap.com/sap/support/notes/2005738","2005738")</f>
        <v>2005738</v>
      </c>
      <c r="D1691">
        <v>2</v>
      </c>
      <c r="E1691" t="s">
        <v>5491</v>
      </c>
      <c r="F1691" t="s">
        <v>9</v>
      </c>
    </row>
    <row r="1692" spans="1:6" x14ac:dyDescent="0.3">
      <c r="A1692" t="s">
        <v>530</v>
      </c>
      <c r="B1692" t="s">
        <v>531</v>
      </c>
      <c r="C1692" t="str">
        <f>HYPERLINK("http://service.sap.com/sap/support/notes/1895684","1895684")</f>
        <v>1895684</v>
      </c>
      <c r="D1692">
        <v>1</v>
      </c>
      <c r="E1692" t="s">
        <v>532</v>
      </c>
      <c r="F1692" t="s">
        <v>9</v>
      </c>
    </row>
    <row r="1693" spans="1:6" x14ac:dyDescent="0.3">
      <c r="A1693" t="s">
        <v>530</v>
      </c>
      <c r="B1693" t="s">
        <v>531</v>
      </c>
      <c r="C1693" t="str">
        <f>HYPERLINK("http://service.sap.com/sap/support/notes/1900749","1900749")</f>
        <v>1900749</v>
      </c>
      <c r="D1693">
        <v>2</v>
      </c>
      <c r="E1693" t="s">
        <v>533</v>
      </c>
      <c r="F1693" t="s">
        <v>9</v>
      </c>
    </row>
    <row r="1694" spans="1:6" x14ac:dyDescent="0.3">
      <c r="A1694" t="s">
        <v>530</v>
      </c>
      <c r="B1694" t="s">
        <v>531</v>
      </c>
      <c r="C1694" t="str">
        <f>HYPERLINK("http://service.sap.com/sap/support/notes/1903466","1903466")</f>
        <v>1903466</v>
      </c>
      <c r="D1694">
        <v>2</v>
      </c>
      <c r="E1694" t="s">
        <v>534</v>
      </c>
      <c r="F1694" t="s">
        <v>9</v>
      </c>
    </row>
    <row r="1695" spans="1:6" x14ac:dyDescent="0.3">
      <c r="A1695" t="s">
        <v>530</v>
      </c>
      <c r="B1695" t="s">
        <v>531</v>
      </c>
      <c r="C1695" t="str">
        <f>HYPERLINK("http://service.sap.com/sap/support/notes/1912287","1912287")</f>
        <v>1912287</v>
      </c>
      <c r="D1695">
        <v>2</v>
      </c>
      <c r="E1695" t="s">
        <v>535</v>
      </c>
      <c r="F1695" t="s">
        <v>35</v>
      </c>
    </row>
    <row r="1696" spans="1:6" x14ac:dyDescent="0.3">
      <c r="A1696" t="s">
        <v>530</v>
      </c>
      <c r="B1696" t="s">
        <v>531</v>
      </c>
      <c r="C1696" t="str">
        <f>HYPERLINK("http://service.sap.com/sap/support/notes/1917653","1917653")</f>
        <v>1917653</v>
      </c>
      <c r="D1696">
        <v>1</v>
      </c>
      <c r="E1696" t="s">
        <v>536</v>
      </c>
      <c r="F1696" t="s">
        <v>9</v>
      </c>
    </row>
    <row r="1697" spans="1:6" x14ac:dyDescent="0.3">
      <c r="A1697" t="s">
        <v>530</v>
      </c>
      <c r="B1697" t="s">
        <v>531</v>
      </c>
      <c r="C1697" t="str">
        <f>HYPERLINK("http://service.sap.com/sap/support/notes/1919066","1919066")</f>
        <v>1919066</v>
      </c>
      <c r="D1697">
        <v>1</v>
      </c>
      <c r="E1697" t="s">
        <v>537</v>
      </c>
      <c r="F1697" t="s">
        <v>9</v>
      </c>
    </row>
    <row r="1698" spans="1:6" x14ac:dyDescent="0.3">
      <c r="A1698" t="s">
        <v>530</v>
      </c>
      <c r="B1698" t="s">
        <v>531</v>
      </c>
      <c r="C1698" t="str">
        <f>HYPERLINK("http://service.sap.com/sap/support/notes/1920835","1920835")</f>
        <v>1920835</v>
      </c>
      <c r="D1698">
        <v>1</v>
      </c>
      <c r="E1698" t="s">
        <v>538</v>
      </c>
      <c r="F1698" t="s">
        <v>16</v>
      </c>
    </row>
    <row r="1699" spans="1:6" x14ac:dyDescent="0.3">
      <c r="A1699" t="s">
        <v>530</v>
      </c>
      <c r="B1699" t="s">
        <v>531</v>
      </c>
      <c r="C1699" t="str">
        <f>HYPERLINK("http://service.sap.com/sap/support/notes/1924159","1924159")</f>
        <v>1924159</v>
      </c>
      <c r="D1699">
        <v>1</v>
      </c>
      <c r="E1699" t="s">
        <v>539</v>
      </c>
      <c r="F1699" t="s">
        <v>16</v>
      </c>
    </row>
    <row r="1700" spans="1:6" x14ac:dyDescent="0.3">
      <c r="A1700" t="s">
        <v>530</v>
      </c>
      <c r="B1700" t="s">
        <v>531</v>
      </c>
      <c r="C1700" t="str">
        <f>HYPERLINK("http://service.sap.com/sap/support/notes/1925619","1925619")</f>
        <v>1925619</v>
      </c>
      <c r="D1700">
        <v>1</v>
      </c>
      <c r="E1700" t="s">
        <v>540</v>
      </c>
      <c r="F1700" t="s">
        <v>35</v>
      </c>
    </row>
    <row r="1701" spans="1:6" x14ac:dyDescent="0.3">
      <c r="A1701" t="s">
        <v>530</v>
      </c>
      <c r="B1701" t="s">
        <v>531</v>
      </c>
      <c r="C1701" t="str">
        <f>HYPERLINK("http://service.sap.com/sap/support/notes/1926303","1926303")</f>
        <v>1926303</v>
      </c>
      <c r="D1701">
        <v>2</v>
      </c>
      <c r="E1701" t="s">
        <v>541</v>
      </c>
      <c r="F1701" t="s">
        <v>28</v>
      </c>
    </row>
    <row r="1702" spans="1:6" x14ac:dyDescent="0.3">
      <c r="A1702" t="s">
        <v>530</v>
      </c>
      <c r="B1702" t="s">
        <v>531</v>
      </c>
      <c r="C1702" t="str">
        <f>HYPERLINK("http://service.sap.com/sap/support/notes/1931458","1931458")</f>
        <v>1931458</v>
      </c>
      <c r="D1702">
        <v>1</v>
      </c>
      <c r="E1702" t="s">
        <v>542</v>
      </c>
      <c r="F1702" t="s">
        <v>16</v>
      </c>
    </row>
    <row r="1703" spans="1:6" x14ac:dyDescent="0.3">
      <c r="A1703" t="s">
        <v>530</v>
      </c>
      <c r="B1703" t="s">
        <v>531</v>
      </c>
      <c r="C1703" t="str">
        <f>HYPERLINK("http://service.sap.com/sap/support/notes/1906222","1906222")</f>
        <v>1906222</v>
      </c>
      <c r="D1703">
        <v>3</v>
      </c>
      <c r="E1703" t="s">
        <v>1202</v>
      </c>
      <c r="F1703" t="s">
        <v>35</v>
      </c>
    </row>
    <row r="1704" spans="1:6" x14ac:dyDescent="0.3">
      <c r="A1704" t="s">
        <v>530</v>
      </c>
      <c r="B1704" t="s">
        <v>531</v>
      </c>
      <c r="C1704" t="str">
        <f>HYPERLINK("http://service.sap.com/sap/support/notes/1918980","1918980")</f>
        <v>1918980</v>
      </c>
      <c r="D1704">
        <v>1</v>
      </c>
      <c r="E1704" t="s">
        <v>1203</v>
      </c>
      <c r="F1704" t="s">
        <v>9</v>
      </c>
    </row>
    <row r="1705" spans="1:6" x14ac:dyDescent="0.3">
      <c r="A1705" t="s">
        <v>530</v>
      </c>
      <c r="B1705" t="s">
        <v>531</v>
      </c>
      <c r="C1705" t="str">
        <f>HYPERLINK("http://service.sap.com/sap/support/notes/1919065","1919065")</f>
        <v>1919065</v>
      </c>
      <c r="D1705">
        <v>1</v>
      </c>
      <c r="E1705" t="s">
        <v>1204</v>
      </c>
      <c r="F1705" t="s">
        <v>9</v>
      </c>
    </row>
    <row r="1706" spans="1:6" x14ac:dyDescent="0.3">
      <c r="A1706" t="s">
        <v>530</v>
      </c>
      <c r="B1706" t="s">
        <v>531</v>
      </c>
      <c r="C1706" t="str">
        <f>HYPERLINK("http://service.sap.com/sap/support/notes/1920445","1920445")</f>
        <v>1920445</v>
      </c>
      <c r="D1706">
        <v>2</v>
      </c>
      <c r="E1706" t="s">
        <v>1205</v>
      </c>
      <c r="F1706" t="s">
        <v>9</v>
      </c>
    </row>
    <row r="1707" spans="1:6" x14ac:dyDescent="0.3">
      <c r="A1707" t="s">
        <v>530</v>
      </c>
      <c r="B1707" t="s">
        <v>531</v>
      </c>
      <c r="C1707" t="str">
        <f>HYPERLINK("http://service.sap.com/sap/support/notes/1920526","1920526")</f>
        <v>1920526</v>
      </c>
      <c r="D1707">
        <v>1</v>
      </c>
      <c r="E1707" t="s">
        <v>1206</v>
      </c>
      <c r="F1707" t="s">
        <v>9</v>
      </c>
    </row>
    <row r="1708" spans="1:6" x14ac:dyDescent="0.3">
      <c r="A1708" t="s">
        <v>530</v>
      </c>
      <c r="B1708" t="s">
        <v>531</v>
      </c>
      <c r="C1708" t="str">
        <f>HYPERLINK("http://service.sap.com/sap/support/notes/1927361","1927361")</f>
        <v>1927361</v>
      </c>
      <c r="D1708">
        <v>1</v>
      </c>
      <c r="E1708" t="s">
        <v>1207</v>
      </c>
      <c r="F1708" t="s">
        <v>35</v>
      </c>
    </row>
    <row r="1709" spans="1:6" x14ac:dyDescent="0.3">
      <c r="A1709" t="s">
        <v>530</v>
      </c>
      <c r="B1709" t="s">
        <v>531</v>
      </c>
      <c r="C1709" t="str">
        <f>HYPERLINK("http://service.sap.com/sap/support/notes/1928835","1928835")</f>
        <v>1928835</v>
      </c>
      <c r="D1709">
        <v>2</v>
      </c>
      <c r="E1709" t="s">
        <v>1208</v>
      </c>
      <c r="F1709" t="s">
        <v>35</v>
      </c>
    </row>
    <row r="1710" spans="1:6" x14ac:dyDescent="0.3">
      <c r="A1710" t="s">
        <v>530</v>
      </c>
      <c r="B1710" t="s">
        <v>531</v>
      </c>
      <c r="C1710" t="str">
        <f>HYPERLINK("http://service.sap.com/sap/support/notes/1935217","1935217")</f>
        <v>1935217</v>
      </c>
      <c r="D1710">
        <v>9</v>
      </c>
      <c r="E1710" t="s">
        <v>1209</v>
      </c>
      <c r="F1710" t="s">
        <v>9</v>
      </c>
    </row>
    <row r="1711" spans="1:6" x14ac:dyDescent="0.3">
      <c r="A1711" t="s">
        <v>530</v>
      </c>
      <c r="B1711" t="s">
        <v>531</v>
      </c>
      <c r="C1711" t="str">
        <f>HYPERLINK("http://service.sap.com/sap/support/notes/1938396","1938396")</f>
        <v>1938396</v>
      </c>
      <c r="D1711">
        <v>6</v>
      </c>
      <c r="E1711" t="s">
        <v>1210</v>
      </c>
      <c r="F1711" t="s">
        <v>9</v>
      </c>
    </row>
    <row r="1712" spans="1:6" x14ac:dyDescent="0.3">
      <c r="A1712" t="s">
        <v>530</v>
      </c>
      <c r="B1712" t="s">
        <v>531</v>
      </c>
      <c r="C1712" t="str">
        <f>HYPERLINK("http://service.sap.com/sap/support/notes/1939672","1939672")</f>
        <v>1939672</v>
      </c>
      <c r="D1712">
        <v>2</v>
      </c>
      <c r="E1712" t="s">
        <v>1211</v>
      </c>
      <c r="F1712" t="s">
        <v>9</v>
      </c>
    </row>
    <row r="1713" spans="1:6" x14ac:dyDescent="0.3">
      <c r="A1713" t="s">
        <v>530</v>
      </c>
      <c r="B1713" t="s">
        <v>531</v>
      </c>
      <c r="C1713" t="str">
        <f>HYPERLINK("http://service.sap.com/sap/support/notes/1841654","1841654")</f>
        <v>1841654</v>
      </c>
      <c r="D1713">
        <v>5</v>
      </c>
      <c r="E1713" t="s">
        <v>1625</v>
      </c>
      <c r="F1713" t="s">
        <v>16</v>
      </c>
    </row>
    <row r="1714" spans="1:6" x14ac:dyDescent="0.3">
      <c r="A1714" t="s">
        <v>530</v>
      </c>
      <c r="B1714" t="s">
        <v>531</v>
      </c>
      <c r="C1714" t="str">
        <f>HYPERLINK("http://service.sap.com/sap/support/notes/1890332","1890332")</f>
        <v>1890332</v>
      </c>
      <c r="D1714">
        <v>2</v>
      </c>
      <c r="E1714" t="s">
        <v>1626</v>
      </c>
      <c r="F1714" t="s">
        <v>16</v>
      </c>
    </row>
    <row r="1715" spans="1:6" x14ac:dyDescent="0.3">
      <c r="A1715" t="s">
        <v>530</v>
      </c>
      <c r="B1715" t="s">
        <v>531</v>
      </c>
      <c r="C1715" t="str">
        <f>HYPERLINK("http://service.sap.com/sap/support/notes/1896381","1896381")</f>
        <v>1896381</v>
      </c>
      <c r="D1715">
        <v>1</v>
      </c>
      <c r="E1715" t="s">
        <v>1627</v>
      </c>
      <c r="F1715" t="s">
        <v>16</v>
      </c>
    </row>
    <row r="1716" spans="1:6" x14ac:dyDescent="0.3">
      <c r="A1716" t="s">
        <v>530</v>
      </c>
      <c r="B1716" t="s">
        <v>531</v>
      </c>
      <c r="C1716" t="str">
        <f>HYPERLINK("http://service.sap.com/sap/support/notes/1899692","1899692")</f>
        <v>1899692</v>
      </c>
      <c r="D1716">
        <v>2</v>
      </c>
      <c r="E1716" t="s">
        <v>1628</v>
      </c>
      <c r="F1716" t="s">
        <v>16</v>
      </c>
    </row>
    <row r="1717" spans="1:6" x14ac:dyDescent="0.3">
      <c r="A1717" t="s">
        <v>530</v>
      </c>
      <c r="B1717" t="s">
        <v>531</v>
      </c>
      <c r="C1717" t="str">
        <f>HYPERLINK("http://service.sap.com/sap/support/notes/1903454","1903454")</f>
        <v>1903454</v>
      </c>
      <c r="D1717">
        <v>4</v>
      </c>
      <c r="E1717" t="s">
        <v>1629</v>
      </c>
      <c r="F1717" t="s">
        <v>16</v>
      </c>
    </row>
    <row r="1718" spans="1:6" x14ac:dyDescent="0.3">
      <c r="A1718" t="s">
        <v>530</v>
      </c>
      <c r="B1718" t="s">
        <v>531</v>
      </c>
      <c r="C1718" t="str">
        <f>HYPERLINK("http://service.sap.com/sap/support/notes/1917193","1917193")</f>
        <v>1917193</v>
      </c>
      <c r="D1718">
        <v>1</v>
      </c>
      <c r="E1718" t="s">
        <v>1630</v>
      </c>
      <c r="F1718" t="s">
        <v>16</v>
      </c>
    </row>
    <row r="1719" spans="1:6" x14ac:dyDescent="0.3">
      <c r="A1719" t="s">
        <v>530</v>
      </c>
      <c r="B1719" t="s">
        <v>531</v>
      </c>
      <c r="C1719" t="str">
        <f>HYPERLINK("http://service.sap.com/sap/support/notes/1935217","1935217")</f>
        <v>1935217</v>
      </c>
      <c r="D1719">
        <v>9</v>
      </c>
      <c r="E1719" t="s">
        <v>1631</v>
      </c>
      <c r="F1719" t="s">
        <v>9</v>
      </c>
    </row>
    <row r="1720" spans="1:6" x14ac:dyDescent="0.3">
      <c r="A1720" t="s">
        <v>530</v>
      </c>
      <c r="B1720" t="s">
        <v>531</v>
      </c>
      <c r="C1720" t="str">
        <f>HYPERLINK("http://service.sap.com/sap/support/notes/1941769","1941769")</f>
        <v>1941769</v>
      </c>
      <c r="D1720">
        <v>4</v>
      </c>
      <c r="E1720" t="s">
        <v>1632</v>
      </c>
      <c r="F1720" t="s">
        <v>9</v>
      </c>
    </row>
    <row r="1721" spans="1:6" x14ac:dyDescent="0.3">
      <c r="A1721" t="s">
        <v>530</v>
      </c>
      <c r="B1721" t="s">
        <v>531</v>
      </c>
      <c r="C1721" t="str">
        <f>HYPERLINK("http://service.sap.com/sap/support/notes/1943029","1943029")</f>
        <v>1943029</v>
      </c>
      <c r="D1721">
        <v>6</v>
      </c>
      <c r="E1721" t="s">
        <v>1633</v>
      </c>
      <c r="F1721" t="s">
        <v>9</v>
      </c>
    </row>
    <row r="1722" spans="1:6" x14ac:dyDescent="0.3">
      <c r="A1722" t="s">
        <v>530</v>
      </c>
      <c r="B1722" t="s">
        <v>531</v>
      </c>
      <c r="C1722" t="str">
        <f>HYPERLINK("http://service.sap.com/sap/support/notes/1943456","1943456")</f>
        <v>1943456</v>
      </c>
      <c r="D1722">
        <v>2</v>
      </c>
      <c r="E1722" t="s">
        <v>1634</v>
      </c>
      <c r="F1722" t="s">
        <v>9</v>
      </c>
    </row>
    <row r="1723" spans="1:6" x14ac:dyDescent="0.3">
      <c r="A1723" t="s">
        <v>530</v>
      </c>
      <c r="B1723" t="s">
        <v>531</v>
      </c>
      <c r="C1723" t="str">
        <f>HYPERLINK("http://service.sap.com/sap/support/notes/1948076","1948076")</f>
        <v>1948076</v>
      </c>
      <c r="D1723">
        <v>4</v>
      </c>
      <c r="E1723" t="s">
        <v>1635</v>
      </c>
      <c r="F1723" t="s">
        <v>9</v>
      </c>
    </row>
    <row r="1724" spans="1:6" x14ac:dyDescent="0.3">
      <c r="A1724" t="s">
        <v>530</v>
      </c>
      <c r="B1724" t="s">
        <v>531</v>
      </c>
      <c r="C1724" t="str">
        <f>HYPERLINK("http://service.sap.com/sap/support/notes/1948296","1948296")</f>
        <v>1948296</v>
      </c>
      <c r="D1724">
        <v>6</v>
      </c>
      <c r="E1724" t="s">
        <v>1636</v>
      </c>
      <c r="F1724" t="s">
        <v>28</v>
      </c>
    </row>
    <row r="1725" spans="1:6" x14ac:dyDescent="0.3">
      <c r="A1725" t="s">
        <v>530</v>
      </c>
      <c r="B1725" t="s">
        <v>531</v>
      </c>
      <c r="C1725" t="str">
        <f>HYPERLINK("http://service.sap.com/sap/support/notes/1948393","1948393")</f>
        <v>1948393</v>
      </c>
      <c r="D1725">
        <v>2</v>
      </c>
      <c r="E1725" t="s">
        <v>1637</v>
      </c>
      <c r="F1725" t="s">
        <v>28</v>
      </c>
    </row>
    <row r="1726" spans="1:6" x14ac:dyDescent="0.3">
      <c r="A1726" t="s">
        <v>530</v>
      </c>
      <c r="B1726" t="s">
        <v>531</v>
      </c>
      <c r="C1726" t="str">
        <f>HYPERLINK("http://service.sap.com/sap/support/notes/1949221","1949221")</f>
        <v>1949221</v>
      </c>
      <c r="D1726">
        <v>2</v>
      </c>
      <c r="E1726" t="s">
        <v>1638</v>
      </c>
      <c r="F1726" t="s">
        <v>9</v>
      </c>
    </row>
    <row r="1727" spans="1:6" x14ac:dyDescent="0.3">
      <c r="A1727" t="s">
        <v>530</v>
      </c>
      <c r="B1727" t="s">
        <v>531</v>
      </c>
      <c r="C1727" t="str">
        <f>HYPERLINK("http://service.sap.com/sap/support/notes/1950622","1950622")</f>
        <v>1950622</v>
      </c>
      <c r="D1727">
        <v>1</v>
      </c>
      <c r="E1727" t="s">
        <v>1639</v>
      </c>
      <c r="F1727" t="s">
        <v>9</v>
      </c>
    </row>
    <row r="1728" spans="1:6" x14ac:dyDescent="0.3">
      <c r="A1728" t="s">
        <v>530</v>
      </c>
      <c r="B1728" t="s">
        <v>531</v>
      </c>
      <c r="C1728" t="str">
        <f>HYPERLINK("http://service.sap.com/sap/support/notes/1951609","1951609")</f>
        <v>1951609</v>
      </c>
      <c r="D1728">
        <v>1</v>
      </c>
      <c r="E1728" t="s">
        <v>1640</v>
      </c>
      <c r="F1728" t="s">
        <v>16</v>
      </c>
    </row>
    <row r="1729" spans="1:6" x14ac:dyDescent="0.3">
      <c r="A1729" t="s">
        <v>530</v>
      </c>
      <c r="B1729" t="s">
        <v>531</v>
      </c>
      <c r="C1729" t="str">
        <f>HYPERLINK("http://service.sap.com/sap/support/notes/1952662","1952662")</f>
        <v>1952662</v>
      </c>
      <c r="D1729">
        <v>1</v>
      </c>
      <c r="E1729" t="s">
        <v>1641</v>
      </c>
      <c r="F1729" t="s">
        <v>9</v>
      </c>
    </row>
    <row r="1730" spans="1:6" x14ac:dyDescent="0.3">
      <c r="A1730" t="s">
        <v>530</v>
      </c>
      <c r="B1730" t="s">
        <v>531</v>
      </c>
      <c r="C1730" t="str">
        <f>HYPERLINK("http://service.sap.com/sap/support/notes/1957537","1957537")</f>
        <v>1957537</v>
      </c>
      <c r="D1730">
        <v>1</v>
      </c>
      <c r="E1730" t="s">
        <v>1642</v>
      </c>
      <c r="F1730" t="s">
        <v>9</v>
      </c>
    </row>
    <row r="1731" spans="1:6" x14ac:dyDescent="0.3">
      <c r="A1731" t="s">
        <v>530</v>
      </c>
      <c r="B1731" t="s">
        <v>531</v>
      </c>
      <c r="C1731" t="str">
        <f>HYPERLINK("http://service.sap.com/sap/support/notes/1947139","1947139")</f>
        <v>1947139</v>
      </c>
      <c r="D1731">
        <v>3</v>
      </c>
      <c r="E1731" t="s">
        <v>2137</v>
      </c>
      <c r="F1731" t="s">
        <v>9</v>
      </c>
    </row>
    <row r="1732" spans="1:6" x14ac:dyDescent="0.3">
      <c r="A1732" t="s">
        <v>530</v>
      </c>
      <c r="B1732" t="s">
        <v>531</v>
      </c>
      <c r="C1732" t="str">
        <f>HYPERLINK("http://service.sap.com/sap/support/notes/1961003","1961003")</f>
        <v>1961003</v>
      </c>
      <c r="D1732">
        <v>2</v>
      </c>
      <c r="E1732" t="s">
        <v>2138</v>
      </c>
      <c r="F1732" t="s">
        <v>28</v>
      </c>
    </row>
    <row r="1733" spans="1:6" x14ac:dyDescent="0.3">
      <c r="A1733" t="s">
        <v>530</v>
      </c>
      <c r="B1733" t="s">
        <v>531</v>
      </c>
      <c r="C1733" t="str">
        <f>HYPERLINK("http://service.sap.com/sap/support/notes/1962053","1962053")</f>
        <v>1962053</v>
      </c>
      <c r="D1733">
        <v>1</v>
      </c>
      <c r="E1733" t="s">
        <v>2139</v>
      </c>
      <c r="F1733" t="s">
        <v>35</v>
      </c>
    </row>
    <row r="1734" spans="1:6" x14ac:dyDescent="0.3">
      <c r="A1734" t="s">
        <v>530</v>
      </c>
      <c r="B1734" t="s">
        <v>531</v>
      </c>
      <c r="C1734" t="str">
        <f>HYPERLINK("http://service.sap.com/sap/support/notes/1965698","1965698")</f>
        <v>1965698</v>
      </c>
      <c r="D1734">
        <v>4</v>
      </c>
      <c r="E1734" t="s">
        <v>2140</v>
      </c>
      <c r="F1734" t="s">
        <v>9</v>
      </c>
    </row>
    <row r="1735" spans="1:6" x14ac:dyDescent="0.3">
      <c r="A1735" t="s">
        <v>530</v>
      </c>
      <c r="B1735" t="s">
        <v>531</v>
      </c>
      <c r="C1735" t="str">
        <f>HYPERLINK("http://service.sap.com/sap/support/notes/1968235","1968235")</f>
        <v>1968235</v>
      </c>
      <c r="D1735">
        <v>1</v>
      </c>
      <c r="E1735" t="s">
        <v>2141</v>
      </c>
      <c r="F1735" t="s">
        <v>16</v>
      </c>
    </row>
    <row r="1736" spans="1:6" x14ac:dyDescent="0.3">
      <c r="A1736" t="s">
        <v>530</v>
      </c>
      <c r="B1736" t="s">
        <v>531</v>
      </c>
      <c r="C1736" t="str">
        <f>HYPERLINK("http://service.sap.com/sap/support/notes/1841654","1841654")</f>
        <v>1841654</v>
      </c>
      <c r="D1736">
        <v>5</v>
      </c>
      <c r="E1736" t="s">
        <v>2489</v>
      </c>
      <c r="F1736" t="s">
        <v>16</v>
      </c>
    </row>
    <row r="1737" spans="1:6" x14ac:dyDescent="0.3">
      <c r="A1737" t="s">
        <v>530</v>
      </c>
      <c r="B1737" t="s">
        <v>531</v>
      </c>
      <c r="C1737" t="str">
        <f>HYPERLINK("http://service.sap.com/sap/support/notes/1937949","1937949")</f>
        <v>1937949</v>
      </c>
      <c r="D1737">
        <v>1</v>
      </c>
      <c r="E1737" t="s">
        <v>2490</v>
      </c>
      <c r="F1737" t="s">
        <v>9</v>
      </c>
    </row>
    <row r="1738" spans="1:6" x14ac:dyDescent="0.3">
      <c r="A1738" t="s">
        <v>530</v>
      </c>
      <c r="B1738" t="s">
        <v>531</v>
      </c>
      <c r="C1738" t="str">
        <f>HYPERLINK("http://service.sap.com/sap/support/notes/1953486","1953486")</f>
        <v>1953486</v>
      </c>
      <c r="D1738">
        <v>5</v>
      </c>
      <c r="E1738" t="s">
        <v>2491</v>
      </c>
      <c r="F1738" t="s">
        <v>9</v>
      </c>
    </row>
    <row r="1739" spans="1:6" x14ac:dyDescent="0.3">
      <c r="A1739" t="s">
        <v>530</v>
      </c>
      <c r="B1739" t="s">
        <v>531</v>
      </c>
      <c r="C1739" t="str">
        <f>HYPERLINK("http://service.sap.com/sap/support/notes/1959273","1959273")</f>
        <v>1959273</v>
      </c>
      <c r="D1739">
        <v>3</v>
      </c>
      <c r="E1739" t="s">
        <v>2492</v>
      </c>
      <c r="F1739" t="s">
        <v>9</v>
      </c>
    </row>
    <row r="1740" spans="1:6" x14ac:dyDescent="0.3">
      <c r="A1740" t="s">
        <v>530</v>
      </c>
      <c r="B1740" t="s">
        <v>531</v>
      </c>
      <c r="C1740" t="str">
        <f>HYPERLINK("http://service.sap.com/sap/support/notes/1966405","1966405")</f>
        <v>1966405</v>
      </c>
      <c r="D1740">
        <v>6</v>
      </c>
      <c r="E1740" t="s">
        <v>2493</v>
      </c>
      <c r="F1740" t="s">
        <v>28</v>
      </c>
    </row>
    <row r="1741" spans="1:6" x14ac:dyDescent="0.3">
      <c r="A1741" t="s">
        <v>530</v>
      </c>
      <c r="B1741" t="s">
        <v>531</v>
      </c>
      <c r="C1741" t="str">
        <f>HYPERLINK("http://service.sap.com/sap/support/notes/1967324","1967324")</f>
        <v>1967324</v>
      </c>
      <c r="D1741">
        <v>1</v>
      </c>
      <c r="E1741" t="s">
        <v>2494</v>
      </c>
      <c r="F1741" t="s">
        <v>9</v>
      </c>
    </row>
    <row r="1742" spans="1:6" x14ac:dyDescent="0.3">
      <c r="A1742" t="s">
        <v>530</v>
      </c>
      <c r="B1742" t="s">
        <v>531</v>
      </c>
      <c r="C1742" t="str">
        <f>HYPERLINK("http://service.sap.com/sap/support/notes/1973398","1973398")</f>
        <v>1973398</v>
      </c>
      <c r="D1742">
        <v>2</v>
      </c>
      <c r="E1742" t="s">
        <v>2495</v>
      </c>
      <c r="F1742" t="s">
        <v>9</v>
      </c>
    </row>
    <row r="1743" spans="1:6" x14ac:dyDescent="0.3">
      <c r="A1743" t="s">
        <v>530</v>
      </c>
      <c r="B1743" t="s">
        <v>531</v>
      </c>
      <c r="C1743" t="str">
        <f>HYPERLINK("http://service.sap.com/sap/support/notes/1975029","1975029")</f>
        <v>1975029</v>
      </c>
      <c r="D1743">
        <v>2</v>
      </c>
      <c r="E1743" t="s">
        <v>2496</v>
      </c>
      <c r="F1743" t="s">
        <v>9</v>
      </c>
    </row>
    <row r="1744" spans="1:6" x14ac:dyDescent="0.3">
      <c r="A1744" t="s">
        <v>530</v>
      </c>
      <c r="B1744" t="s">
        <v>531</v>
      </c>
      <c r="C1744" t="str">
        <f>HYPERLINK("http://service.sap.com/sap/support/notes/1978107","1978107")</f>
        <v>1978107</v>
      </c>
      <c r="D1744">
        <v>2</v>
      </c>
      <c r="E1744" t="s">
        <v>2497</v>
      </c>
      <c r="F1744" t="s">
        <v>9</v>
      </c>
    </row>
    <row r="1745" spans="1:6" x14ac:dyDescent="0.3">
      <c r="A1745" t="s">
        <v>530</v>
      </c>
      <c r="B1745" t="s">
        <v>531</v>
      </c>
      <c r="C1745" t="str">
        <f>HYPERLINK("http://service.sap.com/sap/support/notes/1893602","1893602")</f>
        <v>1893602</v>
      </c>
      <c r="D1745">
        <v>3</v>
      </c>
      <c r="E1745" t="s">
        <v>2925</v>
      </c>
      <c r="F1745" t="s">
        <v>9</v>
      </c>
    </row>
    <row r="1746" spans="1:6" x14ac:dyDescent="0.3">
      <c r="A1746" t="s">
        <v>530</v>
      </c>
      <c r="B1746" t="s">
        <v>531</v>
      </c>
      <c r="C1746" t="str">
        <f>HYPERLINK("http://service.sap.com/sap/support/notes/1941365","1941365")</f>
        <v>1941365</v>
      </c>
      <c r="D1746">
        <v>1</v>
      </c>
      <c r="E1746" t="s">
        <v>2926</v>
      </c>
      <c r="F1746" t="s">
        <v>9</v>
      </c>
    </row>
    <row r="1747" spans="1:6" x14ac:dyDescent="0.3">
      <c r="A1747" t="s">
        <v>530</v>
      </c>
      <c r="B1747" t="s">
        <v>531</v>
      </c>
      <c r="C1747" t="str">
        <f>HYPERLINK("http://service.sap.com/sap/support/notes/1965928","1965928")</f>
        <v>1965928</v>
      </c>
      <c r="D1747">
        <v>1</v>
      </c>
      <c r="E1747" t="s">
        <v>2927</v>
      </c>
      <c r="F1747" t="s">
        <v>9</v>
      </c>
    </row>
    <row r="1748" spans="1:6" x14ac:dyDescent="0.3">
      <c r="A1748" t="s">
        <v>530</v>
      </c>
      <c r="B1748" t="s">
        <v>531</v>
      </c>
      <c r="C1748" t="str">
        <f>HYPERLINK("http://service.sap.com/sap/support/notes/1974384","1974384")</f>
        <v>1974384</v>
      </c>
      <c r="D1748">
        <v>3</v>
      </c>
      <c r="E1748" t="s">
        <v>2928</v>
      </c>
      <c r="F1748" t="s">
        <v>9</v>
      </c>
    </row>
    <row r="1749" spans="1:6" x14ac:dyDescent="0.3">
      <c r="A1749" t="s">
        <v>530</v>
      </c>
      <c r="B1749" t="s">
        <v>531</v>
      </c>
      <c r="C1749" t="str">
        <f>HYPERLINK("http://service.sap.com/sap/support/notes/1975425","1975425")</f>
        <v>1975425</v>
      </c>
      <c r="D1749">
        <v>1</v>
      </c>
      <c r="E1749" t="s">
        <v>2929</v>
      </c>
      <c r="F1749" t="s">
        <v>9</v>
      </c>
    </row>
    <row r="1750" spans="1:6" x14ac:dyDescent="0.3">
      <c r="A1750" t="s">
        <v>530</v>
      </c>
      <c r="B1750" t="s">
        <v>531</v>
      </c>
      <c r="C1750" t="str">
        <f>HYPERLINK("http://service.sap.com/sap/support/notes/1975667","1975667")</f>
        <v>1975667</v>
      </c>
      <c r="D1750">
        <v>1</v>
      </c>
      <c r="E1750" t="s">
        <v>2930</v>
      </c>
      <c r="F1750" t="s">
        <v>9</v>
      </c>
    </row>
    <row r="1751" spans="1:6" x14ac:dyDescent="0.3">
      <c r="A1751" t="s">
        <v>530</v>
      </c>
      <c r="B1751" t="s">
        <v>531</v>
      </c>
      <c r="C1751" t="str">
        <f>HYPERLINK("http://service.sap.com/sap/support/notes/1983421","1983421")</f>
        <v>1983421</v>
      </c>
      <c r="D1751">
        <v>4</v>
      </c>
      <c r="E1751" t="s">
        <v>2931</v>
      </c>
      <c r="F1751" t="s">
        <v>9</v>
      </c>
    </row>
    <row r="1752" spans="1:6" x14ac:dyDescent="0.3">
      <c r="A1752" t="s">
        <v>530</v>
      </c>
      <c r="B1752" t="s">
        <v>531</v>
      </c>
      <c r="C1752" t="str">
        <f>HYPERLINK("http://service.sap.com/sap/support/notes/1983574","1983574")</f>
        <v>1983574</v>
      </c>
      <c r="D1752">
        <v>3</v>
      </c>
      <c r="E1752" t="s">
        <v>2932</v>
      </c>
      <c r="F1752" t="s">
        <v>16</v>
      </c>
    </row>
    <row r="1753" spans="1:6" x14ac:dyDescent="0.3">
      <c r="A1753" t="s">
        <v>530</v>
      </c>
      <c r="B1753" t="s">
        <v>531</v>
      </c>
      <c r="C1753" t="str">
        <f>HYPERLINK("http://service.sap.com/sap/support/notes/1989230","1989230")</f>
        <v>1989230</v>
      </c>
      <c r="D1753">
        <v>1</v>
      </c>
      <c r="E1753" t="s">
        <v>2933</v>
      </c>
      <c r="F1753" t="s">
        <v>9</v>
      </c>
    </row>
    <row r="1754" spans="1:6" x14ac:dyDescent="0.3">
      <c r="A1754" t="s">
        <v>530</v>
      </c>
      <c r="B1754" t="s">
        <v>531</v>
      </c>
      <c r="C1754" t="str">
        <f>HYPERLINK("http://service.sap.com/sap/support/notes/1990503","1990503")</f>
        <v>1990503</v>
      </c>
      <c r="D1754">
        <v>1</v>
      </c>
      <c r="E1754" t="s">
        <v>2934</v>
      </c>
      <c r="F1754" t="s">
        <v>16</v>
      </c>
    </row>
    <row r="1755" spans="1:6" x14ac:dyDescent="0.3">
      <c r="A1755" t="s">
        <v>530</v>
      </c>
      <c r="B1755" t="s">
        <v>531</v>
      </c>
      <c r="C1755" t="str">
        <f>HYPERLINK("http://service.sap.com/sap/support/notes/1944739","1944739")</f>
        <v>1944739</v>
      </c>
      <c r="D1755">
        <v>2</v>
      </c>
      <c r="E1755" t="s">
        <v>3589</v>
      </c>
      <c r="F1755" t="s">
        <v>9</v>
      </c>
    </row>
    <row r="1756" spans="1:6" x14ac:dyDescent="0.3">
      <c r="A1756" t="s">
        <v>530</v>
      </c>
      <c r="B1756" t="s">
        <v>531</v>
      </c>
      <c r="C1756" t="str">
        <f>HYPERLINK("http://service.sap.com/sap/support/notes/1944741","1944741")</f>
        <v>1944741</v>
      </c>
      <c r="D1756">
        <v>1</v>
      </c>
      <c r="E1756" t="s">
        <v>3590</v>
      </c>
      <c r="F1756" t="s">
        <v>9</v>
      </c>
    </row>
    <row r="1757" spans="1:6" x14ac:dyDescent="0.3">
      <c r="A1757" t="s">
        <v>530</v>
      </c>
      <c r="B1757" t="s">
        <v>531</v>
      </c>
      <c r="C1757" t="str">
        <f>HYPERLINK("http://service.sap.com/sap/support/notes/1966554","1966554")</f>
        <v>1966554</v>
      </c>
      <c r="D1757">
        <v>2</v>
      </c>
      <c r="E1757" t="s">
        <v>3591</v>
      </c>
      <c r="F1757" t="s">
        <v>9</v>
      </c>
    </row>
    <row r="1758" spans="1:6" x14ac:dyDescent="0.3">
      <c r="A1758" t="s">
        <v>530</v>
      </c>
      <c r="B1758" t="s">
        <v>531</v>
      </c>
      <c r="C1758" t="str">
        <f>HYPERLINK("http://service.sap.com/sap/support/notes/1978956","1978956")</f>
        <v>1978956</v>
      </c>
      <c r="D1758">
        <v>3</v>
      </c>
      <c r="E1758" t="s">
        <v>3592</v>
      </c>
      <c r="F1758" t="s">
        <v>16</v>
      </c>
    </row>
    <row r="1759" spans="1:6" x14ac:dyDescent="0.3">
      <c r="A1759" t="s">
        <v>530</v>
      </c>
      <c r="B1759" t="s">
        <v>531</v>
      </c>
      <c r="C1759" t="str">
        <f>HYPERLINK("http://service.sap.com/sap/support/notes/1979900","1979900")</f>
        <v>1979900</v>
      </c>
      <c r="D1759">
        <v>13</v>
      </c>
      <c r="E1759" t="s">
        <v>3593</v>
      </c>
      <c r="F1759" t="s">
        <v>16</v>
      </c>
    </row>
    <row r="1760" spans="1:6" x14ac:dyDescent="0.3">
      <c r="A1760" t="s">
        <v>530</v>
      </c>
      <c r="B1760" t="s">
        <v>531</v>
      </c>
      <c r="C1760" t="str">
        <f>HYPERLINK("http://service.sap.com/sap/support/notes/1984194","1984194")</f>
        <v>1984194</v>
      </c>
      <c r="D1760">
        <v>1</v>
      </c>
      <c r="E1760" t="s">
        <v>3594</v>
      </c>
      <c r="F1760" t="s">
        <v>9</v>
      </c>
    </row>
    <row r="1761" spans="1:6" x14ac:dyDescent="0.3">
      <c r="A1761" t="s">
        <v>530</v>
      </c>
      <c r="B1761" t="s">
        <v>531</v>
      </c>
      <c r="C1761" t="str">
        <f>HYPERLINK("http://service.sap.com/sap/support/notes/1987104","1987104")</f>
        <v>1987104</v>
      </c>
      <c r="D1761">
        <v>1</v>
      </c>
      <c r="E1761" t="s">
        <v>3595</v>
      </c>
      <c r="F1761" t="s">
        <v>16</v>
      </c>
    </row>
    <row r="1762" spans="1:6" x14ac:dyDescent="0.3">
      <c r="A1762" t="s">
        <v>530</v>
      </c>
      <c r="B1762" t="s">
        <v>531</v>
      </c>
      <c r="C1762" t="str">
        <f>HYPERLINK("http://service.sap.com/sap/support/notes/1991878","1991878")</f>
        <v>1991878</v>
      </c>
      <c r="D1762">
        <v>5</v>
      </c>
      <c r="E1762" t="s">
        <v>3596</v>
      </c>
      <c r="F1762" t="s">
        <v>9</v>
      </c>
    </row>
    <row r="1763" spans="1:6" x14ac:dyDescent="0.3">
      <c r="A1763" t="s">
        <v>530</v>
      </c>
      <c r="B1763" t="s">
        <v>531</v>
      </c>
      <c r="C1763" t="str">
        <f>HYPERLINK("http://service.sap.com/sap/support/notes/1995052","1995052")</f>
        <v>1995052</v>
      </c>
      <c r="D1763">
        <v>6</v>
      </c>
      <c r="E1763" t="s">
        <v>3597</v>
      </c>
      <c r="F1763" t="s">
        <v>9</v>
      </c>
    </row>
    <row r="1764" spans="1:6" x14ac:dyDescent="0.3">
      <c r="A1764" t="s">
        <v>530</v>
      </c>
      <c r="B1764" t="s">
        <v>531</v>
      </c>
      <c r="C1764" t="str">
        <f>HYPERLINK("http://service.sap.com/sap/support/notes/1997803","1997803")</f>
        <v>1997803</v>
      </c>
      <c r="D1764">
        <v>2</v>
      </c>
      <c r="E1764" t="s">
        <v>3598</v>
      </c>
      <c r="F1764" t="s">
        <v>9</v>
      </c>
    </row>
    <row r="1765" spans="1:6" x14ac:dyDescent="0.3">
      <c r="A1765" t="s">
        <v>530</v>
      </c>
      <c r="B1765" t="s">
        <v>531</v>
      </c>
      <c r="C1765" t="str">
        <f>HYPERLINK("http://service.sap.com/sap/support/notes/1999266","1999266")</f>
        <v>1999266</v>
      </c>
      <c r="D1765">
        <v>1</v>
      </c>
      <c r="E1765" t="s">
        <v>1634</v>
      </c>
      <c r="F1765" t="s">
        <v>9</v>
      </c>
    </row>
    <row r="1766" spans="1:6" x14ac:dyDescent="0.3">
      <c r="A1766" t="s">
        <v>530</v>
      </c>
      <c r="B1766" t="s">
        <v>531</v>
      </c>
      <c r="C1766" t="str">
        <f>HYPERLINK("http://service.sap.com/sap/support/notes/1999480","1999480")</f>
        <v>1999480</v>
      </c>
      <c r="D1766">
        <v>1</v>
      </c>
      <c r="E1766" t="s">
        <v>3599</v>
      </c>
      <c r="F1766" t="s">
        <v>9</v>
      </c>
    </row>
    <row r="1767" spans="1:6" x14ac:dyDescent="0.3">
      <c r="A1767" t="s">
        <v>530</v>
      </c>
      <c r="B1767" t="s">
        <v>531</v>
      </c>
      <c r="C1767" t="str">
        <f>HYPERLINK("http://service.sap.com/sap/support/notes/2001296","2001296")</f>
        <v>2001296</v>
      </c>
      <c r="D1767">
        <v>4</v>
      </c>
      <c r="E1767" t="s">
        <v>3600</v>
      </c>
      <c r="F1767" t="s">
        <v>9</v>
      </c>
    </row>
    <row r="1768" spans="1:6" x14ac:dyDescent="0.3">
      <c r="A1768" t="s">
        <v>530</v>
      </c>
      <c r="B1768" t="s">
        <v>531</v>
      </c>
      <c r="C1768" t="str">
        <f>HYPERLINK("http://service.sap.com/sap/support/notes/2001531","2001531")</f>
        <v>2001531</v>
      </c>
      <c r="D1768">
        <v>1</v>
      </c>
      <c r="E1768" t="s">
        <v>3601</v>
      </c>
      <c r="F1768" t="s">
        <v>9</v>
      </c>
    </row>
    <row r="1769" spans="1:6" x14ac:dyDescent="0.3">
      <c r="A1769" t="s">
        <v>530</v>
      </c>
      <c r="B1769" t="s">
        <v>531</v>
      </c>
      <c r="C1769" t="str">
        <f>HYPERLINK("http://service.sap.com/sap/support/notes/2003074","2003074")</f>
        <v>2003074</v>
      </c>
      <c r="D1769">
        <v>4</v>
      </c>
      <c r="E1769" t="s">
        <v>3602</v>
      </c>
      <c r="F1769" t="s">
        <v>16</v>
      </c>
    </row>
    <row r="1770" spans="1:6" x14ac:dyDescent="0.3">
      <c r="A1770" t="s">
        <v>530</v>
      </c>
      <c r="B1770" t="s">
        <v>531</v>
      </c>
      <c r="C1770" t="str">
        <f>HYPERLINK("http://service.sap.com/sap/support/notes/2003199","2003199")</f>
        <v>2003199</v>
      </c>
      <c r="D1770">
        <v>4</v>
      </c>
      <c r="E1770" t="s">
        <v>3593</v>
      </c>
      <c r="F1770" t="s">
        <v>16</v>
      </c>
    </row>
    <row r="1771" spans="1:6" x14ac:dyDescent="0.3">
      <c r="A1771" t="s">
        <v>530</v>
      </c>
      <c r="B1771" t="s">
        <v>531</v>
      </c>
      <c r="C1771" t="str">
        <f>HYPERLINK("http://service.sap.com/sap/support/notes/2008495","2008495")</f>
        <v>2008495</v>
      </c>
      <c r="D1771">
        <v>2</v>
      </c>
      <c r="E1771" t="s">
        <v>3603</v>
      </c>
      <c r="F1771" t="s">
        <v>16</v>
      </c>
    </row>
    <row r="1772" spans="1:6" x14ac:dyDescent="0.3">
      <c r="A1772" t="s">
        <v>530</v>
      </c>
      <c r="B1772" t="s">
        <v>531</v>
      </c>
      <c r="C1772" t="str">
        <f>HYPERLINK("http://service.sap.com/sap/support/notes/2009075","2009075")</f>
        <v>2009075</v>
      </c>
      <c r="D1772">
        <v>4</v>
      </c>
      <c r="E1772" t="s">
        <v>3604</v>
      </c>
      <c r="F1772" t="s">
        <v>16</v>
      </c>
    </row>
    <row r="1773" spans="1:6" x14ac:dyDescent="0.3">
      <c r="A1773" t="s">
        <v>530</v>
      </c>
      <c r="B1773" t="s">
        <v>531</v>
      </c>
      <c r="C1773" t="str">
        <f>HYPERLINK("http://service.sap.com/sap/support/notes/2009613","2009613")</f>
        <v>2009613</v>
      </c>
      <c r="D1773">
        <v>1</v>
      </c>
      <c r="E1773" t="s">
        <v>3593</v>
      </c>
      <c r="F1773" t="s">
        <v>16</v>
      </c>
    </row>
    <row r="1774" spans="1:6" x14ac:dyDescent="0.3">
      <c r="A1774" t="s">
        <v>530</v>
      </c>
      <c r="B1774" t="s">
        <v>531</v>
      </c>
      <c r="C1774" t="str">
        <f>HYPERLINK("http://service.sap.com/sap/support/notes/1944738","1944738")</f>
        <v>1944738</v>
      </c>
      <c r="D1774">
        <v>1</v>
      </c>
      <c r="E1774" t="s">
        <v>4116</v>
      </c>
      <c r="F1774" t="s">
        <v>9</v>
      </c>
    </row>
    <row r="1775" spans="1:6" x14ac:dyDescent="0.3">
      <c r="A1775" t="s">
        <v>530</v>
      </c>
      <c r="B1775" t="s">
        <v>531</v>
      </c>
      <c r="C1775" t="str">
        <f>HYPERLINK("http://service.sap.com/sap/support/notes/1998287","1998287")</f>
        <v>1998287</v>
      </c>
      <c r="D1775">
        <v>2</v>
      </c>
      <c r="E1775" t="s">
        <v>4117</v>
      </c>
      <c r="F1775" t="s">
        <v>16</v>
      </c>
    </row>
    <row r="1776" spans="1:6" x14ac:dyDescent="0.3">
      <c r="A1776" t="s">
        <v>530</v>
      </c>
      <c r="B1776" t="s">
        <v>531</v>
      </c>
      <c r="C1776" t="str">
        <f>HYPERLINK("http://service.sap.com/sap/support/notes/1998430","1998430")</f>
        <v>1998430</v>
      </c>
      <c r="D1776">
        <v>4</v>
      </c>
      <c r="E1776" t="s">
        <v>4118</v>
      </c>
      <c r="F1776" t="s">
        <v>9</v>
      </c>
    </row>
    <row r="1777" spans="1:6" x14ac:dyDescent="0.3">
      <c r="A1777" t="s">
        <v>530</v>
      </c>
      <c r="B1777" t="s">
        <v>531</v>
      </c>
      <c r="C1777" t="str">
        <f>HYPERLINK("http://service.sap.com/sap/support/notes/2001316","2001316")</f>
        <v>2001316</v>
      </c>
      <c r="D1777">
        <v>1</v>
      </c>
      <c r="E1777" t="s">
        <v>4119</v>
      </c>
      <c r="F1777" t="s">
        <v>16</v>
      </c>
    </row>
    <row r="1778" spans="1:6" x14ac:dyDescent="0.3">
      <c r="A1778" t="s">
        <v>530</v>
      </c>
      <c r="B1778" t="s">
        <v>531</v>
      </c>
      <c r="C1778" t="str">
        <f>HYPERLINK("http://service.sap.com/sap/support/notes/2003196","2003196")</f>
        <v>2003196</v>
      </c>
      <c r="D1778">
        <v>7</v>
      </c>
      <c r="E1778" t="s">
        <v>4120</v>
      </c>
      <c r="F1778" t="s">
        <v>16</v>
      </c>
    </row>
    <row r="1779" spans="1:6" x14ac:dyDescent="0.3">
      <c r="A1779" t="s">
        <v>530</v>
      </c>
      <c r="B1779" t="s">
        <v>531</v>
      </c>
      <c r="C1779" t="str">
        <f>HYPERLINK("http://service.sap.com/sap/support/notes/2003996","2003996")</f>
        <v>2003996</v>
      </c>
      <c r="D1779">
        <v>3</v>
      </c>
      <c r="E1779" t="s">
        <v>4121</v>
      </c>
      <c r="F1779" t="s">
        <v>9</v>
      </c>
    </row>
    <row r="1780" spans="1:6" x14ac:dyDescent="0.3">
      <c r="A1780" t="s">
        <v>530</v>
      </c>
      <c r="B1780" t="s">
        <v>531</v>
      </c>
      <c r="C1780" t="str">
        <f>HYPERLINK("http://service.sap.com/sap/support/notes/2010622","2010622")</f>
        <v>2010622</v>
      </c>
      <c r="D1780">
        <v>2</v>
      </c>
      <c r="E1780" t="s">
        <v>4122</v>
      </c>
      <c r="F1780" t="s">
        <v>9</v>
      </c>
    </row>
    <row r="1781" spans="1:6" x14ac:dyDescent="0.3">
      <c r="A1781" t="s">
        <v>530</v>
      </c>
      <c r="B1781" t="s">
        <v>531</v>
      </c>
      <c r="C1781" t="str">
        <f>HYPERLINK("http://service.sap.com/sap/support/notes/2011280","2011280")</f>
        <v>2011280</v>
      </c>
      <c r="D1781">
        <v>1</v>
      </c>
      <c r="E1781" t="s">
        <v>4123</v>
      </c>
      <c r="F1781" t="s">
        <v>16</v>
      </c>
    </row>
    <row r="1782" spans="1:6" x14ac:dyDescent="0.3">
      <c r="A1782" t="s">
        <v>530</v>
      </c>
      <c r="B1782" t="s">
        <v>531</v>
      </c>
      <c r="C1782" t="str">
        <f>HYPERLINK("http://service.sap.com/sap/support/notes/2016137","2016137")</f>
        <v>2016137</v>
      </c>
      <c r="D1782">
        <v>1</v>
      </c>
      <c r="E1782" t="s">
        <v>4124</v>
      </c>
      <c r="F1782" t="s">
        <v>16</v>
      </c>
    </row>
    <row r="1783" spans="1:6" x14ac:dyDescent="0.3">
      <c r="A1783" t="s">
        <v>530</v>
      </c>
      <c r="B1783" t="s">
        <v>531</v>
      </c>
      <c r="C1783" t="str">
        <f>HYPERLINK("http://service.sap.com/sap/support/notes/2016329","2016329")</f>
        <v>2016329</v>
      </c>
      <c r="D1783">
        <v>4</v>
      </c>
      <c r="E1783" t="s">
        <v>4125</v>
      </c>
      <c r="F1783" t="s">
        <v>16</v>
      </c>
    </row>
    <row r="1784" spans="1:6" x14ac:dyDescent="0.3">
      <c r="A1784" t="s">
        <v>530</v>
      </c>
      <c r="B1784" t="s">
        <v>531</v>
      </c>
      <c r="C1784" t="str">
        <f>HYPERLINK("http://service.sap.com/sap/support/notes/2018140","2018140")</f>
        <v>2018140</v>
      </c>
      <c r="D1784">
        <v>1</v>
      </c>
      <c r="E1784" t="s">
        <v>4126</v>
      </c>
      <c r="F1784" t="s">
        <v>9</v>
      </c>
    </row>
    <row r="1785" spans="1:6" x14ac:dyDescent="0.3">
      <c r="A1785" t="s">
        <v>530</v>
      </c>
      <c r="B1785" t="s">
        <v>531</v>
      </c>
      <c r="C1785" t="str">
        <f>HYPERLINK("http://service.sap.com/sap/support/notes/2018840","2018840")</f>
        <v>2018840</v>
      </c>
      <c r="D1785">
        <v>1</v>
      </c>
      <c r="E1785" t="s">
        <v>4127</v>
      </c>
      <c r="F1785" t="s">
        <v>16</v>
      </c>
    </row>
    <row r="1786" spans="1:6" x14ac:dyDescent="0.3">
      <c r="A1786" t="s">
        <v>530</v>
      </c>
      <c r="B1786" t="s">
        <v>531</v>
      </c>
      <c r="C1786" t="str">
        <f>HYPERLINK("http://service.sap.com/sap/support/notes/2015400","2015400")</f>
        <v>2015400</v>
      </c>
      <c r="D1786">
        <v>1</v>
      </c>
      <c r="E1786" t="s">
        <v>4465</v>
      </c>
      <c r="F1786" t="s">
        <v>16</v>
      </c>
    </row>
    <row r="1787" spans="1:6" x14ac:dyDescent="0.3">
      <c r="A1787" t="s">
        <v>530</v>
      </c>
      <c r="B1787" t="s">
        <v>531</v>
      </c>
      <c r="C1787" t="str">
        <f>HYPERLINK("http://service.sap.com/sap/support/notes/2021273","2021273")</f>
        <v>2021273</v>
      </c>
      <c r="D1787">
        <v>1</v>
      </c>
      <c r="E1787" t="s">
        <v>4466</v>
      </c>
      <c r="F1787" t="s">
        <v>9</v>
      </c>
    </row>
    <row r="1788" spans="1:6" x14ac:dyDescent="0.3">
      <c r="A1788" t="s">
        <v>530</v>
      </c>
      <c r="B1788" t="s">
        <v>531</v>
      </c>
      <c r="C1788" t="str">
        <f>HYPERLINK("http://service.sap.com/sap/support/notes/2022207","2022207")</f>
        <v>2022207</v>
      </c>
      <c r="D1788">
        <v>3</v>
      </c>
      <c r="E1788" t="s">
        <v>4467</v>
      </c>
      <c r="F1788" t="s">
        <v>16</v>
      </c>
    </row>
    <row r="1789" spans="1:6" x14ac:dyDescent="0.3">
      <c r="A1789" t="s">
        <v>530</v>
      </c>
      <c r="B1789" t="s">
        <v>531</v>
      </c>
      <c r="C1789" t="str">
        <f>HYPERLINK("http://service.sap.com/sap/support/notes/2023304","2023304")</f>
        <v>2023304</v>
      </c>
      <c r="D1789">
        <v>2</v>
      </c>
      <c r="E1789" t="s">
        <v>4468</v>
      </c>
      <c r="F1789" t="s">
        <v>16</v>
      </c>
    </row>
    <row r="1790" spans="1:6" x14ac:dyDescent="0.3">
      <c r="A1790" t="s">
        <v>530</v>
      </c>
      <c r="B1790" t="s">
        <v>531</v>
      </c>
      <c r="C1790" t="str">
        <f>HYPERLINK("http://service.sap.com/sap/support/notes/2023439","2023439")</f>
        <v>2023439</v>
      </c>
      <c r="D1790">
        <v>1</v>
      </c>
      <c r="E1790" t="s">
        <v>4465</v>
      </c>
      <c r="F1790" t="s">
        <v>16</v>
      </c>
    </row>
    <row r="1791" spans="1:6" x14ac:dyDescent="0.3">
      <c r="A1791" t="s">
        <v>530</v>
      </c>
      <c r="B1791" t="s">
        <v>531</v>
      </c>
      <c r="C1791" t="str">
        <f>HYPERLINK("http://service.sap.com/sap/support/notes/2025184","2025184")</f>
        <v>2025184</v>
      </c>
      <c r="D1791">
        <v>1</v>
      </c>
      <c r="E1791" t="s">
        <v>4469</v>
      </c>
      <c r="F1791" t="s">
        <v>9</v>
      </c>
    </row>
    <row r="1792" spans="1:6" x14ac:dyDescent="0.3">
      <c r="A1792" t="s">
        <v>530</v>
      </c>
      <c r="B1792" t="s">
        <v>531</v>
      </c>
      <c r="C1792" t="str">
        <f>HYPERLINK("http://service.sap.com/sap/support/notes/2025853","2025853")</f>
        <v>2025853</v>
      </c>
      <c r="D1792">
        <v>1</v>
      </c>
      <c r="E1792" t="s">
        <v>4470</v>
      </c>
      <c r="F1792" t="s">
        <v>16</v>
      </c>
    </row>
    <row r="1793" spans="1:6" x14ac:dyDescent="0.3">
      <c r="A1793" t="s">
        <v>530</v>
      </c>
      <c r="B1793" t="s">
        <v>531</v>
      </c>
      <c r="C1793" t="str">
        <f>HYPERLINK("http://service.sap.com/sap/support/notes/2026403","2026403")</f>
        <v>2026403</v>
      </c>
      <c r="D1793">
        <v>5</v>
      </c>
      <c r="E1793" t="s">
        <v>4471</v>
      </c>
      <c r="F1793" t="s">
        <v>28</v>
      </c>
    </row>
    <row r="1794" spans="1:6" x14ac:dyDescent="0.3">
      <c r="A1794" t="s">
        <v>530</v>
      </c>
      <c r="B1794" t="s">
        <v>531</v>
      </c>
      <c r="C1794" t="str">
        <f>HYPERLINK("http://service.sap.com/sap/support/notes/2027637","2027637")</f>
        <v>2027637</v>
      </c>
      <c r="D1794">
        <v>2</v>
      </c>
      <c r="E1794" t="s">
        <v>4472</v>
      </c>
      <c r="F1794" t="s">
        <v>16</v>
      </c>
    </row>
    <row r="1795" spans="1:6" x14ac:dyDescent="0.3">
      <c r="A1795" t="s">
        <v>530</v>
      </c>
      <c r="B1795" t="s">
        <v>531</v>
      </c>
      <c r="C1795" t="str">
        <f>HYPERLINK("http://service.sap.com/sap/support/notes/2027838","2027838")</f>
        <v>2027838</v>
      </c>
      <c r="D1795">
        <v>1</v>
      </c>
      <c r="E1795" t="s">
        <v>4473</v>
      </c>
      <c r="F1795" t="s">
        <v>9</v>
      </c>
    </row>
    <row r="1796" spans="1:6" x14ac:dyDescent="0.3">
      <c r="A1796" t="s">
        <v>530</v>
      </c>
      <c r="B1796" t="s">
        <v>531</v>
      </c>
      <c r="C1796" t="str">
        <f>HYPERLINK("http://service.sap.com/sap/support/notes/2030829","2030829")</f>
        <v>2030829</v>
      </c>
      <c r="D1796">
        <v>2</v>
      </c>
      <c r="E1796" t="s">
        <v>4124</v>
      </c>
      <c r="F1796" t="s">
        <v>9</v>
      </c>
    </row>
    <row r="1797" spans="1:6" x14ac:dyDescent="0.3">
      <c r="A1797" t="s">
        <v>530</v>
      </c>
      <c r="B1797" t="s">
        <v>531</v>
      </c>
      <c r="C1797" t="str">
        <f>HYPERLINK("http://service.sap.com/sap/support/notes/2030984","2030984")</f>
        <v>2030984</v>
      </c>
      <c r="D1797">
        <v>1</v>
      </c>
      <c r="E1797" t="s">
        <v>4474</v>
      </c>
      <c r="F1797" t="s">
        <v>16</v>
      </c>
    </row>
    <row r="1798" spans="1:6" x14ac:dyDescent="0.3">
      <c r="A1798" t="s">
        <v>530</v>
      </c>
      <c r="B1798" t="s">
        <v>531</v>
      </c>
      <c r="C1798" t="str">
        <f>HYPERLINK("http://service.sap.com/sap/support/notes/2008795","2008795")</f>
        <v>2008795</v>
      </c>
      <c r="D1798">
        <v>3</v>
      </c>
      <c r="E1798" t="s">
        <v>4775</v>
      </c>
      <c r="F1798" t="s">
        <v>9</v>
      </c>
    </row>
    <row r="1799" spans="1:6" x14ac:dyDescent="0.3">
      <c r="A1799" t="s">
        <v>530</v>
      </c>
      <c r="B1799" t="s">
        <v>531</v>
      </c>
      <c r="C1799" t="str">
        <f>HYPERLINK("http://service.sap.com/sap/support/notes/2025613","2025613")</f>
        <v>2025613</v>
      </c>
      <c r="D1799">
        <v>1</v>
      </c>
      <c r="E1799" t="s">
        <v>4776</v>
      </c>
      <c r="F1799" t="s">
        <v>9</v>
      </c>
    </row>
    <row r="1800" spans="1:6" x14ac:dyDescent="0.3">
      <c r="A1800" t="s">
        <v>530</v>
      </c>
      <c r="B1800" t="s">
        <v>531</v>
      </c>
      <c r="C1800" t="str">
        <f>HYPERLINK("http://service.sap.com/sap/support/notes/2034820","2034820")</f>
        <v>2034820</v>
      </c>
      <c r="D1800">
        <v>7</v>
      </c>
      <c r="E1800" t="s">
        <v>4777</v>
      </c>
      <c r="F1800" t="s">
        <v>16</v>
      </c>
    </row>
    <row r="1801" spans="1:6" x14ac:dyDescent="0.3">
      <c r="A1801" t="s">
        <v>530</v>
      </c>
      <c r="B1801" t="s">
        <v>531</v>
      </c>
      <c r="C1801" t="str">
        <f>HYPERLINK("http://service.sap.com/sap/support/notes/2044062","2044062")</f>
        <v>2044062</v>
      </c>
      <c r="D1801">
        <v>2</v>
      </c>
      <c r="E1801" t="s">
        <v>4778</v>
      </c>
      <c r="F1801" t="s">
        <v>9</v>
      </c>
    </row>
    <row r="1802" spans="1:6" x14ac:dyDescent="0.3">
      <c r="A1802" t="s">
        <v>530</v>
      </c>
      <c r="B1802" t="s">
        <v>531</v>
      </c>
      <c r="C1802" t="str">
        <f>HYPERLINK("http://service.sap.com/sap/support/notes/2022973","2022973")</f>
        <v>2022973</v>
      </c>
      <c r="D1802">
        <v>3</v>
      </c>
      <c r="E1802" t="s">
        <v>5149</v>
      </c>
      <c r="F1802" t="s">
        <v>9</v>
      </c>
    </row>
    <row r="1803" spans="1:6" x14ac:dyDescent="0.3">
      <c r="A1803" t="s">
        <v>530</v>
      </c>
      <c r="B1803" t="s">
        <v>531</v>
      </c>
      <c r="C1803" t="str">
        <f>HYPERLINK("http://service.sap.com/sap/support/notes/2045311","2045311")</f>
        <v>2045311</v>
      </c>
      <c r="D1803">
        <v>3</v>
      </c>
      <c r="E1803" t="s">
        <v>4124</v>
      </c>
      <c r="F1803" t="s">
        <v>16</v>
      </c>
    </row>
    <row r="1804" spans="1:6" x14ac:dyDescent="0.3">
      <c r="A1804" t="s">
        <v>530</v>
      </c>
      <c r="B1804" t="s">
        <v>531</v>
      </c>
      <c r="C1804" t="str">
        <f>HYPERLINK("http://service.sap.com/sap/support/notes/2046971","2046971")</f>
        <v>2046971</v>
      </c>
      <c r="D1804">
        <v>1</v>
      </c>
      <c r="E1804" t="s">
        <v>5150</v>
      </c>
      <c r="F1804" t="s">
        <v>16</v>
      </c>
    </row>
    <row r="1805" spans="1:6" x14ac:dyDescent="0.3">
      <c r="A1805" t="s">
        <v>530</v>
      </c>
      <c r="B1805" t="s">
        <v>531</v>
      </c>
      <c r="C1805" t="str">
        <f>HYPERLINK("http://service.sap.com/sap/support/notes/2047327","2047327")</f>
        <v>2047327</v>
      </c>
      <c r="D1805">
        <v>2</v>
      </c>
      <c r="E1805" t="s">
        <v>5151</v>
      </c>
      <c r="F1805" t="s">
        <v>9</v>
      </c>
    </row>
    <row r="1806" spans="1:6" x14ac:dyDescent="0.3">
      <c r="A1806" t="s">
        <v>530</v>
      </c>
      <c r="B1806" t="s">
        <v>531</v>
      </c>
      <c r="C1806" t="str">
        <f>HYPERLINK("http://service.sap.com/sap/support/notes/2048200","2048200")</f>
        <v>2048200</v>
      </c>
      <c r="D1806">
        <v>1</v>
      </c>
      <c r="E1806" t="s">
        <v>5152</v>
      </c>
      <c r="F1806" t="s">
        <v>9</v>
      </c>
    </row>
    <row r="1807" spans="1:6" x14ac:dyDescent="0.3">
      <c r="A1807" t="s">
        <v>530</v>
      </c>
      <c r="B1807" t="s">
        <v>531</v>
      </c>
      <c r="C1807" t="str">
        <f>HYPERLINK("http://service.sap.com/sap/support/notes/2048730","2048730")</f>
        <v>2048730</v>
      </c>
      <c r="D1807">
        <v>3</v>
      </c>
      <c r="E1807" t="s">
        <v>5153</v>
      </c>
      <c r="F1807" t="s">
        <v>9</v>
      </c>
    </row>
    <row r="1808" spans="1:6" x14ac:dyDescent="0.3">
      <c r="A1808" t="s">
        <v>530</v>
      </c>
      <c r="B1808" t="s">
        <v>531</v>
      </c>
      <c r="C1808" t="str">
        <f>HYPERLINK("http://service.sap.com/sap/support/notes/2049121","2049121")</f>
        <v>2049121</v>
      </c>
      <c r="D1808">
        <v>1</v>
      </c>
      <c r="E1808" t="s">
        <v>5154</v>
      </c>
      <c r="F1808" t="s">
        <v>9</v>
      </c>
    </row>
    <row r="1809" spans="1:6" x14ac:dyDescent="0.3">
      <c r="A1809" t="s">
        <v>530</v>
      </c>
      <c r="B1809" t="s">
        <v>531</v>
      </c>
      <c r="C1809" t="str">
        <f>HYPERLINK("http://service.sap.com/sap/support/notes/2051338","2051338")</f>
        <v>2051338</v>
      </c>
      <c r="D1809">
        <v>2</v>
      </c>
      <c r="E1809" t="s">
        <v>5155</v>
      </c>
      <c r="F1809" t="s">
        <v>9</v>
      </c>
    </row>
    <row r="1810" spans="1:6" x14ac:dyDescent="0.3">
      <c r="A1810" t="s">
        <v>530</v>
      </c>
      <c r="B1810" t="s">
        <v>531</v>
      </c>
      <c r="C1810" t="str">
        <f>HYPERLINK("http://service.sap.com/sap/support/notes/2051894","2051894")</f>
        <v>2051894</v>
      </c>
      <c r="D1810">
        <v>1</v>
      </c>
      <c r="E1810" t="s">
        <v>5156</v>
      </c>
      <c r="F1810" t="s">
        <v>9</v>
      </c>
    </row>
    <row r="1811" spans="1:6" x14ac:dyDescent="0.3">
      <c r="A1811" t="s">
        <v>530</v>
      </c>
      <c r="B1811" t="s">
        <v>531</v>
      </c>
      <c r="C1811" t="str">
        <f>HYPERLINK("http://service.sap.com/sap/support/notes/2056221","2056221")</f>
        <v>2056221</v>
      </c>
      <c r="D1811">
        <v>2</v>
      </c>
      <c r="E1811" t="s">
        <v>5157</v>
      </c>
      <c r="F1811" t="s">
        <v>9</v>
      </c>
    </row>
    <row r="1812" spans="1:6" x14ac:dyDescent="0.3">
      <c r="A1812" t="s">
        <v>530</v>
      </c>
      <c r="B1812" t="s">
        <v>531</v>
      </c>
      <c r="C1812" t="str">
        <f>HYPERLINK("http://service.sap.com/sap/support/notes/2014110","2014110")</f>
        <v>2014110</v>
      </c>
      <c r="D1812">
        <v>5</v>
      </c>
      <c r="E1812" t="s">
        <v>5492</v>
      </c>
      <c r="F1812" t="s">
        <v>9</v>
      </c>
    </row>
    <row r="1813" spans="1:6" x14ac:dyDescent="0.3">
      <c r="A1813" t="s">
        <v>530</v>
      </c>
      <c r="B1813" t="s">
        <v>531</v>
      </c>
      <c r="C1813" t="str">
        <f>HYPERLINK("http://service.sap.com/sap/support/notes/2043293","2043293")</f>
        <v>2043293</v>
      </c>
      <c r="D1813">
        <v>1</v>
      </c>
      <c r="E1813" t="s">
        <v>5493</v>
      </c>
      <c r="F1813" t="s">
        <v>9</v>
      </c>
    </row>
    <row r="1814" spans="1:6" x14ac:dyDescent="0.3">
      <c r="A1814" t="s">
        <v>530</v>
      </c>
      <c r="B1814" t="s">
        <v>531</v>
      </c>
      <c r="C1814" t="str">
        <f>HYPERLINK("http://service.sap.com/sap/support/notes/2058847","2058847")</f>
        <v>2058847</v>
      </c>
      <c r="D1814">
        <v>1</v>
      </c>
      <c r="E1814" t="s">
        <v>5494</v>
      </c>
      <c r="F1814" t="s">
        <v>16</v>
      </c>
    </row>
    <row r="1815" spans="1:6" x14ac:dyDescent="0.3">
      <c r="A1815" t="s">
        <v>530</v>
      </c>
      <c r="B1815" t="s">
        <v>531</v>
      </c>
      <c r="C1815" t="str">
        <f>HYPERLINK("http://service.sap.com/sap/support/notes/2059409","2059409")</f>
        <v>2059409</v>
      </c>
      <c r="D1815">
        <v>1</v>
      </c>
      <c r="E1815" t="s">
        <v>5495</v>
      </c>
      <c r="F1815" t="s">
        <v>16</v>
      </c>
    </row>
    <row r="1816" spans="1:6" x14ac:dyDescent="0.3">
      <c r="A1816" t="s">
        <v>530</v>
      </c>
      <c r="B1816" t="s">
        <v>531</v>
      </c>
      <c r="C1816" t="str">
        <f>HYPERLINK("http://service.sap.com/sap/support/notes/2060120","2060120")</f>
        <v>2060120</v>
      </c>
      <c r="D1816">
        <v>1</v>
      </c>
      <c r="E1816" t="s">
        <v>5496</v>
      </c>
      <c r="F1816" t="s">
        <v>9</v>
      </c>
    </row>
    <row r="1817" spans="1:6" x14ac:dyDescent="0.3">
      <c r="A1817" t="s">
        <v>530</v>
      </c>
      <c r="B1817" t="s">
        <v>531</v>
      </c>
      <c r="C1817" t="str">
        <f>HYPERLINK("http://service.sap.com/sap/support/notes/2060412","2060412")</f>
        <v>2060412</v>
      </c>
      <c r="D1817">
        <v>1</v>
      </c>
      <c r="E1817" t="s">
        <v>5497</v>
      </c>
      <c r="F1817" t="s">
        <v>16</v>
      </c>
    </row>
    <row r="1818" spans="1:6" x14ac:dyDescent="0.3">
      <c r="A1818" t="s">
        <v>530</v>
      </c>
      <c r="B1818" t="s">
        <v>531</v>
      </c>
      <c r="C1818" t="str">
        <f>HYPERLINK("http://service.sap.com/sap/support/notes/2063436","2063436")</f>
        <v>2063436</v>
      </c>
      <c r="D1818">
        <v>2</v>
      </c>
      <c r="E1818" t="s">
        <v>5498</v>
      </c>
      <c r="F1818" t="s">
        <v>16</v>
      </c>
    </row>
    <row r="1819" spans="1:6" x14ac:dyDescent="0.3">
      <c r="A1819" t="s">
        <v>530</v>
      </c>
      <c r="B1819" t="s">
        <v>531</v>
      </c>
      <c r="C1819" t="str">
        <f>HYPERLINK("http://service.sap.com/sap/support/notes/2063437","2063437")</f>
        <v>2063437</v>
      </c>
      <c r="D1819">
        <v>2</v>
      </c>
      <c r="E1819" t="s">
        <v>5499</v>
      </c>
      <c r="F1819" t="s">
        <v>16</v>
      </c>
    </row>
    <row r="1820" spans="1:6" x14ac:dyDescent="0.3">
      <c r="A1820" t="s">
        <v>530</v>
      </c>
      <c r="B1820" t="s">
        <v>531</v>
      </c>
      <c r="C1820" t="str">
        <f>HYPERLINK("http://service.sap.com/sap/support/notes/2065126","2065126")</f>
        <v>2065126</v>
      </c>
      <c r="D1820">
        <v>3</v>
      </c>
      <c r="E1820" t="s">
        <v>5500</v>
      </c>
      <c r="F1820" t="s">
        <v>16</v>
      </c>
    </row>
    <row r="1821" spans="1:6" x14ac:dyDescent="0.3">
      <c r="A1821" t="s">
        <v>530</v>
      </c>
      <c r="B1821" t="s">
        <v>531</v>
      </c>
      <c r="C1821" t="str">
        <f>HYPERLINK("http://service.sap.com/sap/support/notes/2065127","2065127")</f>
        <v>2065127</v>
      </c>
      <c r="D1821">
        <v>6</v>
      </c>
      <c r="E1821" t="s">
        <v>5501</v>
      </c>
      <c r="F1821" t="s">
        <v>16</v>
      </c>
    </row>
    <row r="1822" spans="1:6" x14ac:dyDescent="0.3">
      <c r="A1822" t="s">
        <v>530</v>
      </c>
      <c r="B1822" t="s">
        <v>531</v>
      </c>
      <c r="C1822" t="str">
        <f>HYPERLINK("http://service.sap.com/sap/support/notes/2066285","2066285")</f>
        <v>2066285</v>
      </c>
      <c r="D1822">
        <v>1</v>
      </c>
      <c r="E1822" t="s">
        <v>5502</v>
      </c>
      <c r="F1822" t="s">
        <v>16</v>
      </c>
    </row>
    <row r="1823" spans="1:6" x14ac:dyDescent="0.3">
      <c r="A1823" t="s">
        <v>530</v>
      </c>
      <c r="B1823" t="s">
        <v>531</v>
      </c>
      <c r="C1823" t="str">
        <f>HYPERLINK("http://service.sap.com/sap/support/notes/2067940","2067940")</f>
        <v>2067940</v>
      </c>
      <c r="D1823">
        <v>2</v>
      </c>
      <c r="E1823" t="s">
        <v>5503</v>
      </c>
      <c r="F1823" t="s">
        <v>16</v>
      </c>
    </row>
    <row r="1824" spans="1:6" x14ac:dyDescent="0.3">
      <c r="A1824" t="s">
        <v>543</v>
      </c>
      <c r="B1824" t="s">
        <v>544</v>
      </c>
      <c r="C1824" t="str">
        <f>HYPERLINK("http://service.sap.com/sap/support/notes/1911474","1911474")</f>
        <v>1911474</v>
      </c>
      <c r="D1824">
        <v>3</v>
      </c>
      <c r="E1824" t="s">
        <v>545</v>
      </c>
      <c r="F1824" t="s">
        <v>9</v>
      </c>
    </row>
    <row r="1825" spans="1:6" x14ac:dyDescent="0.3">
      <c r="A1825" t="s">
        <v>543</v>
      </c>
      <c r="B1825" t="s">
        <v>544</v>
      </c>
      <c r="C1825" t="str">
        <f>HYPERLINK("http://service.sap.com/sap/support/notes/1915489","1915489")</f>
        <v>1915489</v>
      </c>
      <c r="D1825">
        <v>2</v>
      </c>
      <c r="E1825" t="s">
        <v>546</v>
      </c>
      <c r="F1825" t="s">
        <v>9</v>
      </c>
    </row>
    <row r="1826" spans="1:6" x14ac:dyDescent="0.3">
      <c r="A1826" t="s">
        <v>543</v>
      </c>
      <c r="B1826" t="s">
        <v>544</v>
      </c>
      <c r="C1826" t="str">
        <f>HYPERLINK("http://service.sap.com/sap/support/notes/1915536","1915536")</f>
        <v>1915536</v>
      </c>
      <c r="D1826">
        <v>2</v>
      </c>
      <c r="E1826" t="s">
        <v>547</v>
      </c>
      <c r="F1826" t="s">
        <v>9</v>
      </c>
    </row>
    <row r="1827" spans="1:6" x14ac:dyDescent="0.3">
      <c r="A1827" t="s">
        <v>543</v>
      </c>
      <c r="B1827" t="s">
        <v>544</v>
      </c>
      <c r="C1827" t="str">
        <f>HYPERLINK("http://service.sap.com/sap/support/notes/1914092","1914092")</f>
        <v>1914092</v>
      </c>
      <c r="D1827">
        <v>5</v>
      </c>
      <c r="E1827" t="s">
        <v>1212</v>
      </c>
      <c r="F1827" t="s">
        <v>9</v>
      </c>
    </row>
    <row r="1828" spans="1:6" x14ac:dyDescent="0.3">
      <c r="A1828" t="s">
        <v>543</v>
      </c>
      <c r="B1828" t="s">
        <v>544</v>
      </c>
      <c r="C1828" t="str">
        <f>HYPERLINK("http://service.sap.com/sap/support/notes/1915561","1915561")</f>
        <v>1915561</v>
      </c>
      <c r="D1828">
        <v>3</v>
      </c>
      <c r="E1828" t="s">
        <v>1213</v>
      </c>
      <c r="F1828" t="s">
        <v>9</v>
      </c>
    </row>
    <row r="1829" spans="1:6" x14ac:dyDescent="0.3">
      <c r="A1829" t="s">
        <v>543</v>
      </c>
      <c r="B1829" t="s">
        <v>544</v>
      </c>
      <c r="C1829" t="str">
        <f>HYPERLINK("http://service.sap.com/sap/support/notes/1925334","1925334")</f>
        <v>1925334</v>
      </c>
      <c r="D1829">
        <v>2</v>
      </c>
      <c r="E1829" t="s">
        <v>1214</v>
      </c>
      <c r="F1829" t="s">
        <v>9</v>
      </c>
    </row>
    <row r="1830" spans="1:6" x14ac:dyDescent="0.3">
      <c r="A1830" t="s">
        <v>543</v>
      </c>
      <c r="B1830" t="s">
        <v>544</v>
      </c>
      <c r="C1830" t="str">
        <f>HYPERLINK("http://service.sap.com/sap/support/notes/1925822","1925822")</f>
        <v>1925822</v>
      </c>
      <c r="D1830">
        <v>3</v>
      </c>
      <c r="E1830" t="s">
        <v>1215</v>
      </c>
      <c r="F1830" t="s">
        <v>9</v>
      </c>
    </row>
    <row r="1831" spans="1:6" x14ac:dyDescent="0.3">
      <c r="A1831" t="s">
        <v>543</v>
      </c>
      <c r="B1831" t="s">
        <v>544</v>
      </c>
      <c r="C1831" t="str">
        <f>HYPERLINK("http://service.sap.com/sap/support/notes/1908614","1908614")</f>
        <v>1908614</v>
      </c>
      <c r="D1831">
        <v>6</v>
      </c>
      <c r="E1831" t="s">
        <v>1643</v>
      </c>
      <c r="F1831" t="s">
        <v>16</v>
      </c>
    </row>
    <row r="1832" spans="1:6" x14ac:dyDescent="0.3">
      <c r="A1832" t="s">
        <v>543</v>
      </c>
      <c r="B1832" t="s">
        <v>544</v>
      </c>
      <c r="C1832" t="str">
        <f>HYPERLINK("http://service.sap.com/sap/support/notes/1922578","1922578")</f>
        <v>1922578</v>
      </c>
      <c r="D1832">
        <v>2</v>
      </c>
      <c r="E1832" t="s">
        <v>1644</v>
      </c>
      <c r="F1832" t="s">
        <v>9</v>
      </c>
    </row>
    <row r="1833" spans="1:6" x14ac:dyDescent="0.3">
      <c r="A1833" t="s">
        <v>543</v>
      </c>
      <c r="B1833" t="s">
        <v>544</v>
      </c>
      <c r="C1833" t="str">
        <f>HYPERLINK("http://service.sap.com/sap/support/notes/1936263","1936263")</f>
        <v>1936263</v>
      </c>
      <c r="D1833">
        <v>1</v>
      </c>
      <c r="E1833" t="s">
        <v>1645</v>
      </c>
      <c r="F1833" t="s">
        <v>9</v>
      </c>
    </row>
    <row r="1834" spans="1:6" x14ac:dyDescent="0.3">
      <c r="A1834" t="s">
        <v>543</v>
      </c>
      <c r="B1834" t="s">
        <v>544</v>
      </c>
      <c r="C1834" t="str">
        <f>HYPERLINK("http://service.sap.com/sap/support/notes/1940098","1940098")</f>
        <v>1940098</v>
      </c>
      <c r="D1834">
        <v>2</v>
      </c>
      <c r="E1834" t="s">
        <v>1646</v>
      </c>
      <c r="F1834" t="s">
        <v>9</v>
      </c>
    </row>
    <row r="1835" spans="1:6" x14ac:dyDescent="0.3">
      <c r="A1835" t="s">
        <v>543</v>
      </c>
      <c r="B1835" t="s">
        <v>544</v>
      </c>
      <c r="C1835" t="str">
        <f>HYPERLINK("http://service.sap.com/sap/support/notes/1945716","1945716")</f>
        <v>1945716</v>
      </c>
      <c r="D1835">
        <v>3</v>
      </c>
      <c r="E1835" t="s">
        <v>1647</v>
      </c>
      <c r="F1835" t="s">
        <v>9</v>
      </c>
    </row>
    <row r="1836" spans="1:6" x14ac:dyDescent="0.3">
      <c r="A1836" t="s">
        <v>543</v>
      </c>
      <c r="B1836" t="s">
        <v>544</v>
      </c>
      <c r="C1836" t="str">
        <f>HYPERLINK("http://service.sap.com/sap/support/notes/1946139","1946139")</f>
        <v>1946139</v>
      </c>
      <c r="D1836">
        <v>4</v>
      </c>
      <c r="E1836" t="s">
        <v>1648</v>
      </c>
      <c r="F1836" t="s">
        <v>9</v>
      </c>
    </row>
    <row r="1837" spans="1:6" x14ac:dyDescent="0.3">
      <c r="A1837" t="s">
        <v>543</v>
      </c>
      <c r="B1837" t="s">
        <v>544</v>
      </c>
      <c r="C1837" t="str">
        <f>HYPERLINK("http://service.sap.com/sap/support/notes/1947125","1947125")</f>
        <v>1947125</v>
      </c>
      <c r="D1837">
        <v>4</v>
      </c>
      <c r="E1837" t="s">
        <v>1649</v>
      </c>
      <c r="F1837" t="s">
        <v>9</v>
      </c>
    </row>
    <row r="1838" spans="1:6" x14ac:dyDescent="0.3">
      <c r="A1838" t="s">
        <v>543</v>
      </c>
      <c r="B1838" t="s">
        <v>544</v>
      </c>
      <c r="C1838" t="str">
        <f>HYPERLINK("http://service.sap.com/sap/support/notes/1952171","1952171")</f>
        <v>1952171</v>
      </c>
      <c r="D1838">
        <v>2</v>
      </c>
      <c r="E1838" t="s">
        <v>1650</v>
      </c>
      <c r="F1838" t="s">
        <v>9</v>
      </c>
    </row>
    <row r="1839" spans="1:6" x14ac:dyDescent="0.3">
      <c r="A1839" t="s">
        <v>543</v>
      </c>
      <c r="B1839" t="s">
        <v>544</v>
      </c>
      <c r="C1839" t="str">
        <f>HYPERLINK("http://service.sap.com/sap/support/notes/1958135","1958135")</f>
        <v>1958135</v>
      </c>
      <c r="D1839">
        <v>2</v>
      </c>
      <c r="E1839" t="s">
        <v>2142</v>
      </c>
      <c r="F1839" t="s">
        <v>9</v>
      </c>
    </row>
    <row r="1840" spans="1:6" x14ac:dyDescent="0.3">
      <c r="A1840" t="s">
        <v>543</v>
      </c>
      <c r="B1840" t="s">
        <v>544</v>
      </c>
      <c r="C1840" t="str">
        <f>HYPERLINK("http://service.sap.com/sap/support/notes/1969600","1969600")</f>
        <v>1969600</v>
      </c>
      <c r="D1840">
        <v>4</v>
      </c>
      <c r="E1840" t="s">
        <v>2498</v>
      </c>
      <c r="F1840" t="s">
        <v>9</v>
      </c>
    </row>
    <row r="1841" spans="1:6" x14ac:dyDescent="0.3">
      <c r="A1841" t="s">
        <v>543</v>
      </c>
      <c r="B1841" t="s">
        <v>544</v>
      </c>
      <c r="C1841" t="str">
        <f>HYPERLINK("http://service.sap.com/sap/support/notes/1969846","1969846")</f>
        <v>1969846</v>
      </c>
      <c r="D1841">
        <v>4</v>
      </c>
      <c r="E1841" t="s">
        <v>2499</v>
      </c>
      <c r="F1841" t="s">
        <v>9</v>
      </c>
    </row>
    <row r="1842" spans="1:6" x14ac:dyDescent="0.3">
      <c r="A1842" t="s">
        <v>543</v>
      </c>
      <c r="B1842" t="s">
        <v>544</v>
      </c>
      <c r="C1842" t="str">
        <f>HYPERLINK("http://service.sap.com/sap/support/notes/1972309","1972309")</f>
        <v>1972309</v>
      </c>
      <c r="D1842">
        <v>3</v>
      </c>
      <c r="E1842" t="s">
        <v>2500</v>
      </c>
      <c r="F1842" t="s">
        <v>9</v>
      </c>
    </row>
    <row r="1843" spans="1:6" x14ac:dyDescent="0.3">
      <c r="A1843" t="s">
        <v>543</v>
      </c>
      <c r="B1843" t="s">
        <v>544</v>
      </c>
      <c r="C1843" t="str">
        <f>HYPERLINK("http://service.sap.com/sap/support/notes/1978750","1978750")</f>
        <v>1978750</v>
      </c>
      <c r="D1843">
        <v>2</v>
      </c>
      <c r="E1843" t="s">
        <v>2501</v>
      </c>
      <c r="F1843" t="s">
        <v>9</v>
      </c>
    </row>
    <row r="1844" spans="1:6" x14ac:dyDescent="0.3">
      <c r="A1844" t="s">
        <v>543</v>
      </c>
      <c r="B1844" t="s">
        <v>544</v>
      </c>
      <c r="C1844" t="str">
        <f>HYPERLINK("http://service.sap.com/sap/support/notes/1485608","1485608")</f>
        <v>1485608</v>
      </c>
      <c r="D1844">
        <v>1</v>
      </c>
      <c r="E1844" t="s">
        <v>2935</v>
      </c>
      <c r="F1844" t="s">
        <v>16</v>
      </c>
    </row>
    <row r="1845" spans="1:6" x14ac:dyDescent="0.3">
      <c r="A1845" t="s">
        <v>543</v>
      </c>
      <c r="B1845" t="s">
        <v>544</v>
      </c>
      <c r="C1845" t="str">
        <f>HYPERLINK("http://service.sap.com/sap/support/notes/1748055","1748055")</f>
        <v>1748055</v>
      </c>
      <c r="D1845">
        <v>3</v>
      </c>
      <c r="E1845" t="s">
        <v>2936</v>
      </c>
      <c r="F1845" t="s">
        <v>9</v>
      </c>
    </row>
    <row r="1846" spans="1:6" x14ac:dyDescent="0.3">
      <c r="A1846" t="s">
        <v>543</v>
      </c>
      <c r="B1846" t="s">
        <v>544</v>
      </c>
      <c r="C1846" t="str">
        <f>HYPERLINK("http://service.sap.com/sap/support/notes/1943507","1943507")</f>
        <v>1943507</v>
      </c>
      <c r="D1846">
        <v>2</v>
      </c>
      <c r="E1846" t="s">
        <v>2937</v>
      </c>
      <c r="F1846" t="s">
        <v>9</v>
      </c>
    </row>
    <row r="1847" spans="1:6" x14ac:dyDescent="0.3">
      <c r="A1847" t="s">
        <v>543</v>
      </c>
      <c r="B1847" t="s">
        <v>544</v>
      </c>
      <c r="C1847" t="str">
        <f>HYPERLINK("http://service.sap.com/sap/support/notes/1964813","1964813")</f>
        <v>1964813</v>
      </c>
      <c r="D1847">
        <v>6</v>
      </c>
      <c r="E1847" t="s">
        <v>2938</v>
      </c>
      <c r="F1847" t="s">
        <v>9</v>
      </c>
    </row>
    <row r="1848" spans="1:6" x14ac:dyDescent="0.3">
      <c r="A1848" t="s">
        <v>543</v>
      </c>
      <c r="B1848" t="s">
        <v>544</v>
      </c>
      <c r="C1848" t="str">
        <f>HYPERLINK("http://service.sap.com/sap/support/notes/1971751","1971751")</f>
        <v>1971751</v>
      </c>
      <c r="D1848">
        <v>2</v>
      </c>
      <c r="E1848" t="s">
        <v>2939</v>
      </c>
      <c r="F1848" t="s">
        <v>9</v>
      </c>
    </row>
    <row r="1849" spans="1:6" x14ac:dyDescent="0.3">
      <c r="A1849" t="s">
        <v>543</v>
      </c>
      <c r="B1849" t="s">
        <v>544</v>
      </c>
      <c r="C1849" t="str">
        <f>HYPERLINK("http://service.sap.com/sap/support/notes/1972911","1972911")</f>
        <v>1972911</v>
      </c>
      <c r="D1849">
        <v>5</v>
      </c>
      <c r="E1849" t="s">
        <v>2940</v>
      </c>
      <c r="F1849" t="s">
        <v>9</v>
      </c>
    </row>
    <row r="1850" spans="1:6" x14ac:dyDescent="0.3">
      <c r="A1850" t="s">
        <v>543</v>
      </c>
      <c r="B1850" t="s">
        <v>544</v>
      </c>
      <c r="C1850" t="str">
        <f>HYPERLINK("http://service.sap.com/sap/support/notes/1981156","1981156")</f>
        <v>1981156</v>
      </c>
      <c r="D1850">
        <v>2</v>
      </c>
      <c r="E1850" t="s">
        <v>2941</v>
      </c>
      <c r="F1850" t="s">
        <v>9</v>
      </c>
    </row>
    <row r="1851" spans="1:6" x14ac:dyDescent="0.3">
      <c r="A1851" t="s">
        <v>543</v>
      </c>
      <c r="B1851" t="s">
        <v>544</v>
      </c>
      <c r="C1851" t="str">
        <f>HYPERLINK("http://service.sap.com/sap/support/notes/1983787","1983787")</f>
        <v>1983787</v>
      </c>
      <c r="D1851">
        <v>3</v>
      </c>
      <c r="E1851" t="s">
        <v>2942</v>
      </c>
      <c r="F1851" t="s">
        <v>9</v>
      </c>
    </row>
    <row r="1852" spans="1:6" x14ac:dyDescent="0.3">
      <c r="A1852" t="s">
        <v>543</v>
      </c>
      <c r="B1852" t="s">
        <v>544</v>
      </c>
      <c r="C1852" t="str">
        <f>HYPERLINK("http://service.sap.com/sap/support/notes/1985015","1985015")</f>
        <v>1985015</v>
      </c>
      <c r="D1852">
        <v>3</v>
      </c>
      <c r="E1852" t="s">
        <v>2943</v>
      </c>
      <c r="F1852" t="s">
        <v>9</v>
      </c>
    </row>
    <row r="1853" spans="1:6" x14ac:dyDescent="0.3">
      <c r="A1853" t="s">
        <v>543</v>
      </c>
      <c r="B1853" t="s">
        <v>544</v>
      </c>
      <c r="C1853" t="str">
        <f>HYPERLINK("http://service.sap.com/sap/support/notes/1988467","1988467")</f>
        <v>1988467</v>
      </c>
      <c r="D1853">
        <v>2</v>
      </c>
      <c r="E1853" t="s">
        <v>2944</v>
      </c>
      <c r="F1853" t="s">
        <v>9</v>
      </c>
    </row>
    <row r="1854" spans="1:6" x14ac:dyDescent="0.3">
      <c r="A1854" t="s">
        <v>543</v>
      </c>
      <c r="B1854" t="s">
        <v>544</v>
      </c>
      <c r="C1854" t="str">
        <f>HYPERLINK("http://service.sap.com/sap/support/notes/1976890","1976890")</f>
        <v>1976890</v>
      </c>
      <c r="D1854">
        <v>4</v>
      </c>
      <c r="E1854" t="s">
        <v>3605</v>
      </c>
      <c r="F1854" t="s">
        <v>9</v>
      </c>
    </row>
    <row r="1855" spans="1:6" x14ac:dyDescent="0.3">
      <c r="A1855" t="s">
        <v>543</v>
      </c>
      <c r="B1855" t="s">
        <v>544</v>
      </c>
      <c r="C1855" t="str">
        <f>HYPERLINK("http://service.sap.com/sap/support/notes/1980532","1980532")</f>
        <v>1980532</v>
      </c>
      <c r="D1855">
        <v>2</v>
      </c>
      <c r="E1855" t="s">
        <v>3606</v>
      </c>
      <c r="F1855" t="s">
        <v>9</v>
      </c>
    </row>
    <row r="1856" spans="1:6" x14ac:dyDescent="0.3">
      <c r="A1856" t="s">
        <v>543</v>
      </c>
      <c r="B1856" t="s">
        <v>544</v>
      </c>
      <c r="C1856" t="str">
        <f>HYPERLINK("http://service.sap.com/sap/support/notes/1997279","1997279")</f>
        <v>1997279</v>
      </c>
      <c r="D1856">
        <v>2</v>
      </c>
      <c r="E1856" t="s">
        <v>3607</v>
      </c>
      <c r="F1856" t="s">
        <v>9</v>
      </c>
    </row>
    <row r="1857" spans="1:6" x14ac:dyDescent="0.3">
      <c r="A1857" t="s">
        <v>543</v>
      </c>
      <c r="B1857" t="s">
        <v>544</v>
      </c>
      <c r="C1857" t="str">
        <f>HYPERLINK("http://service.sap.com/sap/support/notes/1959285","1959285")</f>
        <v>1959285</v>
      </c>
      <c r="D1857">
        <v>5</v>
      </c>
      <c r="E1857" t="s">
        <v>4128</v>
      </c>
      <c r="F1857" t="s">
        <v>9</v>
      </c>
    </row>
    <row r="1858" spans="1:6" x14ac:dyDescent="0.3">
      <c r="A1858" t="s">
        <v>543</v>
      </c>
      <c r="B1858" t="s">
        <v>544</v>
      </c>
      <c r="C1858" t="str">
        <f>HYPERLINK("http://service.sap.com/sap/support/notes/1975219","1975219")</f>
        <v>1975219</v>
      </c>
      <c r="D1858">
        <v>3</v>
      </c>
      <c r="E1858" t="s">
        <v>4475</v>
      </c>
      <c r="F1858" t="s">
        <v>9</v>
      </c>
    </row>
    <row r="1859" spans="1:6" x14ac:dyDescent="0.3">
      <c r="A1859" t="s">
        <v>543</v>
      </c>
      <c r="B1859" t="s">
        <v>544</v>
      </c>
      <c r="C1859" t="str">
        <f>HYPERLINK("http://service.sap.com/sap/support/notes/2022462","2022462")</f>
        <v>2022462</v>
      </c>
      <c r="D1859">
        <v>1</v>
      </c>
      <c r="E1859" t="s">
        <v>4476</v>
      </c>
      <c r="F1859" t="s">
        <v>16</v>
      </c>
    </row>
    <row r="1860" spans="1:6" x14ac:dyDescent="0.3">
      <c r="A1860" t="s">
        <v>543</v>
      </c>
      <c r="B1860" t="s">
        <v>544</v>
      </c>
      <c r="C1860" t="str">
        <f>HYPERLINK("http://service.sap.com/sap/support/notes/2025969","2025969")</f>
        <v>2025969</v>
      </c>
      <c r="D1860">
        <v>2</v>
      </c>
      <c r="E1860" t="s">
        <v>4477</v>
      </c>
      <c r="F1860" t="s">
        <v>9</v>
      </c>
    </row>
    <row r="1861" spans="1:6" x14ac:dyDescent="0.3">
      <c r="A1861" t="s">
        <v>543</v>
      </c>
      <c r="B1861" t="s">
        <v>544</v>
      </c>
      <c r="C1861" t="str">
        <f>HYPERLINK("http://service.sap.com/sap/support/notes/1493080","1493080")</f>
        <v>1493080</v>
      </c>
      <c r="D1861">
        <v>2</v>
      </c>
      <c r="E1861" t="s">
        <v>4779</v>
      </c>
      <c r="F1861" t="s">
        <v>9</v>
      </c>
    </row>
    <row r="1862" spans="1:6" x14ac:dyDescent="0.3">
      <c r="A1862" t="s">
        <v>543</v>
      </c>
      <c r="B1862" t="s">
        <v>544</v>
      </c>
      <c r="C1862" t="str">
        <f>HYPERLINK("http://service.sap.com/sap/support/notes/2019860","2019860")</f>
        <v>2019860</v>
      </c>
      <c r="D1862">
        <v>4</v>
      </c>
      <c r="E1862" t="s">
        <v>4780</v>
      </c>
      <c r="F1862" t="s">
        <v>9</v>
      </c>
    </row>
    <row r="1863" spans="1:6" x14ac:dyDescent="0.3">
      <c r="A1863" t="s">
        <v>543</v>
      </c>
      <c r="B1863" t="s">
        <v>544</v>
      </c>
      <c r="C1863" t="str">
        <f>HYPERLINK("http://service.sap.com/sap/support/notes/2022357","2022357")</f>
        <v>2022357</v>
      </c>
      <c r="D1863">
        <v>4</v>
      </c>
      <c r="E1863" t="s">
        <v>4781</v>
      </c>
      <c r="F1863" t="s">
        <v>9</v>
      </c>
    </row>
    <row r="1864" spans="1:6" x14ac:dyDescent="0.3">
      <c r="A1864" t="s">
        <v>543</v>
      </c>
      <c r="B1864" t="s">
        <v>544</v>
      </c>
      <c r="C1864" t="str">
        <f>HYPERLINK("http://service.sap.com/sap/support/notes/2035924","2035924")</f>
        <v>2035924</v>
      </c>
      <c r="D1864">
        <v>2</v>
      </c>
      <c r="E1864" t="s">
        <v>4782</v>
      </c>
      <c r="F1864" t="s">
        <v>9</v>
      </c>
    </row>
    <row r="1865" spans="1:6" x14ac:dyDescent="0.3">
      <c r="A1865" t="s">
        <v>543</v>
      </c>
      <c r="B1865" t="s">
        <v>544</v>
      </c>
      <c r="C1865" t="str">
        <f>HYPERLINK("http://service.sap.com/sap/support/notes/2034720","2034720")</f>
        <v>2034720</v>
      </c>
      <c r="D1865">
        <v>3</v>
      </c>
      <c r="E1865" t="s">
        <v>5158</v>
      </c>
      <c r="F1865" t="s">
        <v>9</v>
      </c>
    </row>
    <row r="1866" spans="1:6" x14ac:dyDescent="0.3">
      <c r="A1866" t="s">
        <v>543</v>
      </c>
      <c r="B1866" t="s">
        <v>544</v>
      </c>
      <c r="C1866" t="str">
        <f>HYPERLINK("http://service.sap.com/sap/support/notes/2034889","2034889")</f>
        <v>2034889</v>
      </c>
      <c r="D1866">
        <v>2</v>
      </c>
      <c r="E1866" t="s">
        <v>5159</v>
      </c>
      <c r="F1866" t="s">
        <v>9</v>
      </c>
    </row>
    <row r="1867" spans="1:6" x14ac:dyDescent="0.3">
      <c r="A1867" t="s">
        <v>543</v>
      </c>
      <c r="B1867" t="s">
        <v>544</v>
      </c>
      <c r="C1867" t="str">
        <f>HYPERLINK("http://service.sap.com/sap/support/notes/2041359","2041359")</f>
        <v>2041359</v>
      </c>
      <c r="D1867">
        <v>2</v>
      </c>
      <c r="E1867" t="s">
        <v>5160</v>
      </c>
      <c r="F1867" t="s">
        <v>9</v>
      </c>
    </row>
    <row r="1868" spans="1:6" x14ac:dyDescent="0.3">
      <c r="A1868" t="s">
        <v>543</v>
      </c>
      <c r="B1868" t="s">
        <v>544</v>
      </c>
      <c r="C1868" t="str">
        <f>HYPERLINK("http://service.sap.com/sap/support/notes/2049686","2049686")</f>
        <v>2049686</v>
      </c>
      <c r="D1868">
        <v>2</v>
      </c>
      <c r="E1868" t="s">
        <v>5504</v>
      </c>
      <c r="F1868" t="s">
        <v>9</v>
      </c>
    </row>
    <row r="1869" spans="1:6" x14ac:dyDescent="0.3">
      <c r="A1869" t="s">
        <v>543</v>
      </c>
      <c r="B1869" t="s">
        <v>544</v>
      </c>
      <c r="C1869" t="str">
        <f>HYPERLINK("http://service.sap.com/sap/support/notes/2059530","2059530")</f>
        <v>2059530</v>
      </c>
      <c r="D1869">
        <v>2</v>
      </c>
      <c r="E1869" t="s">
        <v>5505</v>
      </c>
      <c r="F1869" t="s">
        <v>9</v>
      </c>
    </row>
    <row r="1870" spans="1:6" x14ac:dyDescent="0.3">
      <c r="A1870" t="s">
        <v>548</v>
      </c>
      <c r="B1870" t="s">
        <v>140</v>
      </c>
      <c r="C1870" t="str">
        <f>HYPERLINK("http://service.sap.com/sap/support/notes/1910374","1910374")</f>
        <v>1910374</v>
      </c>
      <c r="D1870">
        <v>2</v>
      </c>
      <c r="E1870" t="s">
        <v>549</v>
      </c>
      <c r="F1870" t="s">
        <v>9</v>
      </c>
    </row>
    <row r="1871" spans="1:6" x14ac:dyDescent="0.3">
      <c r="A1871" t="s">
        <v>548</v>
      </c>
      <c r="B1871" t="s">
        <v>140</v>
      </c>
      <c r="C1871" t="str">
        <f>HYPERLINK("http://service.sap.com/sap/support/notes/1918371","1918371")</f>
        <v>1918371</v>
      </c>
      <c r="D1871">
        <v>1</v>
      </c>
      <c r="E1871" t="s">
        <v>550</v>
      </c>
      <c r="F1871" t="s">
        <v>9</v>
      </c>
    </row>
    <row r="1872" spans="1:6" x14ac:dyDescent="0.3">
      <c r="A1872" t="s">
        <v>548</v>
      </c>
      <c r="B1872" t="s">
        <v>140</v>
      </c>
      <c r="C1872" t="str">
        <f>HYPERLINK("http://service.sap.com/sap/support/notes/1924689","1924689")</f>
        <v>1924689</v>
      </c>
      <c r="D1872">
        <v>1</v>
      </c>
      <c r="E1872" t="s">
        <v>551</v>
      </c>
      <c r="F1872" t="s">
        <v>9</v>
      </c>
    </row>
    <row r="1873" spans="1:6" x14ac:dyDescent="0.3">
      <c r="A1873" t="s">
        <v>548</v>
      </c>
      <c r="B1873" t="s">
        <v>140</v>
      </c>
      <c r="C1873" t="str">
        <f>HYPERLINK("http://service.sap.com/sap/support/notes/1926588","1926588")</f>
        <v>1926588</v>
      </c>
      <c r="D1873">
        <v>1</v>
      </c>
      <c r="E1873" t="s">
        <v>552</v>
      </c>
      <c r="F1873" t="s">
        <v>9</v>
      </c>
    </row>
    <row r="1874" spans="1:6" x14ac:dyDescent="0.3">
      <c r="A1874" t="s">
        <v>548</v>
      </c>
      <c r="B1874" t="s">
        <v>140</v>
      </c>
      <c r="C1874" t="str">
        <f>HYPERLINK("http://service.sap.com/sap/support/notes/1926837","1926837")</f>
        <v>1926837</v>
      </c>
      <c r="D1874">
        <v>1</v>
      </c>
      <c r="E1874" t="s">
        <v>553</v>
      </c>
      <c r="F1874" t="s">
        <v>9</v>
      </c>
    </row>
    <row r="1875" spans="1:6" x14ac:dyDescent="0.3">
      <c r="A1875" t="s">
        <v>548</v>
      </c>
      <c r="B1875" t="s">
        <v>140</v>
      </c>
      <c r="C1875" t="str">
        <f>HYPERLINK("http://service.sap.com/sap/support/notes/1927934","1927934")</f>
        <v>1927934</v>
      </c>
      <c r="D1875">
        <v>1</v>
      </c>
      <c r="E1875" t="s">
        <v>554</v>
      </c>
      <c r="F1875" t="s">
        <v>16</v>
      </c>
    </row>
    <row r="1876" spans="1:6" x14ac:dyDescent="0.3">
      <c r="A1876" t="s">
        <v>548</v>
      </c>
      <c r="B1876" t="s">
        <v>140</v>
      </c>
      <c r="C1876" t="str">
        <f>HYPERLINK("http://service.sap.com/sap/support/notes/1936846","1936846")</f>
        <v>1936846</v>
      </c>
      <c r="D1876">
        <v>1</v>
      </c>
      <c r="E1876" t="s">
        <v>1216</v>
      </c>
      <c r="F1876" t="s">
        <v>9</v>
      </c>
    </row>
    <row r="1877" spans="1:6" x14ac:dyDescent="0.3">
      <c r="A1877" t="s">
        <v>548</v>
      </c>
      <c r="B1877" t="s">
        <v>140</v>
      </c>
      <c r="C1877" t="str">
        <f>HYPERLINK("http://service.sap.com/sap/support/notes/1939080","1939080")</f>
        <v>1939080</v>
      </c>
      <c r="D1877">
        <v>2</v>
      </c>
      <c r="E1877" t="s">
        <v>1217</v>
      </c>
      <c r="F1877" t="s">
        <v>9</v>
      </c>
    </row>
    <row r="1878" spans="1:6" x14ac:dyDescent="0.3">
      <c r="A1878" t="s">
        <v>548</v>
      </c>
      <c r="B1878" t="s">
        <v>140</v>
      </c>
      <c r="C1878" t="str">
        <f>HYPERLINK("http://service.sap.com/sap/support/notes/1939080","1939080")</f>
        <v>1939080</v>
      </c>
      <c r="D1878">
        <v>2</v>
      </c>
      <c r="E1878" t="s">
        <v>1651</v>
      </c>
      <c r="F1878" t="s">
        <v>9</v>
      </c>
    </row>
    <row r="1879" spans="1:6" x14ac:dyDescent="0.3">
      <c r="A1879" t="s">
        <v>548</v>
      </c>
      <c r="B1879" t="s">
        <v>140</v>
      </c>
      <c r="C1879" t="str">
        <f>HYPERLINK("http://service.sap.com/sap/support/notes/1952536","1952536")</f>
        <v>1952536</v>
      </c>
      <c r="D1879">
        <v>2</v>
      </c>
      <c r="E1879" t="s">
        <v>1652</v>
      </c>
      <c r="F1879" t="s">
        <v>28</v>
      </c>
    </row>
    <row r="1880" spans="1:6" x14ac:dyDescent="0.3">
      <c r="A1880" t="s">
        <v>548</v>
      </c>
      <c r="B1880" t="s">
        <v>140</v>
      </c>
      <c r="C1880" t="str">
        <f>HYPERLINK("http://service.sap.com/sap/support/notes/1953184","1953184")</f>
        <v>1953184</v>
      </c>
      <c r="D1880">
        <v>5</v>
      </c>
      <c r="E1880" t="s">
        <v>1653</v>
      </c>
      <c r="F1880" t="s">
        <v>28</v>
      </c>
    </row>
    <row r="1881" spans="1:6" x14ac:dyDescent="0.3">
      <c r="A1881" t="s">
        <v>548</v>
      </c>
      <c r="B1881" t="s">
        <v>140</v>
      </c>
      <c r="C1881" t="str">
        <f>HYPERLINK("http://service.sap.com/sap/support/notes/1955177","1955177")</f>
        <v>1955177</v>
      </c>
      <c r="D1881">
        <v>4</v>
      </c>
      <c r="E1881" t="s">
        <v>1654</v>
      </c>
      <c r="F1881" t="s">
        <v>9</v>
      </c>
    </row>
    <row r="1882" spans="1:6" x14ac:dyDescent="0.3">
      <c r="A1882" t="s">
        <v>548</v>
      </c>
      <c r="B1882" t="s">
        <v>140</v>
      </c>
      <c r="C1882" t="str">
        <f>HYPERLINK("http://service.sap.com/sap/support/notes/1957018","1957018")</f>
        <v>1957018</v>
      </c>
      <c r="D1882">
        <v>1</v>
      </c>
      <c r="E1882" t="s">
        <v>1655</v>
      </c>
      <c r="F1882" t="s">
        <v>9</v>
      </c>
    </row>
    <row r="1883" spans="1:6" x14ac:dyDescent="0.3">
      <c r="A1883" t="s">
        <v>548</v>
      </c>
      <c r="B1883" t="s">
        <v>140</v>
      </c>
      <c r="C1883" t="str">
        <f>HYPERLINK("http://service.sap.com/sap/support/notes/1957748","1957748")</f>
        <v>1957748</v>
      </c>
      <c r="D1883">
        <v>1</v>
      </c>
      <c r="E1883" t="s">
        <v>1656</v>
      </c>
      <c r="F1883" t="s">
        <v>9</v>
      </c>
    </row>
    <row r="1884" spans="1:6" x14ac:dyDescent="0.3">
      <c r="A1884" t="s">
        <v>548</v>
      </c>
      <c r="B1884" t="s">
        <v>140</v>
      </c>
      <c r="C1884" t="str">
        <f>HYPERLINK("http://service.sap.com/sap/support/notes/1960102","1960102")</f>
        <v>1960102</v>
      </c>
      <c r="D1884">
        <v>3</v>
      </c>
      <c r="E1884" t="s">
        <v>1657</v>
      </c>
      <c r="F1884" t="s">
        <v>9</v>
      </c>
    </row>
    <row r="1885" spans="1:6" x14ac:dyDescent="0.3">
      <c r="A1885" t="s">
        <v>548</v>
      </c>
      <c r="B1885" t="s">
        <v>140</v>
      </c>
      <c r="C1885" t="str">
        <f>HYPERLINK("http://service.sap.com/sap/support/notes/1961116","1961116")</f>
        <v>1961116</v>
      </c>
      <c r="D1885">
        <v>4</v>
      </c>
      <c r="E1885" t="s">
        <v>1653</v>
      </c>
      <c r="F1885" t="s">
        <v>28</v>
      </c>
    </row>
    <row r="1886" spans="1:6" x14ac:dyDescent="0.3">
      <c r="A1886" t="s">
        <v>548</v>
      </c>
      <c r="B1886" t="s">
        <v>140</v>
      </c>
      <c r="C1886" t="str">
        <f>HYPERLINK("http://service.sap.com/sap/support/notes/1961887","1961887")</f>
        <v>1961887</v>
      </c>
      <c r="D1886">
        <v>1</v>
      </c>
      <c r="E1886" t="s">
        <v>2143</v>
      </c>
      <c r="F1886" t="s">
        <v>9</v>
      </c>
    </row>
    <row r="1887" spans="1:6" x14ac:dyDescent="0.3">
      <c r="A1887" t="s">
        <v>548</v>
      </c>
      <c r="B1887" t="s">
        <v>140</v>
      </c>
      <c r="C1887" t="str">
        <f>HYPERLINK("http://service.sap.com/sap/support/notes/1961895","1961895")</f>
        <v>1961895</v>
      </c>
      <c r="D1887">
        <v>2</v>
      </c>
      <c r="E1887" t="s">
        <v>2144</v>
      </c>
      <c r="F1887" t="s">
        <v>9</v>
      </c>
    </row>
    <row r="1888" spans="1:6" x14ac:dyDescent="0.3">
      <c r="A1888" t="s">
        <v>548</v>
      </c>
      <c r="B1888" t="s">
        <v>140</v>
      </c>
      <c r="C1888" t="str">
        <f>HYPERLINK("http://service.sap.com/sap/support/notes/1965474","1965474")</f>
        <v>1965474</v>
      </c>
      <c r="D1888">
        <v>4</v>
      </c>
      <c r="E1888" t="s">
        <v>2145</v>
      </c>
      <c r="F1888" t="s">
        <v>9</v>
      </c>
    </row>
    <row r="1889" spans="1:6" x14ac:dyDescent="0.3">
      <c r="A1889" t="s">
        <v>548</v>
      </c>
      <c r="B1889" t="s">
        <v>140</v>
      </c>
      <c r="C1889" t="str">
        <f>HYPERLINK("http://service.sap.com/sap/support/notes/1966792","1966792")</f>
        <v>1966792</v>
      </c>
      <c r="D1889">
        <v>1</v>
      </c>
      <c r="E1889" t="s">
        <v>2146</v>
      </c>
      <c r="F1889" t="s">
        <v>9</v>
      </c>
    </row>
    <row r="1890" spans="1:6" x14ac:dyDescent="0.3">
      <c r="A1890" t="s">
        <v>548</v>
      </c>
      <c r="B1890" t="s">
        <v>140</v>
      </c>
      <c r="C1890" t="str">
        <f>HYPERLINK("http://service.sap.com/sap/support/notes/1969983","1969983")</f>
        <v>1969983</v>
      </c>
      <c r="D1890">
        <v>3</v>
      </c>
      <c r="E1890" t="s">
        <v>2147</v>
      </c>
      <c r="F1890" t="s">
        <v>9</v>
      </c>
    </row>
    <row r="1891" spans="1:6" x14ac:dyDescent="0.3">
      <c r="A1891" t="s">
        <v>548</v>
      </c>
      <c r="B1891" t="s">
        <v>140</v>
      </c>
      <c r="C1891" t="str">
        <f>HYPERLINK("http://service.sap.com/sap/support/notes/1968148","1968148")</f>
        <v>1968148</v>
      </c>
      <c r="D1891">
        <v>3</v>
      </c>
      <c r="E1891" t="s">
        <v>2502</v>
      </c>
      <c r="F1891" t="s">
        <v>9</v>
      </c>
    </row>
    <row r="1892" spans="1:6" x14ac:dyDescent="0.3">
      <c r="A1892" t="s">
        <v>548</v>
      </c>
      <c r="B1892" t="s">
        <v>140</v>
      </c>
      <c r="C1892" t="str">
        <f>HYPERLINK("http://service.sap.com/sap/support/notes/1971081","1971081")</f>
        <v>1971081</v>
      </c>
      <c r="D1892">
        <v>2</v>
      </c>
      <c r="E1892" t="s">
        <v>2503</v>
      </c>
      <c r="F1892" t="s">
        <v>28</v>
      </c>
    </row>
    <row r="1893" spans="1:6" x14ac:dyDescent="0.3">
      <c r="A1893" t="s">
        <v>548</v>
      </c>
      <c r="B1893" t="s">
        <v>140</v>
      </c>
      <c r="C1893" t="str">
        <f>HYPERLINK("http://service.sap.com/sap/support/notes/1975953","1975953")</f>
        <v>1975953</v>
      </c>
      <c r="D1893">
        <v>2</v>
      </c>
      <c r="E1893" t="s">
        <v>2504</v>
      </c>
      <c r="F1893" t="s">
        <v>9</v>
      </c>
    </row>
    <row r="1894" spans="1:6" x14ac:dyDescent="0.3">
      <c r="A1894" t="s">
        <v>548</v>
      </c>
      <c r="B1894" t="s">
        <v>140</v>
      </c>
      <c r="C1894" t="str">
        <f>HYPERLINK("http://service.sap.com/sap/support/notes/1976018","1976018")</f>
        <v>1976018</v>
      </c>
      <c r="D1894">
        <v>2</v>
      </c>
      <c r="E1894" t="s">
        <v>2505</v>
      </c>
      <c r="F1894" t="s">
        <v>9</v>
      </c>
    </row>
    <row r="1895" spans="1:6" x14ac:dyDescent="0.3">
      <c r="A1895" t="s">
        <v>548</v>
      </c>
      <c r="B1895" t="s">
        <v>140</v>
      </c>
      <c r="C1895" t="str">
        <f>HYPERLINK("http://service.sap.com/sap/support/notes/1977828","1977828")</f>
        <v>1977828</v>
      </c>
      <c r="D1895">
        <v>1</v>
      </c>
      <c r="E1895" t="s">
        <v>2506</v>
      </c>
      <c r="F1895" t="s">
        <v>28</v>
      </c>
    </row>
    <row r="1896" spans="1:6" x14ac:dyDescent="0.3">
      <c r="A1896" t="s">
        <v>548</v>
      </c>
      <c r="B1896" t="s">
        <v>140</v>
      </c>
      <c r="C1896" t="str">
        <f>HYPERLINK("http://service.sap.com/sap/support/notes/1977832","1977832")</f>
        <v>1977832</v>
      </c>
      <c r="D1896">
        <v>3</v>
      </c>
      <c r="E1896" t="s">
        <v>2507</v>
      </c>
      <c r="F1896" t="s">
        <v>9</v>
      </c>
    </row>
    <row r="1897" spans="1:6" x14ac:dyDescent="0.3">
      <c r="A1897" t="s">
        <v>548</v>
      </c>
      <c r="B1897" t="s">
        <v>140</v>
      </c>
      <c r="C1897" t="str">
        <f>HYPERLINK("http://service.sap.com/sap/support/notes/1978558","1978558")</f>
        <v>1978558</v>
      </c>
      <c r="D1897">
        <v>3</v>
      </c>
      <c r="E1897" t="s">
        <v>2508</v>
      </c>
      <c r="F1897" t="s">
        <v>28</v>
      </c>
    </row>
    <row r="1898" spans="1:6" x14ac:dyDescent="0.3">
      <c r="A1898" t="s">
        <v>548</v>
      </c>
      <c r="B1898" t="s">
        <v>140</v>
      </c>
      <c r="C1898" t="str">
        <f>HYPERLINK("http://service.sap.com/sap/support/notes/1982146","1982146")</f>
        <v>1982146</v>
      </c>
      <c r="D1898">
        <v>2</v>
      </c>
      <c r="E1898" t="s">
        <v>2509</v>
      </c>
      <c r="F1898" t="s">
        <v>9</v>
      </c>
    </row>
    <row r="1899" spans="1:6" x14ac:dyDescent="0.3">
      <c r="A1899" t="s">
        <v>548</v>
      </c>
      <c r="B1899" t="s">
        <v>140</v>
      </c>
      <c r="C1899" t="str">
        <f>HYPERLINK("http://service.sap.com/sap/support/notes/1984449","1984449")</f>
        <v>1984449</v>
      </c>
      <c r="D1899">
        <v>1</v>
      </c>
      <c r="E1899" t="s">
        <v>2945</v>
      </c>
      <c r="F1899" t="s">
        <v>9</v>
      </c>
    </row>
    <row r="1900" spans="1:6" x14ac:dyDescent="0.3">
      <c r="A1900" t="s">
        <v>548</v>
      </c>
      <c r="B1900" t="s">
        <v>140</v>
      </c>
      <c r="C1900" t="str">
        <f>HYPERLINK("http://service.sap.com/sap/support/notes/1985094","1985094")</f>
        <v>1985094</v>
      </c>
      <c r="D1900">
        <v>1</v>
      </c>
      <c r="E1900" t="s">
        <v>2946</v>
      </c>
      <c r="F1900" t="s">
        <v>28</v>
      </c>
    </row>
    <row r="1901" spans="1:6" x14ac:dyDescent="0.3">
      <c r="A1901" t="s">
        <v>548</v>
      </c>
      <c r="B1901" t="s">
        <v>140</v>
      </c>
      <c r="C1901" t="str">
        <f>HYPERLINK("http://service.sap.com/sap/support/notes/1986334","1986334")</f>
        <v>1986334</v>
      </c>
      <c r="D1901">
        <v>2</v>
      </c>
      <c r="E1901" t="s">
        <v>2947</v>
      </c>
      <c r="F1901" t="s">
        <v>9</v>
      </c>
    </row>
    <row r="1902" spans="1:6" x14ac:dyDescent="0.3">
      <c r="A1902" t="s">
        <v>548</v>
      </c>
      <c r="B1902" t="s">
        <v>140</v>
      </c>
      <c r="C1902" t="str">
        <f>HYPERLINK("http://service.sap.com/sap/support/notes/1986865","1986865")</f>
        <v>1986865</v>
      </c>
      <c r="D1902">
        <v>2</v>
      </c>
      <c r="E1902" t="s">
        <v>2948</v>
      </c>
      <c r="F1902" t="s">
        <v>9</v>
      </c>
    </row>
    <row r="1903" spans="1:6" x14ac:dyDescent="0.3">
      <c r="A1903" t="s">
        <v>548</v>
      </c>
      <c r="B1903" t="s">
        <v>140</v>
      </c>
      <c r="C1903" t="str">
        <f>HYPERLINK("http://service.sap.com/sap/support/notes/1992972","1992972")</f>
        <v>1992972</v>
      </c>
      <c r="D1903">
        <v>1</v>
      </c>
      <c r="E1903" t="s">
        <v>2949</v>
      </c>
      <c r="F1903" t="s">
        <v>9</v>
      </c>
    </row>
    <row r="1904" spans="1:6" x14ac:dyDescent="0.3">
      <c r="A1904" t="s">
        <v>548</v>
      </c>
      <c r="B1904" t="s">
        <v>140</v>
      </c>
      <c r="C1904" t="str">
        <f>HYPERLINK("http://service.sap.com/sap/support/notes/1992992","1992992")</f>
        <v>1992992</v>
      </c>
      <c r="D1904">
        <v>1</v>
      </c>
      <c r="E1904" t="s">
        <v>2950</v>
      </c>
      <c r="F1904" t="s">
        <v>28</v>
      </c>
    </row>
    <row r="1905" spans="1:6" x14ac:dyDescent="0.3">
      <c r="A1905" t="s">
        <v>548</v>
      </c>
      <c r="B1905" t="s">
        <v>140</v>
      </c>
      <c r="C1905" t="str">
        <f>HYPERLINK("http://service.sap.com/sap/support/notes/1977828","1977828")</f>
        <v>1977828</v>
      </c>
      <c r="D1905">
        <v>1</v>
      </c>
      <c r="E1905" t="s">
        <v>3608</v>
      </c>
      <c r="F1905" t="s">
        <v>28</v>
      </c>
    </row>
    <row r="1906" spans="1:6" x14ac:dyDescent="0.3">
      <c r="A1906" t="s">
        <v>548</v>
      </c>
      <c r="B1906" t="s">
        <v>140</v>
      </c>
      <c r="C1906" t="str">
        <f>HYPERLINK("http://service.sap.com/sap/support/notes/1996125","1996125")</f>
        <v>1996125</v>
      </c>
      <c r="D1906">
        <v>1</v>
      </c>
      <c r="E1906" t="s">
        <v>3609</v>
      </c>
      <c r="F1906" t="s">
        <v>9</v>
      </c>
    </row>
    <row r="1907" spans="1:6" x14ac:dyDescent="0.3">
      <c r="A1907" t="s">
        <v>548</v>
      </c>
      <c r="B1907" t="s">
        <v>140</v>
      </c>
      <c r="C1907" t="str">
        <f>HYPERLINK("http://service.sap.com/sap/support/notes/2000510","2000510")</f>
        <v>2000510</v>
      </c>
      <c r="D1907">
        <v>2</v>
      </c>
      <c r="E1907" t="s">
        <v>3610</v>
      </c>
      <c r="F1907" t="s">
        <v>9</v>
      </c>
    </row>
    <row r="1908" spans="1:6" x14ac:dyDescent="0.3">
      <c r="A1908" t="s">
        <v>548</v>
      </c>
      <c r="B1908" t="s">
        <v>140</v>
      </c>
      <c r="C1908" t="str">
        <f>HYPERLINK("http://service.sap.com/sap/support/notes/2000524","2000524")</f>
        <v>2000524</v>
      </c>
      <c r="D1908">
        <v>1</v>
      </c>
      <c r="E1908" t="s">
        <v>3611</v>
      </c>
      <c r="F1908" t="s">
        <v>9</v>
      </c>
    </row>
    <row r="1909" spans="1:6" x14ac:dyDescent="0.3">
      <c r="A1909" t="s">
        <v>548</v>
      </c>
      <c r="B1909" t="s">
        <v>140</v>
      </c>
      <c r="C1909" t="str">
        <f>HYPERLINK("http://service.sap.com/sap/support/notes/2006799","2006799")</f>
        <v>2006799</v>
      </c>
      <c r="D1909">
        <v>2</v>
      </c>
      <c r="E1909" t="s">
        <v>3612</v>
      </c>
      <c r="F1909" t="s">
        <v>9</v>
      </c>
    </row>
    <row r="1910" spans="1:6" x14ac:dyDescent="0.3">
      <c r="A1910" t="s">
        <v>548</v>
      </c>
      <c r="B1910" t="s">
        <v>140</v>
      </c>
      <c r="C1910" t="str">
        <f>HYPERLINK("http://service.sap.com/sap/support/notes/2007549","2007549")</f>
        <v>2007549</v>
      </c>
      <c r="D1910">
        <v>1</v>
      </c>
      <c r="E1910" t="s">
        <v>3613</v>
      </c>
      <c r="F1910" t="s">
        <v>9</v>
      </c>
    </row>
    <row r="1911" spans="1:6" x14ac:dyDescent="0.3">
      <c r="A1911" t="s">
        <v>548</v>
      </c>
      <c r="B1911" t="s">
        <v>140</v>
      </c>
      <c r="C1911" t="str">
        <f>HYPERLINK("http://service.sap.com/sap/support/notes/2008379","2008379")</f>
        <v>2008379</v>
      </c>
      <c r="D1911">
        <v>1</v>
      </c>
      <c r="E1911" t="s">
        <v>3614</v>
      </c>
      <c r="F1911" t="s">
        <v>9</v>
      </c>
    </row>
    <row r="1912" spans="1:6" x14ac:dyDescent="0.3">
      <c r="A1912" t="s">
        <v>548</v>
      </c>
      <c r="B1912" t="s">
        <v>140</v>
      </c>
      <c r="C1912" t="str">
        <f>HYPERLINK("http://service.sap.com/sap/support/notes/2005082","2005082")</f>
        <v>2005082</v>
      </c>
      <c r="D1912">
        <v>1</v>
      </c>
      <c r="E1912" t="s">
        <v>4129</v>
      </c>
      <c r="F1912" t="s">
        <v>9</v>
      </c>
    </row>
    <row r="1913" spans="1:6" x14ac:dyDescent="0.3">
      <c r="A1913" t="s">
        <v>548</v>
      </c>
      <c r="B1913" t="s">
        <v>140</v>
      </c>
      <c r="C1913" t="str">
        <f>HYPERLINK("http://service.sap.com/sap/support/notes/2006832","2006832")</f>
        <v>2006832</v>
      </c>
      <c r="D1913">
        <v>2</v>
      </c>
      <c r="E1913" t="s">
        <v>4130</v>
      </c>
      <c r="F1913" t="s">
        <v>9</v>
      </c>
    </row>
    <row r="1914" spans="1:6" x14ac:dyDescent="0.3">
      <c r="A1914" t="s">
        <v>548</v>
      </c>
      <c r="B1914" t="s">
        <v>140</v>
      </c>
      <c r="C1914" t="str">
        <f>HYPERLINK("http://service.sap.com/sap/support/notes/2007738","2007738")</f>
        <v>2007738</v>
      </c>
      <c r="D1914">
        <v>1</v>
      </c>
      <c r="E1914" t="s">
        <v>4131</v>
      </c>
      <c r="F1914" t="s">
        <v>9</v>
      </c>
    </row>
    <row r="1915" spans="1:6" x14ac:dyDescent="0.3">
      <c r="A1915" t="s">
        <v>548</v>
      </c>
      <c r="B1915" t="s">
        <v>140</v>
      </c>
      <c r="C1915" t="str">
        <f>HYPERLINK("http://service.sap.com/sap/support/notes/2011450","2011450")</f>
        <v>2011450</v>
      </c>
      <c r="D1915">
        <v>1</v>
      </c>
      <c r="E1915" t="s">
        <v>4132</v>
      </c>
      <c r="F1915" t="s">
        <v>9</v>
      </c>
    </row>
    <row r="1916" spans="1:6" x14ac:dyDescent="0.3">
      <c r="A1916" t="s">
        <v>548</v>
      </c>
      <c r="B1916" t="s">
        <v>140</v>
      </c>
      <c r="C1916" t="str">
        <f>HYPERLINK("http://service.sap.com/sap/support/notes/2016187","2016187")</f>
        <v>2016187</v>
      </c>
      <c r="D1916">
        <v>1</v>
      </c>
      <c r="E1916" t="s">
        <v>4133</v>
      </c>
      <c r="F1916" t="s">
        <v>9</v>
      </c>
    </row>
    <row r="1917" spans="1:6" x14ac:dyDescent="0.3">
      <c r="A1917" t="s">
        <v>548</v>
      </c>
      <c r="B1917" t="s">
        <v>140</v>
      </c>
      <c r="C1917" t="str">
        <f>HYPERLINK("http://service.sap.com/sap/support/notes/2019299","2019299")</f>
        <v>2019299</v>
      </c>
      <c r="D1917">
        <v>1</v>
      </c>
      <c r="E1917" t="s">
        <v>4134</v>
      </c>
      <c r="F1917" t="s">
        <v>9</v>
      </c>
    </row>
    <row r="1918" spans="1:6" x14ac:dyDescent="0.3">
      <c r="A1918" t="s">
        <v>548</v>
      </c>
      <c r="B1918" t="s">
        <v>140</v>
      </c>
      <c r="C1918" t="str">
        <f>HYPERLINK("http://service.sap.com/sap/support/notes/2020703","2020703")</f>
        <v>2020703</v>
      </c>
      <c r="D1918">
        <v>1</v>
      </c>
      <c r="E1918" t="s">
        <v>4478</v>
      </c>
      <c r="F1918" t="s">
        <v>9</v>
      </c>
    </row>
    <row r="1919" spans="1:6" x14ac:dyDescent="0.3">
      <c r="A1919" t="s">
        <v>548</v>
      </c>
      <c r="B1919" t="s">
        <v>140</v>
      </c>
      <c r="C1919" t="str">
        <f>HYPERLINK("http://service.sap.com/sap/support/notes/2029576","2029576")</f>
        <v>2029576</v>
      </c>
      <c r="D1919">
        <v>4</v>
      </c>
      <c r="E1919" t="s">
        <v>4479</v>
      </c>
      <c r="F1919" t="s">
        <v>9</v>
      </c>
    </row>
    <row r="1920" spans="1:6" x14ac:dyDescent="0.3">
      <c r="A1920" t="s">
        <v>548</v>
      </c>
      <c r="B1920" t="s">
        <v>140</v>
      </c>
      <c r="C1920" t="str">
        <f>HYPERLINK("http://service.sap.com/sap/support/notes/2031225","2031225")</f>
        <v>2031225</v>
      </c>
      <c r="D1920">
        <v>1</v>
      </c>
      <c r="E1920" t="s">
        <v>4783</v>
      </c>
      <c r="F1920" t="s">
        <v>9</v>
      </c>
    </row>
    <row r="1921" spans="1:6" x14ac:dyDescent="0.3">
      <c r="A1921" t="s">
        <v>548</v>
      </c>
      <c r="B1921" t="s">
        <v>140</v>
      </c>
      <c r="C1921" t="str">
        <f>HYPERLINK("http://service.sap.com/sap/support/notes/2038796","2038796")</f>
        <v>2038796</v>
      </c>
      <c r="D1921">
        <v>1</v>
      </c>
      <c r="E1921" t="s">
        <v>4784</v>
      </c>
      <c r="F1921" t="s">
        <v>28</v>
      </c>
    </row>
    <row r="1922" spans="1:6" x14ac:dyDescent="0.3">
      <c r="A1922" t="s">
        <v>548</v>
      </c>
      <c r="B1922" t="s">
        <v>140</v>
      </c>
      <c r="C1922" t="str">
        <f>HYPERLINK("http://service.sap.com/sap/support/notes/2046143","2046143")</f>
        <v>2046143</v>
      </c>
      <c r="D1922">
        <v>1</v>
      </c>
      <c r="E1922" t="s">
        <v>4785</v>
      </c>
      <c r="F1922" t="s">
        <v>9</v>
      </c>
    </row>
    <row r="1923" spans="1:6" x14ac:dyDescent="0.3">
      <c r="A1923" t="s">
        <v>548</v>
      </c>
      <c r="B1923" t="s">
        <v>140</v>
      </c>
      <c r="C1923" t="str">
        <f>HYPERLINK("http://service.sap.com/sap/support/notes/2049012","2049012")</f>
        <v>2049012</v>
      </c>
      <c r="D1923">
        <v>1</v>
      </c>
      <c r="E1923" t="s">
        <v>5161</v>
      </c>
      <c r="F1923" t="s">
        <v>9</v>
      </c>
    </row>
    <row r="1924" spans="1:6" x14ac:dyDescent="0.3">
      <c r="A1924" t="s">
        <v>548</v>
      </c>
      <c r="B1924" t="s">
        <v>140</v>
      </c>
      <c r="C1924" t="str">
        <f>HYPERLINK("http://service.sap.com/sap/support/notes/2049436","2049436")</f>
        <v>2049436</v>
      </c>
      <c r="D1924">
        <v>1</v>
      </c>
      <c r="E1924" t="s">
        <v>5162</v>
      </c>
      <c r="F1924" t="s">
        <v>28</v>
      </c>
    </row>
    <row r="1925" spans="1:6" x14ac:dyDescent="0.3">
      <c r="A1925" t="s">
        <v>548</v>
      </c>
      <c r="B1925" t="s">
        <v>140</v>
      </c>
      <c r="C1925" t="str">
        <f>HYPERLINK("http://service.sap.com/sap/support/notes/2049852","2049852")</f>
        <v>2049852</v>
      </c>
      <c r="D1925">
        <v>1</v>
      </c>
      <c r="E1925" t="s">
        <v>5163</v>
      </c>
      <c r="F1925" t="s">
        <v>9</v>
      </c>
    </row>
    <row r="1926" spans="1:6" x14ac:dyDescent="0.3">
      <c r="A1926" t="s">
        <v>548</v>
      </c>
      <c r="B1926" t="s">
        <v>140</v>
      </c>
      <c r="C1926" t="str">
        <f>HYPERLINK("http://service.sap.com/sap/support/notes/2058084","2058084")</f>
        <v>2058084</v>
      </c>
      <c r="D1926">
        <v>1</v>
      </c>
      <c r="E1926" t="s">
        <v>5506</v>
      </c>
      <c r="F1926" t="s">
        <v>9</v>
      </c>
    </row>
    <row r="1927" spans="1:6" x14ac:dyDescent="0.3">
      <c r="A1927" t="s">
        <v>548</v>
      </c>
      <c r="B1927" t="s">
        <v>140</v>
      </c>
      <c r="C1927" t="str">
        <f>HYPERLINK("http://service.sap.com/sap/support/notes/2058601","2058601")</f>
        <v>2058601</v>
      </c>
      <c r="D1927">
        <v>1</v>
      </c>
      <c r="E1927" t="s">
        <v>5507</v>
      </c>
      <c r="F1927" t="s">
        <v>9</v>
      </c>
    </row>
    <row r="1928" spans="1:6" x14ac:dyDescent="0.3">
      <c r="A1928" t="s">
        <v>555</v>
      </c>
      <c r="B1928" t="s">
        <v>144</v>
      </c>
      <c r="C1928" t="str">
        <f>HYPERLINK("http://service.sap.com/sap/support/notes/1919172","1919172")</f>
        <v>1919172</v>
      </c>
      <c r="D1928">
        <v>2</v>
      </c>
      <c r="E1928" t="s">
        <v>556</v>
      </c>
      <c r="F1928" t="s">
        <v>9</v>
      </c>
    </row>
    <row r="1929" spans="1:6" x14ac:dyDescent="0.3">
      <c r="A1929" t="s">
        <v>555</v>
      </c>
      <c r="B1929" t="s">
        <v>144</v>
      </c>
      <c r="C1929" t="str">
        <f>HYPERLINK("http://service.sap.com/sap/support/notes/1947998","1947998")</f>
        <v>1947998</v>
      </c>
      <c r="D1929">
        <v>3</v>
      </c>
      <c r="E1929" t="s">
        <v>1416</v>
      </c>
      <c r="F1929" t="s">
        <v>9</v>
      </c>
    </row>
    <row r="1930" spans="1:6" x14ac:dyDescent="0.3">
      <c r="A1930" t="s">
        <v>555</v>
      </c>
      <c r="B1930" t="s">
        <v>144</v>
      </c>
      <c r="C1930" t="str">
        <f>HYPERLINK("http://service.sap.com/sap/support/notes/1944556","1944556")</f>
        <v>1944556</v>
      </c>
      <c r="D1930">
        <v>2</v>
      </c>
      <c r="E1930" t="s">
        <v>2510</v>
      </c>
      <c r="F1930" t="s">
        <v>9</v>
      </c>
    </row>
    <row r="1931" spans="1:6" x14ac:dyDescent="0.3">
      <c r="A1931" t="s">
        <v>555</v>
      </c>
      <c r="B1931" t="s">
        <v>144</v>
      </c>
      <c r="C1931" t="str">
        <f>HYPERLINK("http://service.sap.com/sap/support/notes/1947341","1947341")</f>
        <v>1947341</v>
      </c>
      <c r="D1931">
        <v>3</v>
      </c>
      <c r="E1931" t="s">
        <v>2511</v>
      </c>
      <c r="F1931" t="s">
        <v>9</v>
      </c>
    </row>
    <row r="1932" spans="1:6" x14ac:dyDescent="0.3">
      <c r="A1932" t="s">
        <v>555</v>
      </c>
      <c r="B1932" t="s">
        <v>144</v>
      </c>
      <c r="C1932" t="str">
        <f>HYPERLINK("http://service.sap.com/sap/support/notes/1982426","1982426")</f>
        <v>1982426</v>
      </c>
      <c r="D1932">
        <v>1</v>
      </c>
      <c r="E1932" t="s">
        <v>2512</v>
      </c>
      <c r="F1932" t="s">
        <v>9</v>
      </c>
    </row>
    <row r="1933" spans="1:6" x14ac:dyDescent="0.3">
      <c r="A1933" t="s">
        <v>555</v>
      </c>
      <c r="B1933" t="s">
        <v>144</v>
      </c>
      <c r="C1933" t="str">
        <f>HYPERLINK("http://service.sap.com/sap/support/notes/1982426","1982426")</f>
        <v>1982426</v>
      </c>
      <c r="D1933">
        <v>1</v>
      </c>
      <c r="E1933" t="s">
        <v>2951</v>
      </c>
      <c r="F1933" t="s">
        <v>9</v>
      </c>
    </row>
    <row r="1934" spans="1:6" x14ac:dyDescent="0.3">
      <c r="A1934" t="s">
        <v>555</v>
      </c>
      <c r="B1934" t="s">
        <v>144</v>
      </c>
      <c r="C1934" t="str">
        <f>HYPERLINK("http://service.sap.com/sap/support/notes/1987492","1987492")</f>
        <v>1987492</v>
      </c>
      <c r="D1934">
        <v>1</v>
      </c>
      <c r="E1934" t="s">
        <v>2952</v>
      </c>
      <c r="F1934" t="s">
        <v>9</v>
      </c>
    </row>
    <row r="1935" spans="1:6" x14ac:dyDescent="0.3">
      <c r="A1935" t="s">
        <v>555</v>
      </c>
      <c r="B1935" t="s">
        <v>144</v>
      </c>
      <c r="C1935" t="str">
        <f>HYPERLINK("http://service.sap.com/sap/support/notes/1947971","1947971")</f>
        <v>1947971</v>
      </c>
      <c r="D1935">
        <v>3</v>
      </c>
      <c r="E1935" t="s">
        <v>3615</v>
      </c>
      <c r="F1935" t="s">
        <v>9</v>
      </c>
    </row>
    <row r="1936" spans="1:6" x14ac:dyDescent="0.3">
      <c r="A1936" t="s">
        <v>555</v>
      </c>
      <c r="B1936" t="s">
        <v>144</v>
      </c>
      <c r="C1936" t="str">
        <f>HYPERLINK("http://service.sap.com/sap/support/notes/1952653","1952653")</f>
        <v>1952653</v>
      </c>
      <c r="D1936">
        <v>2</v>
      </c>
      <c r="E1936" t="s">
        <v>3616</v>
      </c>
      <c r="F1936" t="s">
        <v>9</v>
      </c>
    </row>
    <row r="1937" spans="1:6" x14ac:dyDescent="0.3">
      <c r="A1937" t="s">
        <v>555</v>
      </c>
      <c r="B1937" t="s">
        <v>144</v>
      </c>
      <c r="C1937" t="str">
        <f>HYPERLINK("http://service.sap.com/sap/support/notes/1990092","1990092")</f>
        <v>1990092</v>
      </c>
      <c r="D1937">
        <v>1</v>
      </c>
      <c r="E1937" t="s">
        <v>3617</v>
      </c>
      <c r="F1937" t="s">
        <v>9</v>
      </c>
    </row>
    <row r="1938" spans="1:6" x14ac:dyDescent="0.3">
      <c r="A1938" t="s">
        <v>555</v>
      </c>
      <c r="B1938" t="s">
        <v>144</v>
      </c>
      <c r="C1938" t="str">
        <f>HYPERLINK("http://service.sap.com/sap/support/notes/2004760","2004760")</f>
        <v>2004760</v>
      </c>
      <c r="D1938">
        <v>1</v>
      </c>
      <c r="E1938" t="s">
        <v>3618</v>
      </c>
      <c r="F1938" t="s">
        <v>9</v>
      </c>
    </row>
    <row r="1939" spans="1:6" x14ac:dyDescent="0.3">
      <c r="A1939" t="s">
        <v>555</v>
      </c>
      <c r="B1939" t="s">
        <v>144</v>
      </c>
      <c r="C1939" t="str">
        <f>HYPERLINK("http://service.sap.com/sap/support/notes/2014315","2014315")</f>
        <v>2014315</v>
      </c>
      <c r="D1939">
        <v>1</v>
      </c>
      <c r="E1939" t="s">
        <v>4135</v>
      </c>
      <c r="F1939" t="s">
        <v>9</v>
      </c>
    </row>
    <row r="1940" spans="1:6" x14ac:dyDescent="0.3">
      <c r="A1940" t="s">
        <v>557</v>
      </c>
      <c r="B1940" t="s">
        <v>558</v>
      </c>
      <c r="C1940" t="str">
        <f>HYPERLINK("http://service.sap.com/sap/support/notes/1925712","1925712")</f>
        <v>1925712</v>
      </c>
      <c r="D1940">
        <v>3</v>
      </c>
      <c r="E1940" t="s">
        <v>559</v>
      </c>
      <c r="F1940" t="s">
        <v>9</v>
      </c>
    </row>
    <row r="1941" spans="1:6" x14ac:dyDescent="0.3">
      <c r="A1941" t="s">
        <v>557</v>
      </c>
      <c r="B1941" t="s">
        <v>1218</v>
      </c>
      <c r="C1941" t="str">
        <f>HYPERLINK("http://service.sap.com/sap/support/notes/1930290","1930290")</f>
        <v>1930290</v>
      </c>
      <c r="D1941">
        <v>6</v>
      </c>
      <c r="E1941" t="s">
        <v>1219</v>
      </c>
      <c r="F1941" t="s">
        <v>28</v>
      </c>
    </row>
    <row r="1942" spans="1:6" x14ac:dyDescent="0.3">
      <c r="A1942" t="s">
        <v>557</v>
      </c>
      <c r="B1942" t="s">
        <v>1218</v>
      </c>
      <c r="C1942" t="str">
        <f>HYPERLINK("http://service.sap.com/sap/support/notes/1934453","1934453")</f>
        <v>1934453</v>
      </c>
      <c r="D1942">
        <v>2</v>
      </c>
      <c r="E1942" t="s">
        <v>1220</v>
      </c>
      <c r="F1942" t="s">
        <v>9</v>
      </c>
    </row>
    <row r="1943" spans="1:6" x14ac:dyDescent="0.3">
      <c r="A1943" t="s">
        <v>557</v>
      </c>
      <c r="B1943" t="s">
        <v>1218</v>
      </c>
      <c r="C1943" t="str">
        <f>HYPERLINK("http://service.sap.com/sap/support/notes/1936586","1936586")</f>
        <v>1936586</v>
      </c>
      <c r="D1943">
        <v>1</v>
      </c>
      <c r="E1943" t="s">
        <v>1221</v>
      </c>
      <c r="F1943" t="s">
        <v>9</v>
      </c>
    </row>
    <row r="1944" spans="1:6" x14ac:dyDescent="0.3">
      <c r="A1944" t="s">
        <v>557</v>
      </c>
      <c r="B1944" t="s">
        <v>1218</v>
      </c>
      <c r="C1944" t="str">
        <f>HYPERLINK("http://service.sap.com/sap/support/notes/1943292","1943292")</f>
        <v>1943292</v>
      </c>
      <c r="D1944">
        <v>3</v>
      </c>
      <c r="E1944" t="s">
        <v>1417</v>
      </c>
      <c r="F1944" t="s">
        <v>28</v>
      </c>
    </row>
    <row r="1945" spans="1:6" x14ac:dyDescent="0.3">
      <c r="A1945" t="s">
        <v>557</v>
      </c>
      <c r="B1945" t="s">
        <v>558</v>
      </c>
      <c r="C1945" t="str">
        <f>HYPERLINK("http://service.sap.com/sap/support/notes/1949147","1949147")</f>
        <v>1949147</v>
      </c>
      <c r="D1945">
        <v>3</v>
      </c>
      <c r="E1945" t="s">
        <v>1658</v>
      </c>
      <c r="F1945" t="s">
        <v>16</v>
      </c>
    </row>
    <row r="1946" spans="1:6" x14ac:dyDescent="0.3">
      <c r="A1946" t="s">
        <v>557</v>
      </c>
      <c r="B1946" t="s">
        <v>558</v>
      </c>
      <c r="C1946" t="str">
        <f>HYPERLINK("http://service.sap.com/sap/support/notes/1954284","1954284")</f>
        <v>1954284</v>
      </c>
      <c r="D1946">
        <v>1</v>
      </c>
      <c r="E1946" t="s">
        <v>1659</v>
      </c>
      <c r="F1946" t="s">
        <v>9</v>
      </c>
    </row>
    <row r="1947" spans="1:6" x14ac:dyDescent="0.3">
      <c r="A1947" t="s">
        <v>557</v>
      </c>
      <c r="B1947" t="s">
        <v>558</v>
      </c>
      <c r="C1947" t="str">
        <f>HYPERLINK("http://service.sap.com/sap/support/notes/1958737","1958737")</f>
        <v>1958737</v>
      </c>
      <c r="D1947">
        <v>1</v>
      </c>
      <c r="E1947" t="s">
        <v>1660</v>
      </c>
      <c r="F1947" t="s">
        <v>9</v>
      </c>
    </row>
    <row r="1948" spans="1:6" x14ac:dyDescent="0.3">
      <c r="A1948" t="s">
        <v>557</v>
      </c>
      <c r="B1948" t="s">
        <v>1218</v>
      </c>
      <c r="C1948" t="str">
        <f>HYPERLINK("http://service.sap.com/sap/support/notes/1967769","1967769")</f>
        <v>1967769</v>
      </c>
      <c r="D1948">
        <v>3</v>
      </c>
      <c r="E1948" t="s">
        <v>2148</v>
      </c>
      <c r="F1948" t="s">
        <v>9</v>
      </c>
    </row>
    <row r="1949" spans="1:6" x14ac:dyDescent="0.3">
      <c r="A1949" t="s">
        <v>557</v>
      </c>
      <c r="B1949" t="s">
        <v>1218</v>
      </c>
      <c r="C1949" t="str">
        <f>HYPERLINK("http://service.sap.com/sap/support/notes/1968532","1968532")</f>
        <v>1968532</v>
      </c>
      <c r="D1949">
        <v>3</v>
      </c>
      <c r="E1949" t="s">
        <v>2149</v>
      </c>
      <c r="F1949" t="s">
        <v>9</v>
      </c>
    </row>
    <row r="1950" spans="1:6" x14ac:dyDescent="0.3">
      <c r="A1950" t="s">
        <v>557</v>
      </c>
      <c r="B1950" t="s">
        <v>1218</v>
      </c>
      <c r="C1950" t="str">
        <f>HYPERLINK("http://service.sap.com/sap/support/notes/1970145","1970145")</f>
        <v>1970145</v>
      </c>
      <c r="D1950">
        <v>1</v>
      </c>
      <c r="E1950" t="s">
        <v>2513</v>
      </c>
      <c r="F1950" t="s">
        <v>9</v>
      </c>
    </row>
    <row r="1951" spans="1:6" x14ac:dyDescent="0.3">
      <c r="A1951" t="s">
        <v>557</v>
      </c>
      <c r="B1951" t="s">
        <v>558</v>
      </c>
      <c r="C1951" t="str">
        <f>HYPERLINK("http://service.sap.com/sap/support/notes/1982955","1982955")</f>
        <v>1982955</v>
      </c>
      <c r="D1951">
        <v>2</v>
      </c>
      <c r="E1951" t="s">
        <v>2953</v>
      </c>
      <c r="F1951" t="s">
        <v>9</v>
      </c>
    </row>
    <row r="1952" spans="1:6" x14ac:dyDescent="0.3">
      <c r="A1952" t="s">
        <v>557</v>
      </c>
      <c r="B1952" t="s">
        <v>558</v>
      </c>
      <c r="C1952" t="str">
        <f>HYPERLINK("http://service.sap.com/sap/support/notes/1974403","1974403")</f>
        <v>1974403</v>
      </c>
      <c r="D1952">
        <v>5</v>
      </c>
      <c r="E1952" t="s">
        <v>3619</v>
      </c>
      <c r="F1952" t="s">
        <v>9</v>
      </c>
    </row>
    <row r="1953" spans="1:6" x14ac:dyDescent="0.3">
      <c r="A1953" t="s">
        <v>557</v>
      </c>
      <c r="B1953" t="s">
        <v>558</v>
      </c>
      <c r="C1953" t="str">
        <f>HYPERLINK("http://service.sap.com/sap/support/notes/1998731","1998731")</f>
        <v>1998731</v>
      </c>
      <c r="D1953">
        <v>2</v>
      </c>
      <c r="E1953" t="s">
        <v>3620</v>
      </c>
      <c r="F1953" t="s">
        <v>9</v>
      </c>
    </row>
    <row r="1954" spans="1:6" x14ac:dyDescent="0.3">
      <c r="A1954" t="s">
        <v>557</v>
      </c>
      <c r="B1954" t="s">
        <v>558</v>
      </c>
      <c r="C1954" t="str">
        <f>HYPERLINK("http://service.sap.com/sap/support/notes/2001216","2001216")</f>
        <v>2001216</v>
      </c>
      <c r="D1954">
        <v>3</v>
      </c>
      <c r="E1954" t="s">
        <v>3621</v>
      </c>
      <c r="F1954" t="s">
        <v>9</v>
      </c>
    </row>
    <row r="1955" spans="1:6" x14ac:dyDescent="0.3">
      <c r="A1955" t="s">
        <v>557</v>
      </c>
      <c r="B1955" t="s">
        <v>1218</v>
      </c>
      <c r="C1955" t="str">
        <f>HYPERLINK("http://service.sap.com/sap/support/notes/2018937","2018937")</f>
        <v>2018937</v>
      </c>
      <c r="D1955">
        <v>2</v>
      </c>
      <c r="E1955" t="s">
        <v>4136</v>
      </c>
      <c r="F1955" t="s">
        <v>16</v>
      </c>
    </row>
    <row r="1956" spans="1:6" x14ac:dyDescent="0.3">
      <c r="A1956" t="s">
        <v>557</v>
      </c>
      <c r="B1956" t="s">
        <v>1218</v>
      </c>
      <c r="C1956" t="str">
        <f>HYPERLINK("http://service.sap.com/sap/support/notes/1981825","1981825")</f>
        <v>1981825</v>
      </c>
      <c r="D1956">
        <v>1</v>
      </c>
      <c r="E1956" t="s">
        <v>4786</v>
      </c>
      <c r="F1956" t="s">
        <v>9</v>
      </c>
    </row>
    <row r="1957" spans="1:6" x14ac:dyDescent="0.3">
      <c r="A1957" t="s">
        <v>557</v>
      </c>
      <c r="B1957" t="s">
        <v>1218</v>
      </c>
      <c r="C1957" t="str">
        <f>HYPERLINK("http://service.sap.com/sap/support/notes/2036330","2036330")</f>
        <v>2036330</v>
      </c>
      <c r="D1957">
        <v>10</v>
      </c>
      <c r="E1957" t="s">
        <v>4787</v>
      </c>
      <c r="F1957" t="s">
        <v>9</v>
      </c>
    </row>
    <row r="1958" spans="1:6" x14ac:dyDescent="0.3">
      <c r="A1958" t="s">
        <v>557</v>
      </c>
      <c r="B1958" t="s">
        <v>1218</v>
      </c>
      <c r="C1958" t="str">
        <f>HYPERLINK("http://service.sap.com/sap/support/notes/2036488","2036488")</f>
        <v>2036488</v>
      </c>
      <c r="D1958">
        <v>2</v>
      </c>
      <c r="E1958" t="s">
        <v>4788</v>
      </c>
      <c r="F1958" t="s">
        <v>9</v>
      </c>
    </row>
    <row r="1959" spans="1:6" x14ac:dyDescent="0.3">
      <c r="A1959" t="s">
        <v>557</v>
      </c>
      <c r="B1959" t="s">
        <v>1218</v>
      </c>
      <c r="C1959" t="str">
        <f>HYPERLINK("http://service.sap.com/sap/support/notes/2049898","2049898")</f>
        <v>2049898</v>
      </c>
      <c r="D1959">
        <v>10</v>
      </c>
      <c r="E1959" t="s">
        <v>5164</v>
      </c>
      <c r="F1959" t="s">
        <v>9</v>
      </c>
    </row>
    <row r="1960" spans="1:6" x14ac:dyDescent="0.3">
      <c r="A1960" t="s">
        <v>557</v>
      </c>
      <c r="B1960" t="s">
        <v>1218</v>
      </c>
      <c r="C1960" t="str">
        <f>HYPERLINK("http://service.sap.com/sap/support/notes/2058149","2058149")</f>
        <v>2058149</v>
      </c>
      <c r="D1960">
        <v>2</v>
      </c>
      <c r="E1960" t="s">
        <v>5508</v>
      </c>
      <c r="F1960" t="s">
        <v>9</v>
      </c>
    </row>
    <row r="1961" spans="1:6" x14ac:dyDescent="0.3">
      <c r="A1961" t="s">
        <v>557</v>
      </c>
      <c r="B1961" t="s">
        <v>1218</v>
      </c>
      <c r="C1961" t="str">
        <f>HYPERLINK("http://service.sap.com/sap/support/notes/2064201","2064201")</f>
        <v>2064201</v>
      </c>
      <c r="D1961">
        <v>1</v>
      </c>
      <c r="E1961" t="s">
        <v>5509</v>
      </c>
      <c r="F1961" t="s">
        <v>9</v>
      </c>
    </row>
    <row r="1962" spans="1:6" x14ac:dyDescent="0.3">
      <c r="A1962" t="s">
        <v>557</v>
      </c>
      <c r="B1962" t="s">
        <v>1218</v>
      </c>
      <c r="C1962" t="str">
        <f>HYPERLINK("http://service.sap.com/sap/support/notes/2066311","2066311")</f>
        <v>2066311</v>
      </c>
      <c r="D1962">
        <v>1</v>
      </c>
      <c r="E1962" t="s">
        <v>5510</v>
      </c>
      <c r="F1962" t="s">
        <v>9</v>
      </c>
    </row>
    <row r="1963" spans="1:6" x14ac:dyDescent="0.3">
      <c r="A1963" t="s">
        <v>560</v>
      </c>
      <c r="B1963" t="s">
        <v>561</v>
      </c>
      <c r="C1963" t="str">
        <f>HYPERLINK("http://service.sap.com/sap/support/notes/1908765","1908765")</f>
        <v>1908765</v>
      </c>
      <c r="D1963">
        <v>1</v>
      </c>
      <c r="E1963" t="s">
        <v>562</v>
      </c>
      <c r="F1963" t="s">
        <v>9</v>
      </c>
    </row>
    <row r="1964" spans="1:6" x14ac:dyDescent="0.3">
      <c r="A1964" t="s">
        <v>560</v>
      </c>
      <c r="B1964" t="s">
        <v>561</v>
      </c>
      <c r="C1964" t="str">
        <f>HYPERLINK("http://service.sap.com/sap/support/notes/1910005","1910005")</f>
        <v>1910005</v>
      </c>
      <c r="D1964">
        <v>2</v>
      </c>
      <c r="E1964" t="s">
        <v>563</v>
      </c>
      <c r="F1964" t="s">
        <v>28</v>
      </c>
    </row>
    <row r="1965" spans="1:6" x14ac:dyDescent="0.3">
      <c r="A1965" t="s">
        <v>560</v>
      </c>
      <c r="B1965" t="s">
        <v>561</v>
      </c>
      <c r="C1965" t="str">
        <f>HYPERLINK("http://service.sap.com/sap/support/notes/1918849","1918849")</f>
        <v>1918849</v>
      </c>
      <c r="D1965">
        <v>5</v>
      </c>
      <c r="E1965" t="s">
        <v>564</v>
      </c>
      <c r="F1965" t="s">
        <v>9</v>
      </c>
    </row>
    <row r="1966" spans="1:6" x14ac:dyDescent="0.3">
      <c r="A1966" t="s">
        <v>560</v>
      </c>
      <c r="B1966" t="s">
        <v>561</v>
      </c>
      <c r="C1966" t="str">
        <f>HYPERLINK("http://service.sap.com/sap/support/notes/1920836","1920836")</f>
        <v>1920836</v>
      </c>
      <c r="D1966">
        <v>2</v>
      </c>
      <c r="E1966" t="s">
        <v>565</v>
      </c>
      <c r="F1966" t="s">
        <v>16</v>
      </c>
    </row>
    <row r="1967" spans="1:6" x14ac:dyDescent="0.3">
      <c r="A1967" t="s">
        <v>560</v>
      </c>
      <c r="B1967" t="s">
        <v>561</v>
      </c>
      <c r="C1967" t="str">
        <f>HYPERLINK("http://service.sap.com/sap/support/notes/1928370","1928370")</f>
        <v>1928370</v>
      </c>
      <c r="D1967">
        <v>2</v>
      </c>
      <c r="E1967" t="s">
        <v>566</v>
      </c>
      <c r="F1967" t="s">
        <v>9</v>
      </c>
    </row>
    <row r="1968" spans="1:6" x14ac:dyDescent="0.3">
      <c r="A1968" t="s">
        <v>560</v>
      </c>
      <c r="B1968" t="s">
        <v>1222</v>
      </c>
      <c r="C1968" t="str">
        <f>HYPERLINK("http://service.sap.com/sap/support/notes/1932168","1932168")</f>
        <v>1932168</v>
      </c>
      <c r="D1968">
        <v>3</v>
      </c>
      <c r="E1968" t="s">
        <v>1223</v>
      </c>
      <c r="F1968" t="s">
        <v>9</v>
      </c>
    </row>
    <row r="1969" spans="1:6" x14ac:dyDescent="0.3">
      <c r="A1969" t="s">
        <v>560</v>
      </c>
      <c r="B1969" t="s">
        <v>1222</v>
      </c>
      <c r="C1969" t="str">
        <f>HYPERLINK("http://service.sap.com/sap/support/notes/1937636","1937636")</f>
        <v>1937636</v>
      </c>
      <c r="D1969">
        <v>2</v>
      </c>
      <c r="E1969" t="s">
        <v>1224</v>
      </c>
      <c r="F1969" t="s">
        <v>9</v>
      </c>
    </row>
    <row r="1970" spans="1:6" x14ac:dyDescent="0.3">
      <c r="A1970" t="s">
        <v>560</v>
      </c>
      <c r="B1970" t="s">
        <v>561</v>
      </c>
      <c r="C1970" t="str">
        <f>HYPERLINK("http://service.sap.com/sap/support/notes/1942158","1942158")</f>
        <v>1942158</v>
      </c>
      <c r="D1970">
        <v>1</v>
      </c>
      <c r="E1970" t="s">
        <v>1661</v>
      </c>
      <c r="F1970" t="s">
        <v>9</v>
      </c>
    </row>
    <row r="1971" spans="1:6" x14ac:dyDescent="0.3">
      <c r="A1971" t="s">
        <v>560</v>
      </c>
      <c r="B1971" t="s">
        <v>561</v>
      </c>
      <c r="C1971" t="str">
        <f>HYPERLINK("http://service.sap.com/sap/support/notes/1946069","1946069")</f>
        <v>1946069</v>
      </c>
      <c r="D1971">
        <v>2</v>
      </c>
      <c r="E1971" t="s">
        <v>1662</v>
      </c>
      <c r="F1971" t="s">
        <v>28</v>
      </c>
    </row>
    <row r="1972" spans="1:6" x14ac:dyDescent="0.3">
      <c r="A1972" t="s">
        <v>560</v>
      </c>
      <c r="B1972" t="s">
        <v>561</v>
      </c>
      <c r="C1972" t="str">
        <f>HYPERLINK("http://service.sap.com/sap/support/notes/1949976","1949976")</f>
        <v>1949976</v>
      </c>
      <c r="D1972">
        <v>3</v>
      </c>
      <c r="E1972" t="s">
        <v>1663</v>
      </c>
      <c r="F1972" t="s">
        <v>16</v>
      </c>
    </row>
    <row r="1973" spans="1:6" x14ac:dyDescent="0.3">
      <c r="A1973" t="s">
        <v>560</v>
      </c>
      <c r="B1973" t="s">
        <v>1222</v>
      </c>
      <c r="C1973" t="str">
        <f>HYPERLINK("http://service.sap.com/sap/support/notes/1954163","1954163")</f>
        <v>1954163</v>
      </c>
      <c r="D1973">
        <v>2</v>
      </c>
      <c r="E1973" t="s">
        <v>2150</v>
      </c>
      <c r="F1973" t="s">
        <v>9</v>
      </c>
    </row>
    <row r="1974" spans="1:6" x14ac:dyDescent="0.3">
      <c r="A1974" t="s">
        <v>560</v>
      </c>
      <c r="B1974" t="s">
        <v>1222</v>
      </c>
      <c r="C1974" t="str">
        <f>HYPERLINK("http://service.sap.com/sap/support/notes/1962181","1962181")</f>
        <v>1962181</v>
      </c>
      <c r="D1974">
        <v>2</v>
      </c>
      <c r="E1974" t="s">
        <v>2151</v>
      </c>
      <c r="F1974" t="s">
        <v>9</v>
      </c>
    </row>
    <row r="1975" spans="1:6" x14ac:dyDescent="0.3">
      <c r="A1975" t="s">
        <v>560</v>
      </c>
      <c r="B1975" t="s">
        <v>1222</v>
      </c>
      <c r="C1975" t="str">
        <f>HYPERLINK("http://service.sap.com/sap/support/notes/1962215","1962215")</f>
        <v>1962215</v>
      </c>
      <c r="D1975">
        <v>2</v>
      </c>
      <c r="E1975" t="s">
        <v>2152</v>
      </c>
      <c r="F1975" t="s">
        <v>28</v>
      </c>
    </row>
    <row r="1976" spans="1:6" x14ac:dyDescent="0.3">
      <c r="A1976" t="s">
        <v>560</v>
      </c>
      <c r="B1976" t="s">
        <v>1222</v>
      </c>
      <c r="C1976" t="str">
        <f>HYPERLINK("http://service.sap.com/sap/support/notes/1965076","1965076")</f>
        <v>1965076</v>
      </c>
      <c r="D1976">
        <v>3</v>
      </c>
      <c r="E1976" t="s">
        <v>2153</v>
      </c>
      <c r="F1976" t="s">
        <v>28</v>
      </c>
    </row>
    <row r="1977" spans="1:6" x14ac:dyDescent="0.3">
      <c r="A1977" t="s">
        <v>560</v>
      </c>
      <c r="B1977" t="s">
        <v>1222</v>
      </c>
      <c r="C1977" t="str">
        <f>HYPERLINK("http://service.sap.com/sap/support/notes/1972560","1972560")</f>
        <v>1972560</v>
      </c>
      <c r="D1977">
        <v>2</v>
      </c>
      <c r="E1977" t="s">
        <v>2514</v>
      </c>
      <c r="F1977" t="s">
        <v>28</v>
      </c>
    </row>
    <row r="1978" spans="1:6" x14ac:dyDescent="0.3">
      <c r="A1978" t="s">
        <v>560</v>
      </c>
      <c r="B1978" t="s">
        <v>1222</v>
      </c>
      <c r="C1978" t="str">
        <f>HYPERLINK("http://service.sap.com/sap/support/notes/1973762","1973762")</f>
        <v>1973762</v>
      </c>
      <c r="D1978">
        <v>7</v>
      </c>
      <c r="E1978" t="s">
        <v>2515</v>
      </c>
      <c r="F1978" t="s">
        <v>28</v>
      </c>
    </row>
    <row r="1979" spans="1:6" x14ac:dyDescent="0.3">
      <c r="A1979" t="s">
        <v>560</v>
      </c>
      <c r="B1979" t="s">
        <v>1222</v>
      </c>
      <c r="C1979" t="str">
        <f>HYPERLINK("http://service.sap.com/sap/support/notes/1973986","1973986")</f>
        <v>1973986</v>
      </c>
      <c r="D1979">
        <v>1</v>
      </c>
      <c r="E1979" t="s">
        <v>2516</v>
      </c>
      <c r="F1979" t="s">
        <v>9</v>
      </c>
    </row>
    <row r="1980" spans="1:6" x14ac:dyDescent="0.3">
      <c r="A1980" t="s">
        <v>560</v>
      </c>
      <c r="B1980" t="s">
        <v>1222</v>
      </c>
      <c r="C1980" t="str">
        <f>HYPERLINK("http://service.sap.com/sap/support/notes/1978014","1978014")</f>
        <v>1978014</v>
      </c>
      <c r="D1980">
        <v>1</v>
      </c>
      <c r="E1980" t="s">
        <v>2517</v>
      </c>
      <c r="F1980" t="s">
        <v>9</v>
      </c>
    </row>
    <row r="1981" spans="1:6" x14ac:dyDescent="0.3">
      <c r="A1981" t="s">
        <v>560</v>
      </c>
      <c r="B1981" t="s">
        <v>561</v>
      </c>
      <c r="C1981" t="str">
        <f>HYPERLINK("http://service.sap.com/sap/support/notes/1969185","1969185")</f>
        <v>1969185</v>
      </c>
      <c r="D1981">
        <v>3</v>
      </c>
      <c r="E1981" t="s">
        <v>2954</v>
      </c>
      <c r="F1981" t="s">
        <v>9</v>
      </c>
    </row>
    <row r="1982" spans="1:6" x14ac:dyDescent="0.3">
      <c r="A1982" t="s">
        <v>560</v>
      </c>
      <c r="B1982" t="s">
        <v>561</v>
      </c>
      <c r="C1982" t="str">
        <f>HYPERLINK("http://service.sap.com/sap/support/notes/1983612","1983612")</f>
        <v>1983612</v>
      </c>
      <c r="D1982">
        <v>2</v>
      </c>
      <c r="E1982" t="s">
        <v>2955</v>
      </c>
      <c r="F1982" t="s">
        <v>9</v>
      </c>
    </row>
    <row r="1983" spans="1:6" x14ac:dyDescent="0.3">
      <c r="A1983" t="s">
        <v>560</v>
      </c>
      <c r="B1983" t="s">
        <v>561</v>
      </c>
      <c r="C1983" t="str">
        <f>HYPERLINK("http://service.sap.com/sap/support/notes/1989664","1989664")</f>
        <v>1989664</v>
      </c>
      <c r="D1983">
        <v>1</v>
      </c>
      <c r="E1983" t="s">
        <v>2956</v>
      </c>
      <c r="F1983" t="s">
        <v>28</v>
      </c>
    </row>
    <row r="1984" spans="1:6" x14ac:dyDescent="0.3">
      <c r="A1984" t="s">
        <v>560</v>
      </c>
      <c r="B1984" t="s">
        <v>561</v>
      </c>
      <c r="C1984" t="str">
        <f>HYPERLINK("http://service.sap.com/sap/support/notes/1990629","1990629")</f>
        <v>1990629</v>
      </c>
      <c r="D1984">
        <v>2</v>
      </c>
      <c r="E1984" t="s">
        <v>2957</v>
      </c>
      <c r="F1984" t="s">
        <v>16</v>
      </c>
    </row>
    <row r="1985" spans="1:6" x14ac:dyDescent="0.3">
      <c r="A1985" t="s">
        <v>560</v>
      </c>
      <c r="B1985" t="s">
        <v>561</v>
      </c>
      <c r="C1985" t="str">
        <f>HYPERLINK("http://service.sap.com/sap/support/notes/1991495","1991495")</f>
        <v>1991495</v>
      </c>
      <c r="D1985">
        <v>2</v>
      </c>
      <c r="E1985" t="s">
        <v>2958</v>
      </c>
      <c r="F1985" t="s">
        <v>28</v>
      </c>
    </row>
    <row r="1986" spans="1:6" x14ac:dyDescent="0.3">
      <c r="A1986" t="s">
        <v>560</v>
      </c>
      <c r="B1986" t="s">
        <v>1222</v>
      </c>
      <c r="C1986" t="str">
        <f>HYPERLINK("http://service.sap.com/sap/support/notes/1992668","1992668")</f>
        <v>1992668</v>
      </c>
      <c r="D1986">
        <v>2</v>
      </c>
      <c r="E1986" t="s">
        <v>4137</v>
      </c>
      <c r="F1986" t="s">
        <v>28</v>
      </c>
    </row>
    <row r="1987" spans="1:6" x14ac:dyDescent="0.3">
      <c r="A1987" t="s">
        <v>560</v>
      </c>
      <c r="B1987" t="s">
        <v>1222</v>
      </c>
      <c r="C1987" t="str">
        <f>HYPERLINK("http://service.sap.com/sap/support/notes/1994645","1994645")</f>
        <v>1994645</v>
      </c>
      <c r="D1987">
        <v>3</v>
      </c>
      <c r="E1987" t="s">
        <v>4138</v>
      </c>
      <c r="F1987" t="s">
        <v>28</v>
      </c>
    </row>
    <row r="1988" spans="1:6" x14ac:dyDescent="0.3">
      <c r="A1988" t="s">
        <v>560</v>
      </c>
      <c r="B1988" t="s">
        <v>1222</v>
      </c>
      <c r="C1988" t="str">
        <f>HYPERLINK("http://service.sap.com/sap/support/notes/1999572","1999572")</f>
        <v>1999572</v>
      </c>
      <c r="D1988">
        <v>2</v>
      </c>
      <c r="E1988" t="s">
        <v>4139</v>
      </c>
      <c r="F1988" t="s">
        <v>16</v>
      </c>
    </row>
    <row r="1989" spans="1:6" x14ac:dyDescent="0.3">
      <c r="A1989" t="s">
        <v>560</v>
      </c>
      <c r="B1989" t="s">
        <v>1222</v>
      </c>
      <c r="C1989" t="str">
        <f>HYPERLINK("http://service.sap.com/sap/support/notes/2010249","2010249")</f>
        <v>2010249</v>
      </c>
      <c r="D1989">
        <v>1</v>
      </c>
      <c r="E1989" t="s">
        <v>4140</v>
      </c>
      <c r="F1989" t="s">
        <v>9</v>
      </c>
    </row>
    <row r="1990" spans="1:6" x14ac:dyDescent="0.3">
      <c r="A1990" t="s">
        <v>560</v>
      </c>
      <c r="B1990" t="s">
        <v>1222</v>
      </c>
      <c r="C1990" t="str">
        <f>HYPERLINK("http://service.sap.com/sap/support/notes/2010904","2010904")</f>
        <v>2010904</v>
      </c>
      <c r="D1990">
        <v>2</v>
      </c>
      <c r="E1990" t="s">
        <v>4141</v>
      </c>
      <c r="F1990" t="s">
        <v>28</v>
      </c>
    </row>
    <row r="1991" spans="1:6" x14ac:dyDescent="0.3">
      <c r="A1991" t="s">
        <v>560</v>
      </c>
      <c r="B1991" t="s">
        <v>1222</v>
      </c>
      <c r="C1991" t="str">
        <f>HYPERLINK("http://service.sap.com/sap/support/notes/2010991","2010991")</f>
        <v>2010991</v>
      </c>
      <c r="D1991">
        <v>1</v>
      </c>
      <c r="E1991" t="s">
        <v>4142</v>
      </c>
      <c r="F1991" t="s">
        <v>9</v>
      </c>
    </row>
    <row r="1992" spans="1:6" x14ac:dyDescent="0.3">
      <c r="A1992" t="s">
        <v>560</v>
      </c>
      <c r="B1992" t="s">
        <v>1222</v>
      </c>
      <c r="C1992" t="str">
        <f>HYPERLINK("http://service.sap.com/sap/support/notes/2027789","2027789")</f>
        <v>2027789</v>
      </c>
      <c r="D1992">
        <v>2</v>
      </c>
      <c r="E1992" t="s">
        <v>4480</v>
      </c>
      <c r="F1992" t="s">
        <v>9</v>
      </c>
    </row>
    <row r="1993" spans="1:6" x14ac:dyDescent="0.3">
      <c r="A1993" t="s">
        <v>560</v>
      </c>
      <c r="B1993" t="s">
        <v>1222</v>
      </c>
      <c r="C1993" t="str">
        <f>HYPERLINK("http://service.sap.com/sap/support/notes/2029803","2029803")</f>
        <v>2029803</v>
      </c>
      <c r="D1993">
        <v>5</v>
      </c>
      <c r="E1993" t="s">
        <v>4481</v>
      </c>
      <c r="F1993" t="s">
        <v>9</v>
      </c>
    </row>
    <row r="1994" spans="1:6" x14ac:dyDescent="0.3">
      <c r="A1994" t="s">
        <v>560</v>
      </c>
      <c r="B1994" t="s">
        <v>1222</v>
      </c>
      <c r="C1994" t="str">
        <f>HYPERLINK("http://service.sap.com/sap/support/notes/2039654","2039654")</f>
        <v>2039654</v>
      </c>
      <c r="D1994">
        <v>2</v>
      </c>
      <c r="E1994" t="s">
        <v>4789</v>
      </c>
      <c r="F1994" t="s">
        <v>9</v>
      </c>
    </row>
    <row r="1995" spans="1:6" x14ac:dyDescent="0.3">
      <c r="A1995" t="s">
        <v>560</v>
      </c>
      <c r="B1995" t="s">
        <v>1222</v>
      </c>
      <c r="C1995" t="str">
        <f>HYPERLINK("http://service.sap.com/sap/support/notes/2002382","2002382")</f>
        <v>2002382</v>
      </c>
      <c r="D1995">
        <v>5</v>
      </c>
      <c r="E1995" t="s">
        <v>5165</v>
      </c>
      <c r="F1995" t="s">
        <v>9</v>
      </c>
    </row>
    <row r="1996" spans="1:6" x14ac:dyDescent="0.3">
      <c r="A1996" t="s">
        <v>560</v>
      </c>
      <c r="B1996" t="s">
        <v>1222</v>
      </c>
      <c r="C1996" t="str">
        <f>HYPERLINK("http://service.sap.com/sap/support/notes/2001868","2001868")</f>
        <v>2001868</v>
      </c>
      <c r="D1996">
        <v>1</v>
      </c>
      <c r="E1996" t="s">
        <v>5511</v>
      </c>
      <c r="F1996" t="s">
        <v>9</v>
      </c>
    </row>
    <row r="1997" spans="1:6" x14ac:dyDescent="0.3">
      <c r="A1997" t="s">
        <v>560</v>
      </c>
      <c r="B1997" t="s">
        <v>1222</v>
      </c>
      <c r="C1997" t="str">
        <f>HYPERLINK("http://service.sap.com/sap/support/notes/2063217","2063217")</f>
        <v>2063217</v>
      </c>
      <c r="D1997">
        <v>3</v>
      </c>
      <c r="E1997" t="s">
        <v>5512</v>
      </c>
      <c r="F1997" t="s">
        <v>9</v>
      </c>
    </row>
    <row r="1998" spans="1:6" x14ac:dyDescent="0.3">
      <c r="A1998" t="s">
        <v>567</v>
      </c>
      <c r="B1998" t="s">
        <v>568</v>
      </c>
      <c r="C1998" t="str">
        <f>HYPERLINK("http://service.sap.com/sap/support/notes/1921061","1921061")</f>
        <v>1921061</v>
      </c>
      <c r="D1998">
        <v>1</v>
      </c>
      <c r="E1998" t="s">
        <v>569</v>
      </c>
      <c r="F1998" t="s">
        <v>9</v>
      </c>
    </row>
    <row r="1999" spans="1:6" x14ac:dyDescent="0.3">
      <c r="A1999" t="s">
        <v>567</v>
      </c>
      <c r="B1999" t="s">
        <v>568</v>
      </c>
      <c r="C1999" t="str">
        <f>HYPERLINK("http://service.sap.com/sap/support/notes/1924944","1924944")</f>
        <v>1924944</v>
      </c>
      <c r="D1999">
        <v>3</v>
      </c>
      <c r="E1999" t="s">
        <v>570</v>
      </c>
      <c r="F1999" t="s">
        <v>9</v>
      </c>
    </row>
    <row r="2000" spans="1:6" x14ac:dyDescent="0.3">
      <c r="A2000" t="s">
        <v>567</v>
      </c>
      <c r="B2000" t="s">
        <v>568</v>
      </c>
      <c r="C2000" t="str">
        <f>HYPERLINK("http://service.sap.com/sap/support/notes/1929633","1929633")</f>
        <v>1929633</v>
      </c>
      <c r="D2000">
        <v>3</v>
      </c>
      <c r="E2000" t="s">
        <v>1225</v>
      </c>
      <c r="F2000" t="s">
        <v>9</v>
      </c>
    </row>
    <row r="2001" spans="1:6" x14ac:dyDescent="0.3">
      <c r="A2001" t="s">
        <v>567</v>
      </c>
      <c r="B2001" t="s">
        <v>568</v>
      </c>
      <c r="C2001" t="str">
        <f>HYPERLINK("http://service.sap.com/sap/support/notes/1929778","1929778")</f>
        <v>1929778</v>
      </c>
      <c r="D2001">
        <v>1</v>
      </c>
      <c r="E2001" t="s">
        <v>1226</v>
      </c>
      <c r="F2001" t="s">
        <v>9</v>
      </c>
    </row>
    <row r="2002" spans="1:6" x14ac:dyDescent="0.3">
      <c r="A2002" t="s">
        <v>567</v>
      </c>
      <c r="B2002" t="s">
        <v>568</v>
      </c>
      <c r="C2002" t="str">
        <f>HYPERLINK("http://service.sap.com/sap/support/notes/1933788","1933788")</f>
        <v>1933788</v>
      </c>
      <c r="D2002">
        <v>2</v>
      </c>
      <c r="E2002" t="s">
        <v>1227</v>
      </c>
      <c r="F2002" t="s">
        <v>9</v>
      </c>
    </row>
    <row r="2003" spans="1:6" x14ac:dyDescent="0.3">
      <c r="A2003" t="s">
        <v>567</v>
      </c>
      <c r="B2003" t="s">
        <v>568</v>
      </c>
      <c r="C2003" t="str">
        <f>HYPERLINK("http://service.sap.com/sap/support/notes/1935400","1935400")</f>
        <v>1935400</v>
      </c>
      <c r="D2003">
        <v>2</v>
      </c>
      <c r="E2003" t="s">
        <v>1228</v>
      </c>
      <c r="F2003" t="s">
        <v>9</v>
      </c>
    </row>
    <row r="2004" spans="1:6" x14ac:dyDescent="0.3">
      <c r="A2004" t="s">
        <v>567</v>
      </c>
      <c r="B2004" t="s">
        <v>568</v>
      </c>
      <c r="C2004" t="str">
        <f>HYPERLINK("http://service.sap.com/sap/support/notes/1947667","1947667")</f>
        <v>1947667</v>
      </c>
      <c r="D2004">
        <v>1</v>
      </c>
      <c r="E2004" t="s">
        <v>2154</v>
      </c>
      <c r="F2004" t="s">
        <v>9</v>
      </c>
    </row>
    <row r="2005" spans="1:6" x14ac:dyDescent="0.3">
      <c r="A2005" t="s">
        <v>567</v>
      </c>
      <c r="B2005" t="s">
        <v>568</v>
      </c>
      <c r="C2005" t="str">
        <f>HYPERLINK("http://service.sap.com/sap/support/notes/1950167","1950167")</f>
        <v>1950167</v>
      </c>
      <c r="D2005">
        <v>1</v>
      </c>
      <c r="E2005" t="s">
        <v>2155</v>
      </c>
      <c r="F2005" t="s">
        <v>9</v>
      </c>
    </row>
    <row r="2006" spans="1:6" x14ac:dyDescent="0.3">
      <c r="A2006" t="s">
        <v>567</v>
      </c>
      <c r="B2006" t="s">
        <v>568</v>
      </c>
      <c r="C2006" t="str">
        <f>HYPERLINK("http://service.sap.com/sap/support/notes/1964455","1964455")</f>
        <v>1964455</v>
      </c>
      <c r="D2006">
        <v>1</v>
      </c>
      <c r="E2006" t="s">
        <v>2156</v>
      </c>
      <c r="F2006" t="s">
        <v>9</v>
      </c>
    </row>
    <row r="2007" spans="1:6" x14ac:dyDescent="0.3">
      <c r="A2007" t="s">
        <v>567</v>
      </c>
      <c r="B2007" t="s">
        <v>568</v>
      </c>
      <c r="C2007" t="str">
        <f>HYPERLINK("http://service.sap.com/sap/support/notes/1970954","1970954")</f>
        <v>1970954</v>
      </c>
      <c r="D2007">
        <v>10</v>
      </c>
      <c r="E2007" t="s">
        <v>2518</v>
      </c>
      <c r="F2007" t="s">
        <v>9</v>
      </c>
    </row>
    <row r="2008" spans="1:6" x14ac:dyDescent="0.3">
      <c r="A2008" t="s">
        <v>567</v>
      </c>
      <c r="B2008" t="s">
        <v>568</v>
      </c>
      <c r="C2008" t="str">
        <f>HYPERLINK("http://service.sap.com/sap/support/notes/1976201","1976201")</f>
        <v>1976201</v>
      </c>
      <c r="D2008">
        <v>1</v>
      </c>
      <c r="E2008" t="s">
        <v>2959</v>
      </c>
      <c r="F2008" t="s">
        <v>9</v>
      </c>
    </row>
    <row r="2009" spans="1:6" x14ac:dyDescent="0.3">
      <c r="A2009" t="s">
        <v>567</v>
      </c>
      <c r="B2009" t="s">
        <v>568</v>
      </c>
      <c r="C2009" t="str">
        <f>HYPERLINK("http://service.sap.com/sap/support/notes/1977020","1977020")</f>
        <v>1977020</v>
      </c>
      <c r="D2009">
        <v>4</v>
      </c>
      <c r="E2009" t="s">
        <v>2960</v>
      </c>
      <c r="F2009" t="s">
        <v>9</v>
      </c>
    </row>
    <row r="2010" spans="1:6" x14ac:dyDescent="0.3">
      <c r="A2010" t="s">
        <v>567</v>
      </c>
      <c r="B2010" t="s">
        <v>568</v>
      </c>
      <c r="C2010" t="str">
        <f>HYPERLINK("http://service.sap.com/sap/support/notes/1979964","1979964")</f>
        <v>1979964</v>
      </c>
      <c r="D2010">
        <v>1</v>
      </c>
      <c r="E2010" t="s">
        <v>2961</v>
      </c>
      <c r="F2010" t="s">
        <v>9</v>
      </c>
    </row>
    <row r="2011" spans="1:6" x14ac:dyDescent="0.3">
      <c r="A2011" t="s">
        <v>567</v>
      </c>
      <c r="B2011" t="s">
        <v>568</v>
      </c>
      <c r="C2011" t="str">
        <f>HYPERLINK("http://service.sap.com/sap/support/notes/1981229","1981229")</f>
        <v>1981229</v>
      </c>
      <c r="D2011">
        <v>2</v>
      </c>
      <c r="E2011" t="s">
        <v>2962</v>
      </c>
      <c r="F2011" t="s">
        <v>9</v>
      </c>
    </row>
    <row r="2012" spans="1:6" x14ac:dyDescent="0.3">
      <c r="A2012" t="s">
        <v>567</v>
      </c>
      <c r="B2012" t="s">
        <v>568</v>
      </c>
      <c r="C2012" t="str">
        <f>HYPERLINK("http://service.sap.com/sap/support/notes/2003979","2003979")</f>
        <v>2003979</v>
      </c>
      <c r="D2012">
        <v>2</v>
      </c>
      <c r="E2012" t="s">
        <v>3622</v>
      </c>
      <c r="F2012" t="s">
        <v>9</v>
      </c>
    </row>
    <row r="2013" spans="1:6" x14ac:dyDescent="0.3">
      <c r="A2013" t="s">
        <v>567</v>
      </c>
      <c r="B2013" t="s">
        <v>568</v>
      </c>
      <c r="C2013" t="str">
        <f>HYPERLINK("http://service.sap.com/sap/support/notes/2010693","2010693")</f>
        <v>2010693</v>
      </c>
      <c r="D2013">
        <v>4</v>
      </c>
      <c r="E2013" t="s">
        <v>4143</v>
      </c>
      <c r="F2013" t="s">
        <v>9</v>
      </c>
    </row>
    <row r="2014" spans="1:6" x14ac:dyDescent="0.3">
      <c r="A2014" t="s">
        <v>567</v>
      </c>
      <c r="B2014" t="s">
        <v>568</v>
      </c>
      <c r="C2014" t="str">
        <f>HYPERLINK("http://service.sap.com/sap/support/notes/2020570","2020570")</f>
        <v>2020570</v>
      </c>
      <c r="D2014">
        <v>2</v>
      </c>
      <c r="E2014" t="s">
        <v>4144</v>
      </c>
      <c r="F2014" t="s">
        <v>9</v>
      </c>
    </row>
    <row r="2015" spans="1:6" x14ac:dyDescent="0.3">
      <c r="A2015" t="s">
        <v>567</v>
      </c>
      <c r="B2015" t="s">
        <v>568</v>
      </c>
      <c r="C2015" t="str">
        <f>HYPERLINK("http://service.sap.com/sap/support/notes/2022987","2022987")</f>
        <v>2022987</v>
      </c>
      <c r="D2015">
        <v>1</v>
      </c>
      <c r="E2015" t="s">
        <v>4482</v>
      </c>
      <c r="F2015" t="s">
        <v>9</v>
      </c>
    </row>
    <row r="2016" spans="1:6" x14ac:dyDescent="0.3">
      <c r="A2016" t="s">
        <v>567</v>
      </c>
      <c r="B2016" t="s">
        <v>568</v>
      </c>
      <c r="C2016" t="str">
        <f>HYPERLINK("http://service.sap.com/sap/support/notes/2034743","2034743")</f>
        <v>2034743</v>
      </c>
      <c r="D2016">
        <v>1</v>
      </c>
      <c r="E2016" t="s">
        <v>4790</v>
      </c>
      <c r="F2016" t="s">
        <v>9</v>
      </c>
    </row>
    <row r="2017" spans="1:6" x14ac:dyDescent="0.3">
      <c r="A2017" t="s">
        <v>567</v>
      </c>
      <c r="B2017" t="s">
        <v>568</v>
      </c>
      <c r="C2017" t="str">
        <f>HYPERLINK("http://service.sap.com/sap/support/notes/2045800","2045800")</f>
        <v>2045800</v>
      </c>
      <c r="D2017">
        <v>2</v>
      </c>
      <c r="E2017" t="s">
        <v>5166</v>
      </c>
      <c r="F2017" t="s">
        <v>9</v>
      </c>
    </row>
    <row r="2018" spans="1:6" x14ac:dyDescent="0.3">
      <c r="A2018" t="s">
        <v>567</v>
      </c>
      <c r="B2018" t="s">
        <v>568</v>
      </c>
      <c r="C2018" t="str">
        <f>HYPERLINK("http://service.sap.com/sap/support/notes/2053027","2053027")</f>
        <v>2053027</v>
      </c>
      <c r="D2018">
        <v>1</v>
      </c>
      <c r="E2018" t="s">
        <v>5167</v>
      </c>
      <c r="F2018" t="s">
        <v>9</v>
      </c>
    </row>
    <row r="2019" spans="1:6" x14ac:dyDescent="0.3">
      <c r="A2019" t="s">
        <v>567</v>
      </c>
      <c r="B2019" t="s">
        <v>568</v>
      </c>
      <c r="C2019" t="str">
        <f>HYPERLINK("http://service.sap.com/sap/support/notes/2053421","2053421")</f>
        <v>2053421</v>
      </c>
      <c r="D2019">
        <v>2</v>
      </c>
      <c r="E2019" t="s">
        <v>5168</v>
      </c>
      <c r="F2019" t="s">
        <v>9</v>
      </c>
    </row>
    <row r="2020" spans="1:6" x14ac:dyDescent="0.3">
      <c r="A2020" t="s">
        <v>567</v>
      </c>
      <c r="B2020" t="s">
        <v>568</v>
      </c>
      <c r="C2020" t="str">
        <f>HYPERLINK("http://service.sap.com/sap/support/notes/2058362","2058362")</f>
        <v>2058362</v>
      </c>
      <c r="D2020">
        <v>3</v>
      </c>
      <c r="E2020" t="s">
        <v>5513</v>
      </c>
      <c r="F2020" t="s">
        <v>9</v>
      </c>
    </row>
    <row r="2021" spans="1:6" x14ac:dyDescent="0.3">
      <c r="A2021" t="s">
        <v>567</v>
      </c>
      <c r="B2021" t="s">
        <v>568</v>
      </c>
      <c r="C2021" t="str">
        <f>HYPERLINK("http://service.sap.com/sap/support/notes/2063105","2063105")</f>
        <v>2063105</v>
      </c>
      <c r="D2021">
        <v>1</v>
      </c>
      <c r="E2021" t="s">
        <v>5514</v>
      </c>
      <c r="F2021" t="s">
        <v>9</v>
      </c>
    </row>
    <row r="2022" spans="1:6" x14ac:dyDescent="0.3">
      <c r="A2022" t="s">
        <v>571</v>
      </c>
      <c r="B2022" t="s">
        <v>572</v>
      </c>
      <c r="C2022" t="str">
        <f>HYPERLINK("http://service.sap.com/sap/support/notes/1912590","1912590")</f>
        <v>1912590</v>
      </c>
      <c r="D2022">
        <v>2</v>
      </c>
      <c r="E2022" t="s">
        <v>573</v>
      </c>
      <c r="F2022" t="s">
        <v>9</v>
      </c>
    </row>
    <row r="2023" spans="1:6" x14ac:dyDescent="0.3">
      <c r="A2023" t="s">
        <v>571</v>
      </c>
      <c r="B2023" t="s">
        <v>572</v>
      </c>
      <c r="C2023" t="str">
        <f>HYPERLINK("http://service.sap.com/sap/support/notes/1912787","1912787")</f>
        <v>1912787</v>
      </c>
      <c r="D2023">
        <v>4</v>
      </c>
      <c r="E2023" t="s">
        <v>574</v>
      </c>
      <c r="F2023" t="s">
        <v>28</v>
      </c>
    </row>
    <row r="2024" spans="1:6" x14ac:dyDescent="0.3">
      <c r="A2024" t="s">
        <v>571</v>
      </c>
      <c r="B2024" t="s">
        <v>572</v>
      </c>
      <c r="C2024" t="str">
        <f>HYPERLINK("http://service.sap.com/sap/support/notes/1915355","1915355")</f>
        <v>1915355</v>
      </c>
      <c r="D2024">
        <v>3</v>
      </c>
      <c r="E2024" t="s">
        <v>575</v>
      </c>
      <c r="F2024" t="s">
        <v>28</v>
      </c>
    </row>
    <row r="2025" spans="1:6" x14ac:dyDescent="0.3">
      <c r="A2025" t="s">
        <v>571</v>
      </c>
      <c r="B2025" t="s">
        <v>572</v>
      </c>
      <c r="C2025" t="str">
        <f>HYPERLINK("http://service.sap.com/sap/support/notes/1917073","1917073")</f>
        <v>1917073</v>
      </c>
      <c r="D2025">
        <v>1</v>
      </c>
      <c r="E2025" t="s">
        <v>576</v>
      </c>
      <c r="F2025" t="s">
        <v>16</v>
      </c>
    </row>
    <row r="2026" spans="1:6" x14ac:dyDescent="0.3">
      <c r="A2026" t="s">
        <v>571</v>
      </c>
      <c r="B2026" t="s">
        <v>572</v>
      </c>
      <c r="C2026" t="str">
        <f>HYPERLINK("http://service.sap.com/sap/support/notes/1920794","1920794")</f>
        <v>1920794</v>
      </c>
      <c r="D2026">
        <v>3</v>
      </c>
      <c r="E2026" t="s">
        <v>577</v>
      </c>
      <c r="F2026" t="s">
        <v>9</v>
      </c>
    </row>
    <row r="2027" spans="1:6" x14ac:dyDescent="0.3">
      <c r="A2027" t="s">
        <v>571</v>
      </c>
      <c r="B2027" t="s">
        <v>572</v>
      </c>
      <c r="C2027" t="str">
        <f>HYPERLINK("http://service.sap.com/sap/support/notes/1923869","1923869")</f>
        <v>1923869</v>
      </c>
      <c r="D2027">
        <v>2</v>
      </c>
      <c r="E2027" t="s">
        <v>578</v>
      </c>
      <c r="F2027" t="s">
        <v>9</v>
      </c>
    </row>
    <row r="2028" spans="1:6" x14ac:dyDescent="0.3">
      <c r="A2028" t="s">
        <v>571</v>
      </c>
      <c r="B2028" t="s">
        <v>572</v>
      </c>
      <c r="C2028" t="str">
        <f>HYPERLINK("http://service.sap.com/sap/support/notes/1930153","1930153")</f>
        <v>1930153</v>
      </c>
      <c r="D2028">
        <v>3</v>
      </c>
      <c r="E2028" t="s">
        <v>1229</v>
      </c>
      <c r="F2028" t="s">
        <v>9</v>
      </c>
    </row>
    <row r="2029" spans="1:6" x14ac:dyDescent="0.3">
      <c r="A2029" t="s">
        <v>571</v>
      </c>
      <c r="B2029" t="s">
        <v>572</v>
      </c>
      <c r="C2029" t="str">
        <f>HYPERLINK("http://service.sap.com/sap/support/notes/1932481","1932481")</f>
        <v>1932481</v>
      </c>
      <c r="D2029">
        <v>2</v>
      </c>
      <c r="E2029" t="s">
        <v>1230</v>
      </c>
      <c r="F2029" t="s">
        <v>28</v>
      </c>
    </row>
    <row r="2030" spans="1:6" x14ac:dyDescent="0.3">
      <c r="A2030" t="s">
        <v>571</v>
      </c>
      <c r="B2030" t="s">
        <v>572</v>
      </c>
      <c r="C2030" t="str">
        <f>HYPERLINK("http://service.sap.com/sap/support/notes/1933894","1933894")</f>
        <v>1933894</v>
      </c>
      <c r="D2030">
        <v>1</v>
      </c>
      <c r="E2030" t="s">
        <v>1231</v>
      </c>
      <c r="F2030" t="s">
        <v>9</v>
      </c>
    </row>
    <row r="2031" spans="1:6" x14ac:dyDescent="0.3">
      <c r="A2031" t="s">
        <v>571</v>
      </c>
      <c r="B2031" t="s">
        <v>572</v>
      </c>
      <c r="C2031" t="str">
        <f>HYPERLINK("http://service.sap.com/sap/support/notes/1942727","1942727")</f>
        <v>1942727</v>
      </c>
      <c r="D2031">
        <v>1</v>
      </c>
      <c r="E2031" t="s">
        <v>1418</v>
      </c>
      <c r="F2031" t="s">
        <v>9</v>
      </c>
    </row>
    <row r="2032" spans="1:6" x14ac:dyDescent="0.3">
      <c r="A2032" t="s">
        <v>571</v>
      </c>
      <c r="B2032" t="s">
        <v>572</v>
      </c>
      <c r="C2032" t="str">
        <f>HYPERLINK("http://service.sap.com/sap/support/notes/1950112","1950112")</f>
        <v>1950112</v>
      </c>
      <c r="D2032">
        <v>2</v>
      </c>
      <c r="E2032" t="s">
        <v>1419</v>
      </c>
      <c r="F2032" t="s">
        <v>9</v>
      </c>
    </row>
    <row r="2033" spans="1:6" x14ac:dyDescent="0.3">
      <c r="A2033" t="s">
        <v>571</v>
      </c>
      <c r="B2033" t="s">
        <v>572</v>
      </c>
      <c r="C2033" t="str">
        <f>HYPERLINK("http://service.sap.com/sap/support/notes/1941758","1941758")</f>
        <v>1941758</v>
      </c>
      <c r="D2033">
        <v>2</v>
      </c>
      <c r="E2033" t="s">
        <v>1664</v>
      </c>
      <c r="F2033" t="s">
        <v>9</v>
      </c>
    </row>
    <row r="2034" spans="1:6" x14ac:dyDescent="0.3">
      <c r="A2034" t="s">
        <v>571</v>
      </c>
      <c r="B2034" t="s">
        <v>572</v>
      </c>
      <c r="C2034" t="str">
        <f>HYPERLINK("http://service.sap.com/sap/support/notes/1943419","1943419")</f>
        <v>1943419</v>
      </c>
      <c r="D2034">
        <v>7</v>
      </c>
      <c r="E2034" t="s">
        <v>1665</v>
      </c>
      <c r="F2034" t="s">
        <v>9</v>
      </c>
    </row>
    <row r="2035" spans="1:6" x14ac:dyDescent="0.3">
      <c r="A2035" t="s">
        <v>571</v>
      </c>
      <c r="B2035" t="s">
        <v>572</v>
      </c>
      <c r="C2035" t="str">
        <f>HYPERLINK("http://service.sap.com/sap/support/notes/1950810","1950810")</f>
        <v>1950810</v>
      </c>
      <c r="D2035">
        <v>1</v>
      </c>
      <c r="E2035" t="s">
        <v>1666</v>
      </c>
      <c r="F2035" t="s">
        <v>9</v>
      </c>
    </row>
    <row r="2036" spans="1:6" x14ac:dyDescent="0.3">
      <c r="A2036" t="s">
        <v>571</v>
      </c>
      <c r="B2036" t="s">
        <v>572</v>
      </c>
      <c r="C2036" t="str">
        <f>HYPERLINK("http://service.sap.com/sap/support/notes/1950929","1950929")</f>
        <v>1950929</v>
      </c>
      <c r="D2036">
        <v>2</v>
      </c>
      <c r="E2036" t="s">
        <v>1667</v>
      </c>
      <c r="F2036" t="s">
        <v>28</v>
      </c>
    </row>
    <row r="2037" spans="1:6" x14ac:dyDescent="0.3">
      <c r="A2037" t="s">
        <v>571</v>
      </c>
      <c r="B2037" t="s">
        <v>572</v>
      </c>
      <c r="C2037" t="str">
        <f>HYPERLINK("http://service.sap.com/sap/support/notes/1953603","1953603")</f>
        <v>1953603</v>
      </c>
      <c r="D2037">
        <v>1</v>
      </c>
      <c r="E2037" t="s">
        <v>1668</v>
      </c>
      <c r="F2037" t="s">
        <v>9</v>
      </c>
    </row>
    <row r="2038" spans="1:6" x14ac:dyDescent="0.3">
      <c r="A2038" t="s">
        <v>571</v>
      </c>
      <c r="B2038" t="s">
        <v>572</v>
      </c>
      <c r="C2038" t="str">
        <f>HYPERLINK("http://service.sap.com/sap/support/notes/1955901","1955901")</f>
        <v>1955901</v>
      </c>
      <c r="D2038">
        <v>1</v>
      </c>
      <c r="E2038" t="s">
        <v>1669</v>
      </c>
      <c r="F2038" t="s">
        <v>9</v>
      </c>
    </row>
    <row r="2039" spans="1:6" x14ac:dyDescent="0.3">
      <c r="A2039" t="s">
        <v>571</v>
      </c>
      <c r="B2039" t="s">
        <v>572</v>
      </c>
      <c r="C2039" t="str">
        <f>HYPERLINK("http://service.sap.com/sap/support/notes/1958875","1958875")</f>
        <v>1958875</v>
      </c>
      <c r="D2039">
        <v>1</v>
      </c>
      <c r="E2039" t="s">
        <v>2157</v>
      </c>
      <c r="F2039" t="s">
        <v>9</v>
      </c>
    </row>
    <row r="2040" spans="1:6" x14ac:dyDescent="0.3">
      <c r="A2040" t="s">
        <v>571</v>
      </c>
      <c r="B2040" t="s">
        <v>572</v>
      </c>
      <c r="C2040" t="str">
        <f>HYPERLINK("http://service.sap.com/sap/support/notes/1960414","1960414")</f>
        <v>1960414</v>
      </c>
      <c r="D2040">
        <v>1</v>
      </c>
      <c r="E2040" t="s">
        <v>2158</v>
      </c>
      <c r="F2040" t="s">
        <v>9</v>
      </c>
    </row>
    <row r="2041" spans="1:6" x14ac:dyDescent="0.3">
      <c r="A2041" t="s">
        <v>571</v>
      </c>
      <c r="B2041" t="s">
        <v>572</v>
      </c>
      <c r="C2041" t="str">
        <f>HYPERLINK("http://service.sap.com/sap/support/notes/1963046","1963046")</f>
        <v>1963046</v>
      </c>
      <c r="D2041">
        <v>7</v>
      </c>
      <c r="E2041" t="s">
        <v>2159</v>
      </c>
      <c r="F2041" t="s">
        <v>28</v>
      </c>
    </row>
    <row r="2042" spans="1:6" x14ac:dyDescent="0.3">
      <c r="A2042" t="s">
        <v>571</v>
      </c>
      <c r="B2042" t="s">
        <v>572</v>
      </c>
      <c r="C2042" t="str">
        <f>HYPERLINK("http://service.sap.com/sap/support/notes/1965186","1965186")</f>
        <v>1965186</v>
      </c>
      <c r="D2042">
        <v>1</v>
      </c>
      <c r="E2042" t="s">
        <v>2160</v>
      </c>
      <c r="F2042" t="s">
        <v>9</v>
      </c>
    </row>
    <row r="2043" spans="1:6" x14ac:dyDescent="0.3">
      <c r="A2043" t="s">
        <v>571</v>
      </c>
      <c r="B2043" t="s">
        <v>572</v>
      </c>
      <c r="C2043" t="str">
        <f>HYPERLINK("http://service.sap.com/sap/support/notes/1970081","1970081")</f>
        <v>1970081</v>
      </c>
      <c r="D2043">
        <v>1</v>
      </c>
      <c r="E2043" t="s">
        <v>2519</v>
      </c>
      <c r="F2043" t="s">
        <v>9</v>
      </c>
    </row>
    <row r="2044" spans="1:6" x14ac:dyDescent="0.3">
      <c r="A2044" t="s">
        <v>571</v>
      </c>
      <c r="B2044" t="s">
        <v>572</v>
      </c>
      <c r="C2044" t="str">
        <f>HYPERLINK("http://service.sap.com/sap/support/notes/1970696","1970696")</f>
        <v>1970696</v>
      </c>
      <c r="D2044">
        <v>2</v>
      </c>
      <c r="E2044" t="s">
        <v>2520</v>
      </c>
      <c r="F2044" t="s">
        <v>9</v>
      </c>
    </row>
    <row r="2045" spans="1:6" x14ac:dyDescent="0.3">
      <c r="A2045" t="s">
        <v>571</v>
      </c>
      <c r="B2045" t="s">
        <v>572</v>
      </c>
      <c r="C2045" t="str">
        <f>HYPERLINK("http://service.sap.com/sap/support/notes/1974621","1974621")</f>
        <v>1974621</v>
      </c>
      <c r="D2045">
        <v>2</v>
      </c>
      <c r="E2045" t="s">
        <v>2521</v>
      </c>
      <c r="F2045" t="s">
        <v>9</v>
      </c>
    </row>
    <row r="2046" spans="1:6" x14ac:dyDescent="0.3">
      <c r="A2046" t="s">
        <v>571</v>
      </c>
      <c r="B2046" t="s">
        <v>572</v>
      </c>
      <c r="C2046" t="str">
        <f>HYPERLINK("http://service.sap.com/sap/support/notes/1974864","1974864")</f>
        <v>1974864</v>
      </c>
      <c r="D2046">
        <v>1</v>
      </c>
      <c r="E2046" t="s">
        <v>2522</v>
      </c>
      <c r="F2046" t="s">
        <v>9</v>
      </c>
    </row>
    <row r="2047" spans="1:6" x14ac:dyDescent="0.3">
      <c r="A2047" t="s">
        <v>571</v>
      </c>
      <c r="B2047" t="s">
        <v>572</v>
      </c>
      <c r="C2047" t="str">
        <f>HYPERLINK("http://service.sap.com/sap/support/notes/1977430","1977430")</f>
        <v>1977430</v>
      </c>
      <c r="D2047">
        <v>2</v>
      </c>
      <c r="E2047" t="s">
        <v>2963</v>
      </c>
      <c r="F2047" t="s">
        <v>9</v>
      </c>
    </row>
    <row r="2048" spans="1:6" x14ac:dyDescent="0.3">
      <c r="A2048" t="s">
        <v>571</v>
      </c>
      <c r="B2048" t="s">
        <v>572</v>
      </c>
      <c r="C2048" t="str">
        <f>HYPERLINK("http://service.sap.com/sap/support/notes/1984245","1984245")</f>
        <v>1984245</v>
      </c>
      <c r="D2048">
        <v>1</v>
      </c>
      <c r="E2048" t="s">
        <v>2964</v>
      </c>
      <c r="F2048" t="s">
        <v>9</v>
      </c>
    </row>
    <row r="2049" spans="1:6" x14ac:dyDescent="0.3">
      <c r="A2049" t="s">
        <v>571</v>
      </c>
      <c r="B2049" t="s">
        <v>572</v>
      </c>
      <c r="C2049" t="str">
        <f>HYPERLINK("http://service.sap.com/sap/support/notes/1986501","1986501")</f>
        <v>1986501</v>
      </c>
      <c r="D2049">
        <v>7</v>
      </c>
      <c r="E2049" t="s">
        <v>2965</v>
      </c>
      <c r="F2049" t="s">
        <v>28</v>
      </c>
    </row>
    <row r="2050" spans="1:6" x14ac:dyDescent="0.3">
      <c r="A2050" t="s">
        <v>571</v>
      </c>
      <c r="B2050" t="s">
        <v>572</v>
      </c>
      <c r="C2050" t="str">
        <f>HYPERLINK("http://service.sap.com/sap/support/notes/1986860","1986860")</f>
        <v>1986860</v>
      </c>
      <c r="D2050">
        <v>3</v>
      </c>
      <c r="E2050" t="s">
        <v>2966</v>
      </c>
      <c r="F2050" t="s">
        <v>9</v>
      </c>
    </row>
    <row r="2051" spans="1:6" x14ac:dyDescent="0.3">
      <c r="A2051" t="s">
        <v>571</v>
      </c>
      <c r="B2051" t="s">
        <v>572</v>
      </c>
      <c r="C2051" t="str">
        <f>HYPERLINK("http://service.sap.com/sap/support/notes/1986953","1986953")</f>
        <v>1986953</v>
      </c>
      <c r="D2051">
        <v>4</v>
      </c>
      <c r="E2051" t="s">
        <v>2967</v>
      </c>
      <c r="F2051" t="s">
        <v>9</v>
      </c>
    </row>
    <row r="2052" spans="1:6" x14ac:dyDescent="0.3">
      <c r="A2052" t="s">
        <v>571</v>
      </c>
      <c r="B2052" t="s">
        <v>572</v>
      </c>
      <c r="C2052" t="str">
        <f>HYPERLINK("http://service.sap.com/sap/support/notes/1995676","1995676")</f>
        <v>1995676</v>
      </c>
      <c r="D2052">
        <v>3</v>
      </c>
      <c r="E2052" t="s">
        <v>3623</v>
      </c>
      <c r="F2052" t="s">
        <v>9</v>
      </c>
    </row>
    <row r="2053" spans="1:6" x14ac:dyDescent="0.3">
      <c r="A2053" t="s">
        <v>571</v>
      </c>
      <c r="B2053" t="s">
        <v>572</v>
      </c>
      <c r="C2053" t="str">
        <f>HYPERLINK("http://service.sap.com/sap/support/notes/2001831","2001831")</f>
        <v>2001831</v>
      </c>
      <c r="D2053">
        <v>3</v>
      </c>
      <c r="E2053" t="s">
        <v>3624</v>
      </c>
      <c r="F2053" t="s">
        <v>9</v>
      </c>
    </row>
    <row r="2054" spans="1:6" x14ac:dyDescent="0.3">
      <c r="A2054" t="s">
        <v>571</v>
      </c>
      <c r="B2054" t="s">
        <v>572</v>
      </c>
      <c r="C2054" t="str">
        <f>HYPERLINK("http://service.sap.com/sap/support/notes/1984336","1984336")</f>
        <v>1984336</v>
      </c>
      <c r="D2054">
        <v>7</v>
      </c>
      <c r="E2054" t="s">
        <v>4145</v>
      </c>
      <c r="F2054" t="s">
        <v>9</v>
      </c>
    </row>
    <row r="2055" spans="1:6" x14ac:dyDescent="0.3">
      <c r="A2055" t="s">
        <v>571</v>
      </c>
      <c r="B2055" t="s">
        <v>572</v>
      </c>
      <c r="C2055" t="str">
        <f>HYPERLINK("http://service.sap.com/sap/support/notes/2002154","2002154")</f>
        <v>2002154</v>
      </c>
      <c r="D2055">
        <v>1</v>
      </c>
      <c r="E2055" t="s">
        <v>4146</v>
      </c>
      <c r="F2055" t="s">
        <v>9</v>
      </c>
    </row>
    <row r="2056" spans="1:6" x14ac:dyDescent="0.3">
      <c r="A2056" t="s">
        <v>571</v>
      </c>
      <c r="B2056" t="s">
        <v>572</v>
      </c>
      <c r="C2056" t="str">
        <f>HYPERLINK("http://service.sap.com/sap/support/notes/2006902","2006902")</f>
        <v>2006902</v>
      </c>
      <c r="D2056">
        <v>3</v>
      </c>
      <c r="E2056" t="s">
        <v>4147</v>
      </c>
      <c r="F2056" t="s">
        <v>9</v>
      </c>
    </row>
    <row r="2057" spans="1:6" x14ac:dyDescent="0.3">
      <c r="A2057" t="s">
        <v>571</v>
      </c>
      <c r="B2057" t="s">
        <v>572</v>
      </c>
      <c r="C2057" t="str">
        <f>HYPERLINK("http://service.sap.com/sap/support/notes/2010280","2010280")</f>
        <v>2010280</v>
      </c>
      <c r="D2057">
        <v>3</v>
      </c>
      <c r="E2057" t="s">
        <v>4148</v>
      </c>
      <c r="F2057" t="s">
        <v>9</v>
      </c>
    </row>
    <row r="2058" spans="1:6" x14ac:dyDescent="0.3">
      <c r="A2058" t="s">
        <v>571</v>
      </c>
      <c r="B2058" t="s">
        <v>572</v>
      </c>
      <c r="C2058" t="str">
        <f>HYPERLINK("http://service.sap.com/sap/support/notes/2014831","2014831")</f>
        <v>2014831</v>
      </c>
      <c r="D2058">
        <v>3</v>
      </c>
      <c r="E2058" t="s">
        <v>4149</v>
      </c>
      <c r="F2058" t="s">
        <v>9</v>
      </c>
    </row>
    <row r="2059" spans="1:6" x14ac:dyDescent="0.3">
      <c r="A2059" t="s">
        <v>571</v>
      </c>
      <c r="B2059" t="s">
        <v>572</v>
      </c>
      <c r="C2059" t="str">
        <f>HYPERLINK("http://service.sap.com/sap/support/notes/2016280","2016280")</f>
        <v>2016280</v>
      </c>
      <c r="D2059">
        <v>2</v>
      </c>
      <c r="E2059" t="s">
        <v>4150</v>
      </c>
      <c r="F2059" t="s">
        <v>9</v>
      </c>
    </row>
    <row r="2060" spans="1:6" x14ac:dyDescent="0.3">
      <c r="A2060" t="s">
        <v>571</v>
      </c>
      <c r="B2060" t="s">
        <v>572</v>
      </c>
      <c r="C2060" t="str">
        <f>HYPERLINK("http://service.sap.com/sap/support/notes/2020325","2020325")</f>
        <v>2020325</v>
      </c>
      <c r="D2060">
        <v>1</v>
      </c>
      <c r="E2060" t="s">
        <v>4483</v>
      </c>
      <c r="F2060" t="s">
        <v>9</v>
      </c>
    </row>
    <row r="2061" spans="1:6" x14ac:dyDescent="0.3">
      <c r="A2061" t="s">
        <v>571</v>
      </c>
      <c r="B2061" t="s">
        <v>572</v>
      </c>
      <c r="C2061" t="str">
        <f>HYPERLINK("http://service.sap.com/sap/support/notes/2022158","2022158")</f>
        <v>2022158</v>
      </c>
      <c r="D2061">
        <v>2</v>
      </c>
      <c r="E2061" t="s">
        <v>4484</v>
      </c>
      <c r="F2061" t="s">
        <v>9</v>
      </c>
    </row>
    <row r="2062" spans="1:6" x14ac:dyDescent="0.3">
      <c r="A2062" t="s">
        <v>571</v>
      </c>
      <c r="B2062" t="s">
        <v>572</v>
      </c>
      <c r="C2062" t="str">
        <f>HYPERLINK("http://service.sap.com/sap/support/notes/2022762","2022762")</f>
        <v>2022762</v>
      </c>
      <c r="D2062">
        <v>3</v>
      </c>
      <c r="E2062" t="s">
        <v>4485</v>
      </c>
      <c r="F2062" t="s">
        <v>9</v>
      </c>
    </row>
    <row r="2063" spans="1:6" x14ac:dyDescent="0.3">
      <c r="A2063" t="s">
        <v>571</v>
      </c>
      <c r="B2063" t="s">
        <v>572</v>
      </c>
      <c r="C2063" t="str">
        <f>HYPERLINK("http://service.sap.com/sap/support/notes/2027519","2027519")</f>
        <v>2027519</v>
      </c>
      <c r="D2063">
        <v>2</v>
      </c>
      <c r="E2063" t="s">
        <v>4486</v>
      </c>
      <c r="F2063" t="s">
        <v>9</v>
      </c>
    </row>
    <row r="2064" spans="1:6" x14ac:dyDescent="0.3">
      <c r="A2064" t="s">
        <v>571</v>
      </c>
      <c r="B2064" t="s">
        <v>572</v>
      </c>
      <c r="C2064" t="str">
        <f>HYPERLINK("http://service.sap.com/sap/support/notes/2006902","2006902")</f>
        <v>2006902</v>
      </c>
      <c r="D2064">
        <v>3</v>
      </c>
      <c r="E2064" t="s">
        <v>4147</v>
      </c>
      <c r="F2064" t="s">
        <v>9</v>
      </c>
    </row>
    <row r="2065" spans="1:6" x14ac:dyDescent="0.3">
      <c r="A2065" t="s">
        <v>571</v>
      </c>
      <c r="B2065" t="s">
        <v>572</v>
      </c>
      <c r="C2065" t="str">
        <f>HYPERLINK("http://service.sap.com/sap/support/notes/2033318","2033318")</f>
        <v>2033318</v>
      </c>
      <c r="D2065">
        <v>1</v>
      </c>
      <c r="E2065" t="s">
        <v>4791</v>
      </c>
      <c r="F2065" t="s">
        <v>9</v>
      </c>
    </row>
    <row r="2066" spans="1:6" x14ac:dyDescent="0.3">
      <c r="A2066" t="s">
        <v>571</v>
      </c>
      <c r="B2066" t="s">
        <v>572</v>
      </c>
      <c r="C2066" t="str">
        <f>HYPERLINK("http://service.sap.com/sap/support/notes/2033838","2033838")</f>
        <v>2033838</v>
      </c>
      <c r="D2066">
        <v>1</v>
      </c>
      <c r="E2066" t="s">
        <v>4792</v>
      </c>
      <c r="F2066" t="s">
        <v>9</v>
      </c>
    </row>
    <row r="2067" spans="1:6" x14ac:dyDescent="0.3">
      <c r="A2067" t="s">
        <v>571</v>
      </c>
      <c r="B2067" t="s">
        <v>572</v>
      </c>
      <c r="C2067" t="str">
        <f>HYPERLINK("http://service.sap.com/sap/support/notes/2042859","2042859")</f>
        <v>2042859</v>
      </c>
      <c r="D2067">
        <v>1</v>
      </c>
      <c r="E2067" t="s">
        <v>5169</v>
      </c>
      <c r="F2067" t="s">
        <v>9</v>
      </c>
    </row>
    <row r="2068" spans="1:6" x14ac:dyDescent="0.3">
      <c r="A2068" t="s">
        <v>571</v>
      </c>
      <c r="B2068" t="s">
        <v>572</v>
      </c>
      <c r="C2068" t="str">
        <f>HYPERLINK("http://service.sap.com/sap/support/notes/2043648","2043648")</f>
        <v>2043648</v>
      </c>
      <c r="D2068">
        <v>1</v>
      </c>
      <c r="E2068" t="s">
        <v>5170</v>
      </c>
      <c r="F2068" t="s">
        <v>9</v>
      </c>
    </row>
    <row r="2069" spans="1:6" x14ac:dyDescent="0.3">
      <c r="A2069" t="s">
        <v>571</v>
      </c>
      <c r="B2069" t="s">
        <v>572</v>
      </c>
      <c r="C2069" t="str">
        <f>HYPERLINK("http://service.sap.com/sap/support/notes/2050560","2050560")</f>
        <v>2050560</v>
      </c>
      <c r="D2069">
        <v>3</v>
      </c>
      <c r="E2069" t="s">
        <v>5171</v>
      </c>
      <c r="F2069" t="s">
        <v>9</v>
      </c>
    </row>
    <row r="2070" spans="1:6" x14ac:dyDescent="0.3">
      <c r="A2070" t="s">
        <v>571</v>
      </c>
      <c r="B2070" t="s">
        <v>572</v>
      </c>
      <c r="C2070" t="str">
        <f>HYPERLINK("http://service.sap.com/sap/support/notes/2048704","2048704")</f>
        <v>2048704</v>
      </c>
      <c r="D2070">
        <v>4</v>
      </c>
      <c r="E2070" t="s">
        <v>5515</v>
      </c>
      <c r="F2070" t="s">
        <v>9</v>
      </c>
    </row>
    <row r="2071" spans="1:6" x14ac:dyDescent="0.3">
      <c r="A2071" t="s">
        <v>571</v>
      </c>
      <c r="B2071" t="s">
        <v>572</v>
      </c>
      <c r="C2071" t="str">
        <f>HYPERLINK("http://service.sap.com/sap/support/notes/2064736","2064736")</f>
        <v>2064736</v>
      </c>
      <c r="D2071">
        <v>3</v>
      </c>
      <c r="E2071" t="s">
        <v>5516</v>
      </c>
      <c r="F2071" t="s">
        <v>9</v>
      </c>
    </row>
    <row r="2072" spans="1:6" x14ac:dyDescent="0.3">
      <c r="A2072" t="s">
        <v>579</v>
      </c>
      <c r="B2072" t="s">
        <v>580</v>
      </c>
      <c r="C2072" t="str">
        <f>HYPERLINK("http://service.sap.com/sap/support/notes/1867497","1867497")</f>
        <v>1867497</v>
      </c>
      <c r="D2072">
        <v>4</v>
      </c>
      <c r="E2072" t="s">
        <v>581</v>
      </c>
      <c r="F2072" t="s">
        <v>9</v>
      </c>
    </row>
    <row r="2073" spans="1:6" x14ac:dyDescent="0.3">
      <c r="A2073" t="s">
        <v>579</v>
      </c>
      <c r="B2073" t="s">
        <v>580</v>
      </c>
      <c r="C2073" t="str">
        <f>HYPERLINK("http://service.sap.com/sap/support/notes/1888269","1888269")</f>
        <v>1888269</v>
      </c>
      <c r="D2073">
        <v>6</v>
      </c>
      <c r="E2073" t="s">
        <v>582</v>
      </c>
      <c r="F2073" t="s">
        <v>9</v>
      </c>
    </row>
    <row r="2074" spans="1:6" x14ac:dyDescent="0.3">
      <c r="A2074" t="s">
        <v>579</v>
      </c>
      <c r="B2074" t="s">
        <v>580</v>
      </c>
      <c r="C2074" t="str">
        <f>HYPERLINK("http://service.sap.com/sap/support/notes/1892163","1892163")</f>
        <v>1892163</v>
      </c>
      <c r="D2074">
        <v>2</v>
      </c>
      <c r="E2074" t="s">
        <v>583</v>
      </c>
      <c r="F2074" t="s">
        <v>9</v>
      </c>
    </row>
    <row r="2075" spans="1:6" x14ac:dyDescent="0.3">
      <c r="A2075" t="s">
        <v>579</v>
      </c>
      <c r="B2075" t="s">
        <v>580</v>
      </c>
      <c r="C2075" t="str">
        <f>HYPERLINK("http://service.sap.com/sap/support/notes/1924516","1924516")</f>
        <v>1924516</v>
      </c>
      <c r="D2075">
        <v>1</v>
      </c>
      <c r="E2075" t="s">
        <v>584</v>
      </c>
      <c r="F2075" t="s">
        <v>9</v>
      </c>
    </row>
    <row r="2076" spans="1:6" x14ac:dyDescent="0.3">
      <c r="A2076" t="s">
        <v>579</v>
      </c>
      <c r="B2076" t="s">
        <v>580</v>
      </c>
      <c r="C2076" t="str">
        <f>HYPERLINK("http://service.sap.com/sap/support/notes/1728363","1728363")</f>
        <v>1728363</v>
      </c>
      <c r="D2076">
        <v>4</v>
      </c>
      <c r="E2076" t="s">
        <v>1232</v>
      </c>
      <c r="F2076" t="s">
        <v>9</v>
      </c>
    </row>
    <row r="2077" spans="1:6" x14ac:dyDescent="0.3">
      <c r="A2077" t="s">
        <v>579</v>
      </c>
      <c r="B2077" t="s">
        <v>580</v>
      </c>
      <c r="C2077" t="str">
        <f>HYPERLINK("http://service.sap.com/sap/support/notes/1892653","1892653")</f>
        <v>1892653</v>
      </c>
      <c r="D2077">
        <v>2</v>
      </c>
      <c r="E2077" t="s">
        <v>1233</v>
      </c>
      <c r="F2077" t="s">
        <v>9</v>
      </c>
    </row>
    <row r="2078" spans="1:6" x14ac:dyDescent="0.3">
      <c r="A2078" t="s">
        <v>579</v>
      </c>
      <c r="B2078" t="s">
        <v>580</v>
      </c>
      <c r="C2078" t="str">
        <f>HYPERLINK("http://service.sap.com/sap/support/notes/1923146","1923146")</f>
        <v>1923146</v>
      </c>
      <c r="D2078">
        <v>3</v>
      </c>
      <c r="E2078" t="s">
        <v>1234</v>
      </c>
      <c r="F2078" t="s">
        <v>9</v>
      </c>
    </row>
    <row r="2079" spans="1:6" x14ac:dyDescent="0.3">
      <c r="A2079" t="s">
        <v>579</v>
      </c>
      <c r="B2079" t="s">
        <v>580</v>
      </c>
      <c r="C2079" t="str">
        <f>HYPERLINK("http://service.sap.com/sap/support/notes/1968463","1968463")</f>
        <v>1968463</v>
      </c>
      <c r="D2079">
        <v>1</v>
      </c>
      <c r="E2079" t="s">
        <v>2161</v>
      </c>
      <c r="F2079" t="s">
        <v>9</v>
      </c>
    </row>
    <row r="2080" spans="1:6" x14ac:dyDescent="0.3">
      <c r="A2080" t="s">
        <v>579</v>
      </c>
      <c r="B2080" t="s">
        <v>580</v>
      </c>
      <c r="C2080" t="str">
        <f>HYPERLINK("http://service.sap.com/sap/support/notes/1953045","1953045")</f>
        <v>1953045</v>
      </c>
      <c r="D2080">
        <v>7</v>
      </c>
      <c r="E2080" t="s">
        <v>2523</v>
      </c>
      <c r="F2080" t="s">
        <v>9</v>
      </c>
    </row>
    <row r="2081" spans="1:6" x14ac:dyDescent="0.3">
      <c r="A2081" t="s">
        <v>579</v>
      </c>
      <c r="B2081" t="s">
        <v>580</v>
      </c>
      <c r="C2081" t="str">
        <f>HYPERLINK("http://service.sap.com/sap/support/notes/1966386","1966386")</f>
        <v>1966386</v>
      </c>
      <c r="D2081">
        <v>5</v>
      </c>
      <c r="E2081" t="s">
        <v>2524</v>
      </c>
      <c r="F2081" t="s">
        <v>9</v>
      </c>
    </row>
    <row r="2082" spans="1:6" x14ac:dyDescent="0.3">
      <c r="A2082" t="s">
        <v>579</v>
      </c>
      <c r="B2082" t="s">
        <v>580</v>
      </c>
      <c r="C2082" t="str">
        <f>HYPERLINK("http://service.sap.com/sap/support/notes/1967448","1967448")</f>
        <v>1967448</v>
      </c>
      <c r="D2082">
        <v>5</v>
      </c>
      <c r="E2082" t="s">
        <v>2525</v>
      </c>
      <c r="F2082" t="s">
        <v>9</v>
      </c>
    </row>
    <row r="2083" spans="1:6" x14ac:dyDescent="0.3">
      <c r="A2083" t="s">
        <v>579</v>
      </c>
      <c r="B2083" t="s">
        <v>580</v>
      </c>
      <c r="C2083" t="str">
        <f>HYPERLINK("http://service.sap.com/sap/support/notes/1971003","1971003")</f>
        <v>1971003</v>
      </c>
      <c r="D2083">
        <v>2</v>
      </c>
      <c r="E2083" t="s">
        <v>2526</v>
      </c>
      <c r="F2083" t="s">
        <v>9</v>
      </c>
    </row>
    <row r="2084" spans="1:6" x14ac:dyDescent="0.3">
      <c r="A2084" t="s">
        <v>579</v>
      </c>
      <c r="B2084" t="s">
        <v>580</v>
      </c>
      <c r="C2084" t="str">
        <f>HYPERLINK("http://service.sap.com/sap/support/notes/1881903","1881903")</f>
        <v>1881903</v>
      </c>
      <c r="D2084">
        <v>4</v>
      </c>
      <c r="E2084" t="s">
        <v>2968</v>
      </c>
      <c r="F2084" t="s">
        <v>9</v>
      </c>
    </row>
    <row r="2085" spans="1:6" x14ac:dyDescent="0.3">
      <c r="A2085" t="s">
        <v>579</v>
      </c>
      <c r="B2085" t="s">
        <v>580</v>
      </c>
      <c r="C2085" t="str">
        <f>HYPERLINK("http://service.sap.com/sap/support/notes/1979498","1979498")</f>
        <v>1979498</v>
      </c>
      <c r="D2085">
        <v>2</v>
      </c>
      <c r="E2085" t="s">
        <v>2969</v>
      </c>
      <c r="F2085" t="s">
        <v>9</v>
      </c>
    </row>
    <row r="2086" spans="1:6" x14ac:dyDescent="0.3">
      <c r="A2086" t="s">
        <v>579</v>
      </c>
      <c r="B2086" t="s">
        <v>580</v>
      </c>
      <c r="C2086" t="str">
        <f>HYPERLINK("http://service.sap.com/sap/support/notes/1987598","1987598")</f>
        <v>1987598</v>
      </c>
      <c r="D2086">
        <v>1</v>
      </c>
      <c r="E2086" t="s">
        <v>2970</v>
      </c>
      <c r="F2086" t="s">
        <v>9</v>
      </c>
    </row>
    <row r="2087" spans="1:6" x14ac:dyDescent="0.3">
      <c r="A2087" t="s">
        <v>579</v>
      </c>
      <c r="B2087" t="s">
        <v>580</v>
      </c>
      <c r="C2087" t="str">
        <f>HYPERLINK("http://service.sap.com/sap/support/notes/1992831","1992831")</f>
        <v>1992831</v>
      </c>
      <c r="D2087">
        <v>1</v>
      </c>
      <c r="E2087" t="s">
        <v>2971</v>
      </c>
      <c r="F2087" t="s">
        <v>9</v>
      </c>
    </row>
    <row r="2088" spans="1:6" x14ac:dyDescent="0.3">
      <c r="A2088" t="s">
        <v>579</v>
      </c>
      <c r="B2088" t="s">
        <v>580</v>
      </c>
      <c r="C2088" t="str">
        <f>HYPERLINK("http://service.sap.com/sap/support/notes/1997906","1997906")</f>
        <v>1997906</v>
      </c>
      <c r="D2088">
        <v>3</v>
      </c>
      <c r="E2088" t="s">
        <v>3625</v>
      </c>
      <c r="F2088" t="s">
        <v>9</v>
      </c>
    </row>
    <row r="2089" spans="1:6" x14ac:dyDescent="0.3">
      <c r="A2089" t="s">
        <v>579</v>
      </c>
      <c r="B2089" t="s">
        <v>580</v>
      </c>
      <c r="C2089" t="str">
        <f>HYPERLINK("http://service.sap.com/sap/support/notes/1998907","1998907")</f>
        <v>1998907</v>
      </c>
      <c r="D2089">
        <v>1</v>
      </c>
      <c r="E2089" t="s">
        <v>3626</v>
      </c>
      <c r="F2089" t="s">
        <v>9</v>
      </c>
    </row>
    <row r="2090" spans="1:6" x14ac:dyDescent="0.3">
      <c r="A2090" t="s">
        <v>579</v>
      </c>
      <c r="B2090" t="s">
        <v>580</v>
      </c>
      <c r="C2090" t="str">
        <f>HYPERLINK("http://service.sap.com/sap/support/notes/1990180","1990180")</f>
        <v>1990180</v>
      </c>
      <c r="D2090">
        <v>1</v>
      </c>
      <c r="E2090" t="s">
        <v>4151</v>
      </c>
      <c r="F2090" t="s">
        <v>9</v>
      </c>
    </row>
    <row r="2091" spans="1:6" x14ac:dyDescent="0.3">
      <c r="A2091" t="s">
        <v>579</v>
      </c>
      <c r="B2091" t="s">
        <v>580</v>
      </c>
      <c r="C2091" t="str">
        <f>HYPERLINK("http://service.sap.com/sap/support/notes/2001499","2001499")</f>
        <v>2001499</v>
      </c>
      <c r="D2091">
        <v>4</v>
      </c>
      <c r="E2091" t="s">
        <v>4152</v>
      </c>
      <c r="F2091" t="s">
        <v>9</v>
      </c>
    </row>
    <row r="2092" spans="1:6" x14ac:dyDescent="0.3">
      <c r="A2092" t="s">
        <v>579</v>
      </c>
      <c r="B2092" t="s">
        <v>580</v>
      </c>
      <c r="C2092" t="str">
        <f>HYPERLINK("http://service.sap.com/sap/support/notes/2011895","2011895")</f>
        <v>2011895</v>
      </c>
      <c r="D2092">
        <v>2</v>
      </c>
      <c r="E2092" t="s">
        <v>4153</v>
      </c>
      <c r="F2092" t="s">
        <v>9</v>
      </c>
    </row>
    <row r="2093" spans="1:6" x14ac:dyDescent="0.3">
      <c r="A2093" t="s">
        <v>579</v>
      </c>
      <c r="B2093" t="s">
        <v>580</v>
      </c>
      <c r="C2093" t="str">
        <f>HYPERLINK("http://service.sap.com/sap/support/notes/2022778","2022778")</f>
        <v>2022778</v>
      </c>
      <c r="D2093">
        <v>2</v>
      </c>
      <c r="E2093" t="s">
        <v>4487</v>
      </c>
      <c r="F2093" t="s">
        <v>28</v>
      </c>
    </row>
    <row r="2094" spans="1:6" x14ac:dyDescent="0.3">
      <c r="A2094" t="s">
        <v>579</v>
      </c>
      <c r="B2094" t="s">
        <v>580</v>
      </c>
      <c r="C2094" t="str">
        <f>HYPERLINK("http://service.sap.com/sap/support/notes/2026744","2026744")</f>
        <v>2026744</v>
      </c>
      <c r="D2094">
        <v>1</v>
      </c>
      <c r="E2094" t="s">
        <v>4488</v>
      </c>
      <c r="F2094" t="s">
        <v>9</v>
      </c>
    </row>
    <row r="2095" spans="1:6" x14ac:dyDescent="0.3">
      <c r="A2095" t="s">
        <v>579</v>
      </c>
      <c r="B2095" t="s">
        <v>580</v>
      </c>
      <c r="C2095" t="str">
        <f>HYPERLINK("http://service.sap.com/sap/support/notes/2035681","2035681")</f>
        <v>2035681</v>
      </c>
      <c r="D2095">
        <v>1</v>
      </c>
      <c r="E2095" t="s">
        <v>4793</v>
      </c>
      <c r="F2095" t="s">
        <v>9</v>
      </c>
    </row>
    <row r="2096" spans="1:6" x14ac:dyDescent="0.3">
      <c r="A2096" t="s">
        <v>579</v>
      </c>
      <c r="B2096" t="s">
        <v>580</v>
      </c>
      <c r="C2096" t="str">
        <f>HYPERLINK("http://service.sap.com/sap/support/notes/2035795","2035795")</f>
        <v>2035795</v>
      </c>
      <c r="D2096">
        <v>3</v>
      </c>
      <c r="E2096" t="s">
        <v>4794</v>
      </c>
      <c r="F2096" t="s">
        <v>9</v>
      </c>
    </row>
    <row r="2097" spans="1:6" x14ac:dyDescent="0.3">
      <c r="A2097" t="s">
        <v>579</v>
      </c>
      <c r="B2097" t="s">
        <v>580</v>
      </c>
      <c r="C2097" t="str">
        <f>HYPERLINK("http://service.sap.com/sap/support/notes/2043349","2043349")</f>
        <v>2043349</v>
      </c>
      <c r="D2097">
        <v>1</v>
      </c>
      <c r="E2097" t="s">
        <v>4795</v>
      </c>
      <c r="F2097" t="s">
        <v>9</v>
      </c>
    </row>
    <row r="2098" spans="1:6" x14ac:dyDescent="0.3">
      <c r="A2098" t="s">
        <v>579</v>
      </c>
      <c r="B2098" t="s">
        <v>580</v>
      </c>
      <c r="C2098" t="str">
        <f>HYPERLINK("http://service.sap.com/sap/support/notes/2042992","2042992")</f>
        <v>2042992</v>
      </c>
      <c r="D2098">
        <v>2</v>
      </c>
      <c r="E2098" t="s">
        <v>5172</v>
      </c>
      <c r="F2098" t="s">
        <v>9</v>
      </c>
    </row>
    <row r="2099" spans="1:6" x14ac:dyDescent="0.3">
      <c r="A2099" t="s">
        <v>579</v>
      </c>
      <c r="B2099" t="s">
        <v>580</v>
      </c>
      <c r="C2099" t="str">
        <f>HYPERLINK("http://service.sap.com/sap/support/notes/2047555","2047555")</f>
        <v>2047555</v>
      </c>
      <c r="D2099">
        <v>7</v>
      </c>
      <c r="E2099" t="s">
        <v>5173</v>
      </c>
      <c r="F2099" t="s">
        <v>9</v>
      </c>
    </row>
    <row r="2100" spans="1:6" x14ac:dyDescent="0.3">
      <c r="A2100" t="s">
        <v>579</v>
      </c>
      <c r="B2100" t="s">
        <v>580</v>
      </c>
      <c r="C2100" t="str">
        <f>HYPERLINK("http://service.sap.com/sap/support/notes/2040802","2040802")</f>
        <v>2040802</v>
      </c>
      <c r="D2100">
        <v>2</v>
      </c>
      <c r="E2100" t="s">
        <v>5517</v>
      </c>
      <c r="F2100" t="s">
        <v>9</v>
      </c>
    </row>
    <row r="2101" spans="1:6" x14ac:dyDescent="0.3">
      <c r="A2101" t="s">
        <v>579</v>
      </c>
      <c r="B2101" t="s">
        <v>580</v>
      </c>
      <c r="C2101" t="str">
        <f>HYPERLINK("http://service.sap.com/sap/support/notes/2047555","2047555")</f>
        <v>2047555</v>
      </c>
      <c r="D2101">
        <v>7</v>
      </c>
      <c r="E2101" t="s">
        <v>5173</v>
      </c>
      <c r="F2101" t="s">
        <v>9</v>
      </c>
    </row>
    <row r="2102" spans="1:6" x14ac:dyDescent="0.3">
      <c r="A2102" t="s">
        <v>579</v>
      </c>
      <c r="B2102" t="s">
        <v>580</v>
      </c>
      <c r="C2102" t="str">
        <f>HYPERLINK("http://service.sap.com/sap/support/notes/2061397","2061397")</f>
        <v>2061397</v>
      </c>
      <c r="D2102">
        <v>4</v>
      </c>
      <c r="E2102" t="s">
        <v>5518</v>
      </c>
      <c r="F2102" t="s">
        <v>9</v>
      </c>
    </row>
    <row r="2103" spans="1:6" x14ac:dyDescent="0.3">
      <c r="A2103" t="s">
        <v>579</v>
      </c>
      <c r="B2103" t="s">
        <v>580</v>
      </c>
      <c r="C2103" t="str">
        <f>HYPERLINK("http://service.sap.com/sap/support/notes/2062325","2062325")</f>
        <v>2062325</v>
      </c>
      <c r="D2103">
        <v>1</v>
      </c>
      <c r="E2103" t="s">
        <v>5519</v>
      </c>
      <c r="F2103" t="s">
        <v>9</v>
      </c>
    </row>
    <row r="2104" spans="1:6" x14ac:dyDescent="0.3">
      <c r="A2104" t="s">
        <v>1235</v>
      </c>
      <c r="B2104" t="s">
        <v>1236</v>
      </c>
      <c r="C2104" t="str">
        <f>HYPERLINK("http://service.sap.com/sap/support/notes/1932910","1932910")</f>
        <v>1932910</v>
      </c>
      <c r="D2104">
        <v>4</v>
      </c>
      <c r="E2104" t="s">
        <v>1237</v>
      </c>
      <c r="F2104" t="s">
        <v>9</v>
      </c>
    </row>
    <row r="2105" spans="1:6" x14ac:dyDescent="0.3">
      <c r="A2105" t="s">
        <v>1235</v>
      </c>
      <c r="B2105" t="s">
        <v>1236</v>
      </c>
      <c r="C2105" t="str">
        <f>HYPERLINK("http://service.sap.com/sap/support/notes/1935356","1935356")</f>
        <v>1935356</v>
      </c>
      <c r="D2105">
        <v>5</v>
      </c>
      <c r="E2105" t="s">
        <v>1238</v>
      </c>
      <c r="F2105" t="s">
        <v>9</v>
      </c>
    </row>
    <row r="2106" spans="1:6" x14ac:dyDescent="0.3">
      <c r="A2106" t="s">
        <v>1235</v>
      </c>
      <c r="B2106" t="s">
        <v>1236</v>
      </c>
      <c r="C2106" t="str">
        <f>HYPERLINK("http://service.sap.com/sap/support/notes/1939940","1939940")</f>
        <v>1939940</v>
      </c>
      <c r="D2106">
        <v>2</v>
      </c>
      <c r="E2106" t="s">
        <v>1239</v>
      </c>
      <c r="F2106" t="s">
        <v>9</v>
      </c>
    </row>
    <row r="2107" spans="1:6" x14ac:dyDescent="0.3">
      <c r="A2107" t="s">
        <v>1235</v>
      </c>
      <c r="B2107" t="s">
        <v>1670</v>
      </c>
      <c r="C2107" t="str">
        <f>HYPERLINK("http://service.sap.com/sap/support/notes/1957310","1957310")</f>
        <v>1957310</v>
      </c>
      <c r="D2107">
        <v>2</v>
      </c>
      <c r="E2107" t="s">
        <v>1671</v>
      </c>
      <c r="F2107" t="s">
        <v>9</v>
      </c>
    </row>
    <row r="2108" spans="1:6" x14ac:dyDescent="0.3">
      <c r="A2108" t="s">
        <v>1235</v>
      </c>
      <c r="B2108" t="s">
        <v>1236</v>
      </c>
      <c r="C2108" t="str">
        <f>HYPERLINK("http://service.sap.com/sap/support/notes/1962119","1962119")</f>
        <v>1962119</v>
      </c>
      <c r="D2108">
        <v>2</v>
      </c>
      <c r="E2108" t="s">
        <v>2527</v>
      </c>
      <c r="F2108" t="s">
        <v>9</v>
      </c>
    </row>
    <row r="2109" spans="1:6" x14ac:dyDescent="0.3">
      <c r="A2109" t="s">
        <v>1235</v>
      </c>
      <c r="B2109" t="s">
        <v>1670</v>
      </c>
      <c r="C2109" t="str">
        <f>HYPERLINK("http://service.sap.com/sap/support/notes/1954761","1954761")</f>
        <v>1954761</v>
      </c>
      <c r="D2109">
        <v>5</v>
      </c>
      <c r="E2109" t="s">
        <v>3627</v>
      </c>
      <c r="F2109" t="s">
        <v>9</v>
      </c>
    </row>
    <row r="2110" spans="1:6" x14ac:dyDescent="0.3">
      <c r="A2110" t="s">
        <v>1235</v>
      </c>
      <c r="B2110" t="s">
        <v>1670</v>
      </c>
      <c r="C2110" t="str">
        <f>HYPERLINK("http://service.sap.com/sap/support/notes/1993253","1993253")</f>
        <v>1993253</v>
      </c>
      <c r="D2110">
        <v>3</v>
      </c>
      <c r="E2110" t="s">
        <v>3628</v>
      </c>
      <c r="F2110" t="s">
        <v>9</v>
      </c>
    </row>
    <row r="2111" spans="1:6" x14ac:dyDescent="0.3">
      <c r="A2111" t="s">
        <v>1235</v>
      </c>
      <c r="B2111" t="s">
        <v>1236</v>
      </c>
      <c r="C2111" t="str">
        <f>HYPERLINK("http://service.sap.com/sap/support/notes/2012864","2012864")</f>
        <v>2012864</v>
      </c>
      <c r="D2111">
        <v>1</v>
      </c>
      <c r="E2111" t="s">
        <v>4154</v>
      </c>
      <c r="F2111" t="s">
        <v>9</v>
      </c>
    </row>
    <row r="2112" spans="1:6" x14ac:dyDescent="0.3">
      <c r="A2112" t="s">
        <v>1235</v>
      </c>
      <c r="B2112" t="s">
        <v>1236</v>
      </c>
      <c r="C2112" t="str">
        <f>HYPERLINK("http://service.sap.com/sap/support/notes/2027606","2027606")</f>
        <v>2027606</v>
      </c>
      <c r="D2112">
        <v>1</v>
      </c>
      <c r="E2112" t="s">
        <v>4489</v>
      </c>
      <c r="F2112" t="s">
        <v>9</v>
      </c>
    </row>
    <row r="2113" spans="1:6" x14ac:dyDescent="0.3">
      <c r="A2113" t="s">
        <v>1235</v>
      </c>
      <c r="B2113" t="s">
        <v>1236</v>
      </c>
      <c r="C2113" t="str">
        <f>HYPERLINK("http://service.sap.com/sap/support/notes/2055022","2055022")</f>
        <v>2055022</v>
      </c>
      <c r="D2113">
        <v>1</v>
      </c>
      <c r="E2113" t="s">
        <v>5174</v>
      </c>
      <c r="F2113" t="s">
        <v>9</v>
      </c>
    </row>
    <row r="2114" spans="1:6" x14ac:dyDescent="0.3">
      <c r="A2114" t="s">
        <v>1235</v>
      </c>
      <c r="B2114" t="s">
        <v>1236</v>
      </c>
      <c r="C2114" t="str">
        <f>HYPERLINK("http://service.sap.com/sap/support/notes/2061465","2061465")</f>
        <v>2061465</v>
      </c>
      <c r="D2114">
        <v>4</v>
      </c>
      <c r="E2114" t="s">
        <v>5520</v>
      </c>
      <c r="F2114" t="s">
        <v>9</v>
      </c>
    </row>
    <row r="2115" spans="1:6" x14ac:dyDescent="0.3">
      <c r="A2115" t="s">
        <v>585</v>
      </c>
      <c r="B2115" t="s">
        <v>586</v>
      </c>
      <c r="C2115" t="str">
        <f>HYPERLINK("http://service.sap.com/sap/support/notes/1918277","1918277")</f>
        <v>1918277</v>
      </c>
      <c r="D2115">
        <v>2</v>
      </c>
      <c r="E2115" t="s">
        <v>587</v>
      </c>
      <c r="F2115" t="s">
        <v>9</v>
      </c>
    </row>
    <row r="2116" spans="1:6" x14ac:dyDescent="0.3">
      <c r="A2116" t="s">
        <v>585</v>
      </c>
      <c r="B2116" t="s">
        <v>586</v>
      </c>
      <c r="C2116" t="str">
        <f>HYPERLINK("http://service.sap.com/sap/support/notes/1926353","1926353")</f>
        <v>1926353</v>
      </c>
      <c r="D2116">
        <v>2</v>
      </c>
      <c r="E2116" t="s">
        <v>588</v>
      </c>
      <c r="F2116" t="s">
        <v>9</v>
      </c>
    </row>
    <row r="2117" spans="1:6" x14ac:dyDescent="0.3">
      <c r="A2117" t="s">
        <v>585</v>
      </c>
      <c r="B2117" t="s">
        <v>1240</v>
      </c>
      <c r="C2117" t="str">
        <f>HYPERLINK("http://service.sap.com/sap/support/notes/1926836","1926836")</f>
        <v>1926836</v>
      </c>
      <c r="D2117">
        <v>3</v>
      </c>
      <c r="E2117" t="s">
        <v>1241</v>
      </c>
      <c r="F2117" t="s">
        <v>9</v>
      </c>
    </row>
    <row r="2118" spans="1:6" x14ac:dyDescent="0.3">
      <c r="A2118" t="s">
        <v>585</v>
      </c>
      <c r="B2118" t="s">
        <v>1240</v>
      </c>
      <c r="C2118" t="str">
        <f>HYPERLINK("http://service.sap.com/sap/support/notes/1945235","1945235")</f>
        <v>1945235</v>
      </c>
      <c r="D2118">
        <v>3</v>
      </c>
      <c r="E2118" t="s">
        <v>1420</v>
      </c>
      <c r="F2118" t="s">
        <v>9</v>
      </c>
    </row>
    <row r="2119" spans="1:6" x14ac:dyDescent="0.3">
      <c r="A2119" t="s">
        <v>585</v>
      </c>
      <c r="B2119" t="s">
        <v>1240</v>
      </c>
      <c r="C2119" t="str">
        <f>HYPERLINK("http://service.sap.com/sap/support/notes/1949051","1949051")</f>
        <v>1949051</v>
      </c>
      <c r="D2119">
        <v>2</v>
      </c>
      <c r="E2119" t="s">
        <v>1421</v>
      </c>
      <c r="F2119" t="s">
        <v>9</v>
      </c>
    </row>
    <row r="2120" spans="1:6" x14ac:dyDescent="0.3">
      <c r="A2120" t="s">
        <v>585</v>
      </c>
      <c r="B2120" t="s">
        <v>586</v>
      </c>
      <c r="C2120" t="str">
        <f>HYPERLINK("http://service.sap.com/sap/support/notes/1952694","1952694")</f>
        <v>1952694</v>
      </c>
      <c r="D2120">
        <v>2</v>
      </c>
      <c r="E2120" t="s">
        <v>1672</v>
      </c>
      <c r="F2120" t="s">
        <v>28</v>
      </c>
    </row>
    <row r="2121" spans="1:6" x14ac:dyDescent="0.3">
      <c r="A2121" t="s">
        <v>585</v>
      </c>
      <c r="B2121" t="s">
        <v>586</v>
      </c>
      <c r="C2121" t="str">
        <f>HYPERLINK("http://service.sap.com/sap/support/notes/1953806","1953806")</f>
        <v>1953806</v>
      </c>
      <c r="D2121">
        <v>7</v>
      </c>
      <c r="E2121" t="s">
        <v>1673</v>
      </c>
      <c r="F2121" t="s">
        <v>9</v>
      </c>
    </row>
    <row r="2122" spans="1:6" x14ac:dyDescent="0.3">
      <c r="A2122" t="s">
        <v>585</v>
      </c>
      <c r="B2122" t="s">
        <v>1240</v>
      </c>
      <c r="C2122" t="str">
        <f>HYPERLINK("http://service.sap.com/sap/support/notes/1950928","1950928")</f>
        <v>1950928</v>
      </c>
      <c r="D2122">
        <v>3</v>
      </c>
      <c r="E2122" t="s">
        <v>2162</v>
      </c>
      <c r="F2122" t="s">
        <v>9</v>
      </c>
    </row>
    <row r="2123" spans="1:6" x14ac:dyDescent="0.3">
      <c r="A2123" t="s">
        <v>585</v>
      </c>
      <c r="B2123" t="s">
        <v>1240</v>
      </c>
      <c r="C2123" t="str">
        <f>HYPERLINK("http://service.sap.com/sap/support/notes/1974477","1974477")</f>
        <v>1974477</v>
      </c>
      <c r="D2123">
        <v>3</v>
      </c>
      <c r="E2123" t="s">
        <v>2528</v>
      </c>
      <c r="F2123" t="s">
        <v>9</v>
      </c>
    </row>
    <row r="2124" spans="1:6" x14ac:dyDescent="0.3">
      <c r="A2124" t="s">
        <v>585</v>
      </c>
      <c r="B2124" t="s">
        <v>586</v>
      </c>
      <c r="C2124" t="str">
        <f>HYPERLINK("http://service.sap.com/sap/support/notes/1974941","1974941")</f>
        <v>1974941</v>
      </c>
      <c r="D2124">
        <v>16</v>
      </c>
      <c r="E2124" t="s">
        <v>3629</v>
      </c>
      <c r="F2124" t="s">
        <v>9</v>
      </c>
    </row>
    <row r="2125" spans="1:6" x14ac:dyDescent="0.3">
      <c r="A2125" t="s">
        <v>585</v>
      </c>
      <c r="B2125" t="s">
        <v>586</v>
      </c>
      <c r="C2125" t="str">
        <f>HYPERLINK("http://service.sap.com/sap/support/notes/1999975","1999975")</f>
        <v>1999975</v>
      </c>
      <c r="D2125">
        <v>3</v>
      </c>
      <c r="E2125" t="s">
        <v>3630</v>
      </c>
      <c r="F2125" t="s">
        <v>9</v>
      </c>
    </row>
    <row r="2126" spans="1:6" x14ac:dyDescent="0.3">
      <c r="A2126" t="s">
        <v>585</v>
      </c>
      <c r="B2126" t="s">
        <v>1240</v>
      </c>
      <c r="C2126" t="str">
        <f>HYPERLINK("http://service.sap.com/sap/support/notes/1984652","1984652")</f>
        <v>1984652</v>
      </c>
      <c r="D2126">
        <v>2</v>
      </c>
      <c r="E2126" t="s">
        <v>4796</v>
      </c>
      <c r="F2126" t="s">
        <v>9</v>
      </c>
    </row>
    <row r="2127" spans="1:6" x14ac:dyDescent="0.3">
      <c r="A2127" t="s">
        <v>585</v>
      </c>
      <c r="B2127" t="s">
        <v>1240</v>
      </c>
      <c r="C2127" t="str">
        <f>HYPERLINK("http://service.sap.com/sap/support/notes/2033352","2033352")</f>
        <v>2033352</v>
      </c>
      <c r="D2127">
        <v>8</v>
      </c>
      <c r="E2127" t="s">
        <v>4797</v>
      </c>
      <c r="F2127" t="s">
        <v>9</v>
      </c>
    </row>
    <row r="2128" spans="1:6" x14ac:dyDescent="0.3">
      <c r="A2128" t="s">
        <v>585</v>
      </c>
      <c r="B2128" t="s">
        <v>1240</v>
      </c>
      <c r="C2128" t="str">
        <f>HYPERLINK("http://service.sap.com/sap/support/notes/2039192","2039192")</f>
        <v>2039192</v>
      </c>
      <c r="D2128">
        <v>4</v>
      </c>
      <c r="E2128" t="s">
        <v>4798</v>
      </c>
      <c r="F2128" t="s">
        <v>9</v>
      </c>
    </row>
    <row r="2129" spans="1:6" x14ac:dyDescent="0.3">
      <c r="A2129" t="s">
        <v>585</v>
      </c>
      <c r="B2129" t="s">
        <v>1240</v>
      </c>
      <c r="C2129" t="str">
        <f>HYPERLINK("http://service.sap.com/sap/support/notes/2042515","2042515")</f>
        <v>2042515</v>
      </c>
      <c r="D2129">
        <v>2</v>
      </c>
      <c r="E2129" t="s">
        <v>4799</v>
      </c>
      <c r="F2129" t="s">
        <v>9</v>
      </c>
    </row>
    <row r="2130" spans="1:6" x14ac:dyDescent="0.3">
      <c r="A2130" t="s">
        <v>585</v>
      </c>
      <c r="B2130" t="s">
        <v>1240</v>
      </c>
      <c r="C2130" t="str">
        <f>HYPERLINK("http://service.sap.com/sap/support/notes/2044118","2044118")</f>
        <v>2044118</v>
      </c>
      <c r="D2130">
        <v>3</v>
      </c>
      <c r="E2130" t="s">
        <v>4800</v>
      </c>
      <c r="F2130" t="s">
        <v>9</v>
      </c>
    </row>
    <row r="2131" spans="1:6" x14ac:dyDescent="0.3">
      <c r="A2131" t="s">
        <v>585</v>
      </c>
      <c r="B2131" t="s">
        <v>1240</v>
      </c>
      <c r="C2131" t="str">
        <f>HYPERLINK("http://service.sap.com/sap/support/notes/2051870","2051870")</f>
        <v>2051870</v>
      </c>
      <c r="D2131">
        <v>2</v>
      </c>
      <c r="E2131" t="s">
        <v>5175</v>
      </c>
      <c r="F2131" t="s">
        <v>9</v>
      </c>
    </row>
    <row r="2132" spans="1:6" x14ac:dyDescent="0.3">
      <c r="A2132" t="s">
        <v>3631</v>
      </c>
      <c r="B2132" t="s">
        <v>3632</v>
      </c>
      <c r="C2132" t="str">
        <f>HYPERLINK("http://service.sap.com/sap/support/notes/1965415","1965415")</f>
        <v>1965415</v>
      </c>
      <c r="D2132">
        <v>1</v>
      </c>
      <c r="E2132" t="s">
        <v>3633</v>
      </c>
      <c r="F2132" t="s">
        <v>9</v>
      </c>
    </row>
    <row r="2133" spans="1:6" x14ac:dyDescent="0.3">
      <c r="A2133" t="s">
        <v>590</v>
      </c>
      <c r="B2133" t="s">
        <v>591</v>
      </c>
      <c r="C2133" t="str">
        <f>HYPERLINK("http://service.sap.com/sap/support/notes/1909978","1909978")</f>
        <v>1909978</v>
      </c>
      <c r="D2133">
        <v>5</v>
      </c>
      <c r="E2133" t="s">
        <v>592</v>
      </c>
      <c r="F2133" t="s">
        <v>28</v>
      </c>
    </row>
    <row r="2134" spans="1:6" x14ac:dyDescent="0.3">
      <c r="A2134" t="s">
        <v>590</v>
      </c>
      <c r="B2134" t="s">
        <v>591</v>
      </c>
      <c r="C2134" t="str">
        <f>HYPERLINK("http://service.sap.com/sap/support/notes/1925024","1925024")</f>
        <v>1925024</v>
      </c>
      <c r="D2134">
        <v>2</v>
      </c>
      <c r="E2134" t="s">
        <v>593</v>
      </c>
      <c r="F2134" t="s">
        <v>9</v>
      </c>
    </row>
    <row r="2135" spans="1:6" x14ac:dyDescent="0.3">
      <c r="A2135" t="s">
        <v>590</v>
      </c>
      <c r="B2135" t="s">
        <v>591</v>
      </c>
      <c r="C2135" t="str">
        <f>HYPERLINK("http://service.sap.com/sap/support/notes/1931000","1931000")</f>
        <v>1931000</v>
      </c>
      <c r="D2135">
        <v>3</v>
      </c>
      <c r="E2135" t="s">
        <v>594</v>
      </c>
      <c r="F2135" t="s">
        <v>9</v>
      </c>
    </row>
    <row r="2136" spans="1:6" x14ac:dyDescent="0.3">
      <c r="A2136" t="s">
        <v>595</v>
      </c>
      <c r="B2136" t="s">
        <v>596</v>
      </c>
      <c r="C2136" t="str">
        <f>HYPERLINK("http://service.sap.com/sap/support/notes/1922672","1922672")</f>
        <v>1922672</v>
      </c>
      <c r="D2136">
        <v>2</v>
      </c>
      <c r="E2136" t="s">
        <v>597</v>
      </c>
      <c r="F2136" t="s">
        <v>9</v>
      </c>
    </row>
    <row r="2137" spans="1:6" x14ac:dyDescent="0.3">
      <c r="A2137" t="s">
        <v>595</v>
      </c>
      <c r="B2137" t="s">
        <v>596</v>
      </c>
      <c r="C2137" t="str">
        <f>HYPERLINK("http://service.sap.com/sap/support/notes/1941804","1941804")</f>
        <v>1941804</v>
      </c>
      <c r="D2137">
        <v>1</v>
      </c>
      <c r="E2137" t="s">
        <v>1674</v>
      </c>
      <c r="F2137" t="s">
        <v>9</v>
      </c>
    </row>
    <row r="2138" spans="1:6" x14ac:dyDescent="0.3">
      <c r="A2138" t="s">
        <v>595</v>
      </c>
      <c r="B2138" t="s">
        <v>596</v>
      </c>
      <c r="C2138" t="str">
        <f>HYPERLINK("http://service.sap.com/sap/support/notes/1957076","1957076")</f>
        <v>1957076</v>
      </c>
      <c r="D2138">
        <v>1</v>
      </c>
      <c r="E2138" t="s">
        <v>1675</v>
      </c>
      <c r="F2138" t="s">
        <v>9</v>
      </c>
    </row>
    <row r="2139" spans="1:6" x14ac:dyDescent="0.3">
      <c r="A2139" t="s">
        <v>595</v>
      </c>
      <c r="B2139" t="s">
        <v>596</v>
      </c>
      <c r="C2139" t="str">
        <f>HYPERLINK("http://service.sap.com/sap/support/notes/1972229","1972229")</f>
        <v>1972229</v>
      </c>
      <c r="D2139">
        <v>3</v>
      </c>
      <c r="E2139" t="s">
        <v>2529</v>
      </c>
      <c r="F2139" t="s">
        <v>9</v>
      </c>
    </row>
    <row r="2140" spans="1:6" x14ac:dyDescent="0.3">
      <c r="A2140" t="s">
        <v>595</v>
      </c>
      <c r="B2140" t="s">
        <v>596</v>
      </c>
      <c r="C2140" t="str">
        <f>HYPERLINK("http://service.sap.com/sap/support/notes/1961073","1961073")</f>
        <v>1961073</v>
      </c>
      <c r="D2140">
        <v>3</v>
      </c>
      <c r="E2140" t="s">
        <v>2972</v>
      </c>
      <c r="F2140" t="s">
        <v>9</v>
      </c>
    </row>
    <row r="2141" spans="1:6" x14ac:dyDescent="0.3">
      <c r="A2141" t="s">
        <v>595</v>
      </c>
      <c r="B2141" t="s">
        <v>596</v>
      </c>
      <c r="C2141" t="str">
        <f>HYPERLINK("http://service.sap.com/sap/support/notes/1993766","1993766")</f>
        <v>1993766</v>
      </c>
      <c r="D2141">
        <v>2</v>
      </c>
      <c r="E2141" t="s">
        <v>2973</v>
      </c>
      <c r="F2141" t="s">
        <v>9</v>
      </c>
    </row>
    <row r="2142" spans="1:6" x14ac:dyDescent="0.3">
      <c r="A2142" t="s">
        <v>595</v>
      </c>
      <c r="B2142" t="s">
        <v>596</v>
      </c>
      <c r="C2142" t="str">
        <f>HYPERLINK("http://service.sap.com/sap/support/notes/2005037","2005037")</f>
        <v>2005037</v>
      </c>
      <c r="D2142">
        <v>1</v>
      </c>
      <c r="E2142" t="s">
        <v>3634</v>
      </c>
      <c r="F2142" t="s">
        <v>9</v>
      </c>
    </row>
    <row r="2143" spans="1:6" x14ac:dyDescent="0.3">
      <c r="A2143" t="s">
        <v>595</v>
      </c>
      <c r="B2143" t="s">
        <v>596</v>
      </c>
      <c r="C2143" t="str">
        <f>HYPERLINK("http://service.sap.com/sap/support/notes/2006370","2006370")</f>
        <v>2006370</v>
      </c>
      <c r="D2143">
        <v>1</v>
      </c>
      <c r="E2143" t="s">
        <v>3635</v>
      </c>
      <c r="F2143" t="s">
        <v>9</v>
      </c>
    </row>
    <row r="2144" spans="1:6" x14ac:dyDescent="0.3">
      <c r="A2144" t="s">
        <v>595</v>
      </c>
      <c r="B2144" t="s">
        <v>596</v>
      </c>
      <c r="C2144" t="str">
        <f>HYPERLINK("http://service.sap.com/sap/support/notes/1992550","1992550")</f>
        <v>1992550</v>
      </c>
      <c r="D2144">
        <v>2</v>
      </c>
      <c r="E2144" t="s">
        <v>4155</v>
      </c>
      <c r="F2144" t="s">
        <v>9</v>
      </c>
    </row>
    <row r="2145" spans="1:6" x14ac:dyDescent="0.3">
      <c r="A2145" t="s">
        <v>595</v>
      </c>
      <c r="B2145" t="s">
        <v>596</v>
      </c>
      <c r="C2145" t="str">
        <f>HYPERLINK("http://service.sap.com/sap/support/notes/1998647","1998647")</f>
        <v>1998647</v>
      </c>
      <c r="D2145">
        <v>1</v>
      </c>
      <c r="E2145" t="s">
        <v>2529</v>
      </c>
      <c r="F2145" t="s">
        <v>9</v>
      </c>
    </row>
    <row r="2146" spans="1:6" x14ac:dyDescent="0.3">
      <c r="A2146" t="s">
        <v>595</v>
      </c>
      <c r="B2146" t="s">
        <v>596</v>
      </c>
      <c r="C2146" t="str">
        <f>HYPERLINK("http://service.sap.com/sap/support/notes/2022476","2022476")</f>
        <v>2022476</v>
      </c>
      <c r="D2146">
        <v>3</v>
      </c>
      <c r="E2146" t="s">
        <v>4490</v>
      </c>
      <c r="F2146" t="s">
        <v>9</v>
      </c>
    </row>
    <row r="2147" spans="1:6" x14ac:dyDescent="0.3">
      <c r="A2147" t="s">
        <v>595</v>
      </c>
      <c r="B2147" t="s">
        <v>596</v>
      </c>
      <c r="C2147" t="str">
        <f>HYPERLINK("http://service.sap.com/sap/support/notes/2032699","2032699")</f>
        <v>2032699</v>
      </c>
      <c r="D2147">
        <v>1</v>
      </c>
      <c r="E2147" t="s">
        <v>4491</v>
      </c>
      <c r="F2147" t="s">
        <v>16</v>
      </c>
    </row>
    <row r="2148" spans="1:6" x14ac:dyDescent="0.3">
      <c r="A2148" t="s">
        <v>595</v>
      </c>
      <c r="B2148" t="s">
        <v>596</v>
      </c>
      <c r="C2148" t="str">
        <f>HYPERLINK("http://service.sap.com/sap/support/notes/2046385","2046385")</f>
        <v>2046385</v>
      </c>
      <c r="D2148">
        <v>2</v>
      </c>
      <c r="E2148" t="s">
        <v>5176</v>
      </c>
      <c r="F2148" t="s">
        <v>9</v>
      </c>
    </row>
    <row r="2149" spans="1:6" x14ac:dyDescent="0.3">
      <c r="A2149" t="s">
        <v>595</v>
      </c>
      <c r="B2149" t="s">
        <v>596</v>
      </c>
      <c r="C2149" t="str">
        <f>HYPERLINK("http://service.sap.com/sap/support/notes/2051128","2051128")</f>
        <v>2051128</v>
      </c>
      <c r="D2149">
        <v>2</v>
      </c>
      <c r="E2149" t="s">
        <v>5177</v>
      </c>
      <c r="F2149" t="s">
        <v>9</v>
      </c>
    </row>
    <row r="2150" spans="1:6" x14ac:dyDescent="0.3">
      <c r="A2150" t="s">
        <v>595</v>
      </c>
      <c r="B2150" t="s">
        <v>596</v>
      </c>
      <c r="C2150" t="str">
        <f>HYPERLINK("http://service.sap.com/sap/support/notes/2066893","2066893")</f>
        <v>2066893</v>
      </c>
      <c r="D2150">
        <v>1</v>
      </c>
      <c r="E2150" t="s">
        <v>5521</v>
      </c>
      <c r="F2150" t="s">
        <v>9</v>
      </c>
    </row>
    <row r="2151" spans="1:6" x14ac:dyDescent="0.3">
      <c r="A2151" t="s">
        <v>3636</v>
      </c>
      <c r="B2151" t="s">
        <v>3637</v>
      </c>
      <c r="C2151" t="str">
        <f>HYPERLINK("http://service.sap.com/sap/support/notes/2005886","2005886")</f>
        <v>2005886</v>
      </c>
      <c r="D2151">
        <v>1</v>
      </c>
      <c r="E2151" t="s">
        <v>3638</v>
      </c>
      <c r="F2151" t="s">
        <v>16</v>
      </c>
    </row>
    <row r="2152" spans="1:6" x14ac:dyDescent="0.3">
      <c r="A2152" t="s">
        <v>3636</v>
      </c>
      <c r="B2152" t="s">
        <v>4492</v>
      </c>
      <c r="C2152" t="str">
        <f>HYPERLINK("http://service.sap.com/sap/support/notes/2005886","2005886")</f>
        <v>2005886</v>
      </c>
      <c r="D2152">
        <v>1</v>
      </c>
      <c r="E2152" t="s">
        <v>4493</v>
      </c>
      <c r="F2152" t="s">
        <v>16</v>
      </c>
    </row>
    <row r="2153" spans="1:6" x14ac:dyDescent="0.3">
      <c r="A2153" t="s">
        <v>598</v>
      </c>
      <c r="B2153" t="s">
        <v>599</v>
      </c>
      <c r="C2153" t="str">
        <f>HYPERLINK("http://service.sap.com/sap/support/notes/1826976","1826976")</f>
        <v>1826976</v>
      </c>
      <c r="D2153">
        <v>2</v>
      </c>
      <c r="E2153" t="s">
        <v>600</v>
      </c>
      <c r="F2153" t="s">
        <v>16</v>
      </c>
    </row>
    <row r="2154" spans="1:6" x14ac:dyDescent="0.3">
      <c r="A2154" t="s">
        <v>598</v>
      </c>
      <c r="B2154" t="s">
        <v>599</v>
      </c>
      <c r="C2154" t="str">
        <f>HYPERLINK("http://service.sap.com/sap/support/notes/1914222","1914222")</f>
        <v>1914222</v>
      </c>
      <c r="D2154">
        <v>9</v>
      </c>
      <c r="E2154" t="s">
        <v>601</v>
      </c>
      <c r="F2154" t="s">
        <v>9</v>
      </c>
    </row>
    <row r="2155" spans="1:6" x14ac:dyDescent="0.3">
      <c r="A2155" t="s">
        <v>598</v>
      </c>
      <c r="B2155" t="s">
        <v>599</v>
      </c>
      <c r="C2155" t="str">
        <f>HYPERLINK("http://service.sap.com/sap/support/notes/1916173","1916173")</f>
        <v>1916173</v>
      </c>
      <c r="D2155">
        <v>3</v>
      </c>
      <c r="E2155" t="s">
        <v>602</v>
      </c>
      <c r="F2155" t="s">
        <v>9</v>
      </c>
    </row>
    <row r="2156" spans="1:6" x14ac:dyDescent="0.3">
      <c r="A2156" t="s">
        <v>598</v>
      </c>
      <c r="B2156" t="s">
        <v>599</v>
      </c>
      <c r="C2156" t="str">
        <f>HYPERLINK("http://service.sap.com/sap/support/notes/1916971","1916971")</f>
        <v>1916971</v>
      </c>
      <c r="D2156">
        <v>2</v>
      </c>
      <c r="E2156" t="s">
        <v>603</v>
      </c>
      <c r="F2156" t="s">
        <v>9</v>
      </c>
    </row>
    <row r="2157" spans="1:6" x14ac:dyDescent="0.3">
      <c r="A2157" t="s">
        <v>598</v>
      </c>
      <c r="B2157" t="s">
        <v>599</v>
      </c>
      <c r="C2157" t="str">
        <f>HYPERLINK("http://service.sap.com/sap/support/notes/1918339","1918339")</f>
        <v>1918339</v>
      </c>
      <c r="D2157">
        <v>5</v>
      </c>
      <c r="E2157" t="s">
        <v>604</v>
      </c>
      <c r="F2157" t="s">
        <v>9</v>
      </c>
    </row>
    <row r="2158" spans="1:6" x14ac:dyDescent="0.3">
      <c r="A2158" t="s">
        <v>598</v>
      </c>
      <c r="B2158" t="s">
        <v>599</v>
      </c>
      <c r="C2158" t="str">
        <f>HYPERLINK("http://service.sap.com/sap/support/notes/1920177","1920177")</f>
        <v>1920177</v>
      </c>
      <c r="D2158">
        <v>1</v>
      </c>
      <c r="E2158" t="s">
        <v>605</v>
      </c>
      <c r="F2158" t="s">
        <v>9</v>
      </c>
    </row>
    <row r="2159" spans="1:6" x14ac:dyDescent="0.3">
      <c r="A2159" t="s">
        <v>598</v>
      </c>
      <c r="B2159" t="s">
        <v>599</v>
      </c>
      <c r="C2159" t="str">
        <f>HYPERLINK("http://service.sap.com/sap/support/notes/1925542","1925542")</f>
        <v>1925542</v>
      </c>
      <c r="D2159">
        <v>6</v>
      </c>
      <c r="E2159" t="s">
        <v>1242</v>
      </c>
      <c r="F2159" t="s">
        <v>9</v>
      </c>
    </row>
    <row r="2160" spans="1:6" x14ac:dyDescent="0.3">
      <c r="A2160" t="s">
        <v>598</v>
      </c>
      <c r="B2160" t="s">
        <v>599</v>
      </c>
      <c r="C2160" t="str">
        <f>HYPERLINK("http://service.sap.com/sap/support/notes/1933616","1933616")</f>
        <v>1933616</v>
      </c>
      <c r="D2160">
        <v>1</v>
      </c>
      <c r="E2160" t="s">
        <v>1243</v>
      </c>
      <c r="F2160" t="s">
        <v>9</v>
      </c>
    </row>
    <row r="2161" spans="1:6" x14ac:dyDescent="0.3">
      <c r="A2161" t="s">
        <v>598</v>
      </c>
      <c r="B2161" t="s">
        <v>599</v>
      </c>
      <c r="C2161" t="str">
        <f>HYPERLINK("http://service.sap.com/sap/support/notes/1942758","1942758")</f>
        <v>1942758</v>
      </c>
      <c r="D2161">
        <v>2</v>
      </c>
      <c r="E2161" t="s">
        <v>1422</v>
      </c>
      <c r="F2161" t="s">
        <v>9</v>
      </c>
    </row>
    <row r="2162" spans="1:6" x14ac:dyDescent="0.3">
      <c r="A2162" t="s">
        <v>598</v>
      </c>
      <c r="B2162" t="s">
        <v>599</v>
      </c>
      <c r="C2162" t="str">
        <f>HYPERLINK("http://service.sap.com/sap/support/notes/1941691","1941691")</f>
        <v>1941691</v>
      </c>
      <c r="D2162">
        <v>1</v>
      </c>
      <c r="E2162" t="s">
        <v>1676</v>
      </c>
      <c r="F2162" t="s">
        <v>9</v>
      </c>
    </row>
    <row r="2163" spans="1:6" x14ac:dyDescent="0.3">
      <c r="A2163" t="s">
        <v>598</v>
      </c>
      <c r="B2163" t="s">
        <v>599</v>
      </c>
      <c r="C2163" t="str">
        <f>HYPERLINK("http://service.sap.com/sap/support/notes/1942732","1942732")</f>
        <v>1942732</v>
      </c>
      <c r="D2163">
        <v>6</v>
      </c>
      <c r="E2163" t="s">
        <v>1677</v>
      </c>
      <c r="F2163" t="s">
        <v>9</v>
      </c>
    </row>
    <row r="2164" spans="1:6" x14ac:dyDescent="0.3">
      <c r="A2164" t="s">
        <v>598</v>
      </c>
      <c r="B2164" t="s">
        <v>599</v>
      </c>
      <c r="C2164" t="str">
        <f>HYPERLINK("http://service.sap.com/sap/support/notes/1948312","1948312")</f>
        <v>1948312</v>
      </c>
      <c r="D2164">
        <v>1</v>
      </c>
      <c r="E2164" t="s">
        <v>1678</v>
      </c>
      <c r="F2164" t="s">
        <v>9</v>
      </c>
    </row>
    <row r="2165" spans="1:6" x14ac:dyDescent="0.3">
      <c r="A2165" t="s">
        <v>598</v>
      </c>
      <c r="B2165" t="s">
        <v>599</v>
      </c>
      <c r="C2165" t="str">
        <f>HYPERLINK("http://service.sap.com/sap/support/notes/1950097","1950097")</f>
        <v>1950097</v>
      </c>
      <c r="D2165">
        <v>3</v>
      </c>
      <c r="E2165" t="s">
        <v>1679</v>
      </c>
      <c r="F2165" t="s">
        <v>9</v>
      </c>
    </row>
    <row r="2166" spans="1:6" x14ac:dyDescent="0.3">
      <c r="A2166" t="s">
        <v>598</v>
      </c>
      <c r="B2166" t="s">
        <v>599</v>
      </c>
      <c r="C2166" t="str">
        <f>HYPERLINK("http://service.sap.com/sap/support/notes/1951585","1951585")</f>
        <v>1951585</v>
      </c>
      <c r="D2166">
        <v>1</v>
      </c>
      <c r="E2166" t="s">
        <v>1680</v>
      </c>
      <c r="F2166" t="s">
        <v>9</v>
      </c>
    </row>
    <row r="2167" spans="1:6" x14ac:dyDescent="0.3">
      <c r="A2167" t="s">
        <v>598</v>
      </c>
      <c r="B2167" t="s">
        <v>599</v>
      </c>
      <c r="C2167" t="str">
        <f>HYPERLINK("http://service.sap.com/sap/support/notes/146944","146944")</f>
        <v>146944</v>
      </c>
      <c r="D2167">
        <v>34</v>
      </c>
      <c r="E2167" t="s">
        <v>2163</v>
      </c>
      <c r="F2167" t="s">
        <v>28</v>
      </c>
    </row>
    <row r="2168" spans="1:6" x14ac:dyDescent="0.3">
      <c r="A2168" t="s">
        <v>598</v>
      </c>
      <c r="B2168" t="s">
        <v>599</v>
      </c>
      <c r="C2168" t="str">
        <f>HYPERLINK("http://service.sap.com/sap/support/notes/1727285","1727285")</f>
        <v>1727285</v>
      </c>
      <c r="D2168">
        <v>2</v>
      </c>
      <c r="E2168" t="s">
        <v>2530</v>
      </c>
      <c r="F2168" t="s">
        <v>16</v>
      </c>
    </row>
    <row r="2169" spans="1:6" x14ac:dyDescent="0.3">
      <c r="A2169" t="s">
        <v>598</v>
      </c>
      <c r="B2169" t="s">
        <v>599</v>
      </c>
      <c r="C2169" t="str">
        <f>HYPERLINK("http://service.sap.com/sap/support/notes/1818653","1818653")</f>
        <v>1818653</v>
      </c>
      <c r="D2169">
        <v>4</v>
      </c>
      <c r="E2169" t="s">
        <v>2531</v>
      </c>
      <c r="F2169" t="s">
        <v>9</v>
      </c>
    </row>
    <row r="2170" spans="1:6" x14ac:dyDescent="0.3">
      <c r="A2170" t="s">
        <v>598</v>
      </c>
      <c r="B2170" t="s">
        <v>599</v>
      </c>
      <c r="C2170" t="str">
        <f>HYPERLINK("http://service.sap.com/sap/support/notes/1957099","1957099")</f>
        <v>1957099</v>
      </c>
      <c r="D2170">
        <v>2</v>
      </c>
      <c r="E2170" t="s">
        <v>2532</v>
      </c>
      <c r="F2170" t="s">
        <v>9</v>
      </c>
    </row>
    <row r="2171" spans="1:6" x14ac:dyDescent="0.3">
      <c r="A2171" t="s">
        <v>598</v>
      </c>
      <c r="B2171" t="s">
        <v>599</v>
      </c>
      <c r="C2171" t="str">
        <f>HYPERLINK("http://service.sap.com/sap/support/notes/1974288","1974288")</f>
        <v>1974288</v>
      </c>
      <c r="D2171">
        <v>2</v>
      </c>
      <c r="E2171" t="s">
        <v>2533</v>
      </c>
      <c r="F2171" t="s">
        <v>9</v>
      </c>
    </row>
    <row r="2172" spans="1:6" x14ac:dyDescent="0.3">
      <c r="A2172" t="s">
        <v>598</v>
      </c>
      <c r="B2172" t="s">
        <v>599</v>
      </c>
      <c r="C2172" t="str">
        <f>HYPERLINK("http://service.sap.com/sap/support/notes/1955933","1955933")</f>
        <v>1955933</v>
      </c>
      <c r="D2172">
        <v>6</v>
      </c>
      <c r="E2172" t="s">
        <v>2974</v>
      </c>
      <c r="F2172" t="s">
        <v>9</v>
      </c>
    </row>
    <row r="2173" spans="1:6" x14ac:dyDescent="0.3">
      <c r="A2173" t="s">
        <v>598</v>
      </c>
      <c r="B2173" t="s">
        <v>599</v>
      </c>
      <c r="C2173" t="str">
        <f>HYPERLINK("http://service.sap.com/sap/support/notes/1976973","1976973")</f>
        <v>1976973</v>
      </c>
      <c r="D2173">
        <v>3</v>
      </c>
      <c r="E2173" t="s">
        <v>2975</v>
      </c>
      <c r="F2173" t="s">
        <v>9</v>
      </c>
    </row>
    <row r="2174" spans="1:6" x14ac:dyDescent="0.3">
      <c r="A2174" t="s">
        <v>598</v>
      </c>
      <c r="B2174" t="s">
        <v>599</v>
      </c>
      <c r="C2174" t="str">
        <f>HYPERLINK("http://service.sap.com/sap/support/notes/1977358","1977358")</f>
        <v>1977358</v>
      </c>
      <c r="D2174">
        <v>3</v>
      </c>
      <c r="E2174" t="s">
        <v>2976</v>
      </c>
      <c r="F2174" t="s">
        <v>9</v>
      </c>
    </row>
    <row r="2175" spans="1:6" x14ac:dyDescent="0.3">
      <c r="A2175" t="s">
        <v>598</v>
      </c>
      <c r="B2175" t="s">
        <v>599</v>
      </c>
      <c r="C2175" t="str">
        <f>HYPERLINK("http://service.sap.com/sap/support/notes/1977359","1977359")</f>
        <v>1977359</v>
      </c>
      <c r="D2175">
        <v>3</v>
      </c>
      <c r="E2175" t="s">
        <v>3639</v>
      </c>
      <c r="F2175" t="s">
        <v>9</v>
      </c>
    </row>
    <row r="2176" spans="1:6" x14ac:dyDescent="0.3">
      <c r="A2176" t="s">
        <v>598</v>
      </c>
      <c r="B2176" t="s">
        <v>599</v>
      </c>
      <c r="C2176" t="str">
        <f>HYPERLINK("http://service.sap.com/sap/support/notes/1986568","1986568")</f>
        <v>1986568</v>
      </c>
      <c r="D2176">
        <v>1</v>
      </c>
      <c r="E2176" t="s">
        <v>3640</v>
      </c>
      <c r="F2176" t="s">
        <v>9</v>
      </c>
    </row>
    <row r="2177" spans="1:6" x14ac:dyDescent="0.3">
      <c r="A2177" t="s">
        <v>598</v>
      </c>
      <c r="B2177" t="s">
        <v>599</v>
      </c>
      <c r="C2177" t="str">
        <f>HYPERLINK("http://service.sap.com/sap/support/notes/1980019","1980019")</f>
        <v>1980019</v>
      </c>
      <c r="D2177">
        <v>6</v>
      </c>
      <c r="E2177" t="s">
        <v>4156</v>
      </c>
      <c r="F2177" t="s">
        <v>9</v>
      </c>
    </row>
    <row r="2178" spans="1:6" x14ac:dyDescent="0.3">
      <c r="A2178" t="s">
        <v>598</v>
      </c>
      <c r="B2178" t="s">
        <v>599</v>
      </c>
      <c r="C2178" t="str">
        <f>HYPERLINK("http://service.sap.com/sap/support/notes/1993000","1993000")</f>
        <v>1993000</v>
      </c>
      <c r="D2178">
        <v>6</v>
      </c>
      <c r="E2178" t="s">
        <v>4157</v>
      </c>
      <c r="F2178" t="s">
        <v>9</v>
      </c>
    </row>
    <row r="2179" spans="1:6" x14ac:dyDescent="0.3">
      <c r="A2179" t="s">
        <v>598</v>
      </c>
      <c r="B2179" t="s">
        <v>599</v>
      </c>
      <c r="C2179" t="str">
        <f>HYPERLINK("http://service.sap.com/sap/support/notes/2005365","2005365")</f>
        <v>2005365</v>
      </c>
      <c r="D2179">
        <v>1</v>
      </c>
      <c r="E2179" t="s">
        <v>4158</v>
      </c>
      <c r="F2179" t="s">
        <v>9</v>
      </c>
    </row>
    <row r="2180" spans="1:6" x14ac:dyDescent="0.3">
      <c r="A2180" t="s">
        <v>598</v>
      </c>
      <c r="B2180" t="s">
        <v>599</v>
      </c>
      <c r="C2180" t="str">
        <f>HYPERLINK("http://service.sap.com/sap/support/notes/2008412","2008412")</f>
        <v>2008412</v>
      </c>
      <c r="D2180">
        <v>1</v>
      </c>
      <c r="E2180" t="s">
        <v>4159</v>
      </c>
      <c r="F2180" t="s">
        <v>9</v>
      </c>
    </row>
    <row r="2181" spans="1:6" x14ac:dyDescent="0.3">
      <c r="A2181" t="s">
        <v>598</v>
      </c>
      <c r="B2181" t="s">
        <v>599</v>
      </c>
      <c r="C2181" t="str">
        <f>HYPERLINK("http://service.sap.com/sap/support/notes/2019042","2019042")</f>
        <v>2019042</v>
      </c>
      <c r="D2181">
        <v>1</v>
      </c>
      <c r="E2181" t="s">
        <v>4160</v>
      </c>
      <c r="F2181" t="s">
        <v>9</v>
      </c>
    </row>
    <row r="2182" spans="1:6" x14ac:dyDescent="0.3">
      <c r="A2182" t="s">
        <v>598</v>
      </c>
      <c r="B2182" t="s">
        <v>599</v>
      </c>
      <c r="C2182" t="str">
        <f>HYPERLINK("http://service.sap.com/sap/support/notes/2022308","2022308")</f>
        <v>2022308</v>
      </c>
      <c r="D2182">
        <v>2</v>
      </c>
      <c r="E2182" t="s">
        <v>4161</v>
      </c>
      <c r="F2182" t="s">
        <v>28</v>
      </c>
    </row>
    <row r="2183" spans="1:6" x14ac:dyDescent="0.3">
      <c r="A2183" t="s">
        <v>598</v>
      </c>
      <c r="B2183" t="s">
        <v>599</v>
      </c>
      <c r="C2183" t="str">
        <f>HYPERLINK("http://service.sap.com/sap/support/notes/2001339","2001339")</f>
        <v>2001339</v>
      </c>
      <c r="D2183">
        <v>11</v>
      </c>
      <c r="E2183" t="s">
        <v>4494</v>
      </c>
      <c r="F2183" t="s">
        <v>9</v>
      </c>
    </row>
    <row r="2184" spans="1:6" x14ac:dyDescent="0.3">
      <c r="A2184" t="s">
        <v>598</v>
      </c>
      <c r="B2184" t="s">
        <v>599</v>
      </c>
      <c r="C2184" t="str">
        <f>HYPERLINK("http://service.sap.com/sap/support/notes/2019042","2019042")</f>
        <v>2019042</v>
      </c>
      <c r="D2184">
        <v>1</v>
      </c>
      <c r="E2184" t="s">
        <v>4160</v>
      </c>
      <c r="F2184" t="s">
        <v>9</v>
      </c>
    </row>
    <row r="2185" spans="1:6" x14ac:dyDescent="0.3">
      <c r="A2185" t="s">
        <v>598</v>
      </c>
      <c r="B2185" t="s">
        <v>599</v>
      </c>
      <c r="C2185" t="str">
        <f>HYPERLINK("http://service.sap.com/sap/support/notes/2026303","2026303")</f>
        <v>2026303</v>
      </c>
      <c r="D2185">
        <v>2</v>
      </c>
      <c r="E2185" t="s">
        <v>4495</v>
      </c>
      <c r="F2185" t="s">
        <v>9</v>
      </c>
    </row>
    <row r="2186" spans="1:6" x14ac:dyDescent="0.3">
      <c r="A2186" t="s">
        <v>598</v>
      </c>
      <c r="B2186" t="s">
        <v>599</v>
      </c>
      <c r="C2186" t="str">
        <f>HYPERLINK("http://service.sap.com/sap/support/notes/2026409","2026409")</f>
        <v>2026409</v>
      </c>
      <c r="D2186">
        <v>1</v>
      </c>
      <c r="E2186" t="s">
        <v>4496</v>
      </c>
      <c r="F2186" t="s">
        <v>16</v>
      </c>
    </row>
    <row r="2187" spans="1:6" x14ac:dyDescent="0.3">
      <c r="A2187" t="s">
        <v>598</v>
      </c>
      <c r="B2187" t="s">
        <v>599</v>
      </c>
      <c r="C2187" t="str">
        <f>HYPERLINK("http://service.sap.com/sap/support/notes/146944","146944")</f>
        <v>146944</v>
      </c>
      <c r="D2187">
        <v>34</v>
      </c>
      <c r="E2187" t="s">
        <v>2163</v>
      </c>
      <c r="F2187" t="s">
        <v>28</v>
      </c>
    </row>
    <row r="2188" spans="1:6" x14ac:dyDescent="0.3">
      <c r="A2188" t="s">
        <v>598</v>
      </c>
      <c r="B2188" t="s">
        <v>599</v>
      </c>
      <c r="C2188" t="str">
        <f>HYPERLINK("http://service.sap.com/sap/support/notes/1895369","1895369")</f>
        <v>1895369</v>
      </c>
      <c r="D2188">
        <v>2</v>
      </c>
      <c r="E2188" t="s">
        <v>4801</v>
      </c>
      <c r="F2188" t="s">
        <v>9</v>
      </c>
    </row>
    <row r="2189" spans="1:6" x14ac:dyDescent="0.3">
      <c r="A2189" t="s">
        <v>598</v>
      </c>
      <c r="B2189" t="s">
        <v>599</v>
      </c>
      <c r="C2189" t="str">
        <f>HYPERLINK("http://service.sap.com/sap/support/notes/2033963","2033963")</f>
        <v>2033963</v>
      </c>
      <c r="D2189">
        <v>2</v>
      </c>
      <c r="E2189" t="s">
        <v>4802</v>
      </c>
      <c r="F2189" t="s">
        <v>28</v>
      </c>
    </row>
    <row r="2190" spans="1:6" x14ac:dyDescent="0.3">
      <c r="A2190" t="s">
        <v>598</v>
      </c>
      <c r="B2190" t="s">
        <v>599</v>
      </c>
      <c r="C2190" t="str">
        <f>HYPERLINK("http://service.sap.com/sap/support/notes/2025426","2025426")</f>
        <v>2025426</v>
      </c>
      <c r="D2190">
        <v>6</v>
      </c>
      <c r="E2190" t="s">
        <v>5178</v>
      </c>
      <c r="F2190" t="s">
        <v>9</v>
      </c>
    </row>
    <row r="2191" spans="1:6" x14ac:dyDescent="0.3">
      <c r="A2191" t="s">
        <v>598</v>
      </c>
      <c r="B2191" t="s">
        <v>599</v>
      </c>
      <c r="C2191" t="str">
        <f>HYPERLINK("http://service.sap.com/sap/support/notes/2050040","2050040")</f>
        <v>2050040</v>
      </c>
      <c r="D2191">
        <v>1</v>
      </c>
      <c r="E2191" t="s">
        <v>5179</v>
      </c>
      <c r="F2191" t="s">
        <v>9</v>
      </c>
    </row>
    <row r="2192" spans="1:6" x14ac:dyDescent="0.3">
      <c r="A2192" t="s">
        <v>598</v>
      </c>
      <c r="B2192" t="s">
        <v>599</v>
      </c>
      <c r="C2192" t="str">
        <f>HYPERLINK("http://service.sap.com/sap/support/notes/2055847","2055847")</f>
        <v>2055847</v>
      </c>
      <c r="D2192">
        <v>2</v>
      </c>
      <c r="E2192" t="s">
        <v>5180</v>
      </c>
      <c r="F2192" t="s">
        <v>16</v>
      </c>
    </row>
    <row r="2193" spans="1:6" x14ac:dyDescent="0.3">
      <c r="A2193" t="s">
        <v>598</v>
      </c>
      <c r="B2193" t="s">
        <v>599</v>
      </c>
      <c r="C2193" t="str">
        <f>HYPERLINK("http://service.sap.com/sap/support/notes/2037229","2037229")</f>
        <v>2037229</v>
      </c>
      <c r="D2193">
        <v>6</v>
      </c>
      <c r="E2193" t="s">
        <v>5522</v>
      </c>
      <c r="F2193" t="s">
        <v>9</v>
      </c>
    </row>
    <row r="2194" spans="1:6" x14ac:dyDescent="0.3">
      <c r="A2194" t="s">
        <v>598</v>
      </c>
      <c r="B2194" t="s">
        <v>599</v>
      </c>
      <c r="C2194" t="str">
        <f>HYPERLINK("http://service.sap.com/sap/support/notes/2051236","2051236")</f>
        <v>2051236</v>
      </c>
      <c r="D2194">
        <v>2</v>
      </c>
      <c r="E2194" t="s">
        <v>5523</v>
      </c>
      <c r="F2194" t="s">
        <v>9</v>
      </c>
    </row>
    <row r="2195" spans="1:6" x14ac:dyDescent="0.3">
      <c r="A2195" t="s">
        <v>598</v>
      </c>
      <c r="B2195" t="s">
        <v>599</v>
      </c>
      <c r="C2195" t="str">
        <f>HYPERLINK("http://service.sap.com/sap/support/notes/2055401","2055401")</f>
        <v>2055401</v>
      </c>
      <c r="D2195">
        <v>3</v>
      </c>
      <c r="E2195" t="s">
        <v>5524</v>
      </c>
      <c r="F2195" t="s">
        <v>9</v>
      </c>
    </row>
    <row r="2196" spans="1:6" x14ac:dyDescent="0.3">
      <c r="A2196" t="s">
        <v>606</v>
      </c>
      <c r="B2196" t="s">
        <v>607</v>
      </c>
      <c r="C2196" t="str">
        <f>HYPERLINK("http://service.sap.com/sap/support/notes/1871911","1871911")</f>
        <v>1871911</v>
      </c>
      <c r="D2196">
        <v>1</v>
      </c>
      <c r="E2196" t="s">
        <v>608</v>
      </c>
      <c r="F2196" t="s">
        <v>9</v>
      </c>
    </row>
    <row r="2197" spans="1:6" x14ac:dyDescent="0.3">
      <c r="A2197" t="s">
        <v>606</v>
      </c>
      <c r="B2197" t="s">
        <v>607</v>
      </c>
      <c r="C2197" t="str">
        <f>HYPERLINK("http://service.sap.com/sap/support/notes/1915537","1915537")</f>
        <v>1915537</v>
      </c>
      <c r="D2197">
        <v>3</v>
      </c>
      <c r="E2197" t="s">
        <v>609</v>
      </c>
      <c r="F2197" t="s">
        <v>9</v>
      </c>
    </row>
    <row r="2198" spans="1:6" x14ac:dyDescent="0.3">
      <c r="A2198" t="s">
        <v>606</v>
      </c>
      <c r="B2198" t="s">
        <v>607</v>
      </c>
      <c r="C2198" t="str">
        <f>HYPERLINK("http://service.sap.com/sap/support/notes/1917446","1917446")</f>
        <v>1917446</v>
      </c>
      <c r="D2198">
        <v>1</v>
      </c>
      <c r="E2198" t="s">
        <v>610</v>
      </c>
      <c r="F2198" t="s">
        <v>9</v>
      </c>
    </row>
    <row r="2199" spans="1:6" x14ac:dyDescent="0.3">
      <c r="A2199" t="s">
        <v>606</v>
      </c>
      <c r="B2199" t="s">
        <v>607</v>
      </c>
      <c r="C2199" t="str">
        <f>HYPERLINK("http://service.sap.com/sap/support/notes/1919213","1919213")</f>
        <v>1919213</v>
      </c>
      <c r="D2199">
        <v>1</v>
      </c>
      <c r="E2199" t="s">
        <v>611</v>
      </c>
      <c r="F2199" t="s">
        <v>16</v>
      </c>
    </row>
    <row r="2200" spans="1:6" x14ac:dyDescent="0.3">
      <c r="A2200" t="s">
        <v>606</v>
      </c>
      <c r="B2200" t="s">
        <v>607</v>
      </c>
      <c r="C2200" t="str">
        <f>HYPERLINK("http://service.sap.com/sap/support/notes/1919730","1919730")</f>
        <v>1919730</v>
      </c>
      <c r="D2200">
        <v>1</v>
      </c>
      <c r="E2200" t="s">
        <v>612</v>
      </c>
      <c r="F2200" t="s">
        <v>9</v>
      </c>
    </row>
    <row r="2201" spans="1:6" x14ac:dyDescent="0.3">
      <c r="A2201" t="s">
        <v>606</v>
      </c>
      <c r="B2201" t="s">
        <v>607</v>
      </c>
      <c r="C2201" t="str">
        <f>HYPERLINK("http://service.sap.com/sap/support/notes/1923735","1923735")</f>
        <v>1923735</v>
      </c>
      <c r="D2201">
        <v>1</v>
      </c>
      <c r="E2201" t="s">
        <v>613</v>
      </c>
      <c r="F2201" t="s">
        <v>16</v>
      </c>
    </row>
    <row r="2202" spans="1:6" x14ac:dyDescent="0.3">
      <c r="A2202" t="s">
        <v>606</v>
      </c>
      <c r="B2202" t="s">
        <v>607</v>
      </c>
      <c r="C2202" t="str">
        <f>HYPERLINK("http://service.sap.com/sap/support/notes/1924448","1924448")</f>
        <v>1924448</v>
      </c>
      <c r="D2202">
        <v>1</v>
      </c>
      <c r="E2202" t="s">
        <v>614</v>
      </c>
      <c r="F2202" t="s">
        <v>9</v>
      </c>
    </row>
    <row r="2203" spans="1:6" x14ac:dyDescent="0.3">
      <c r="A2203" t="s">
        <v>606</v>
      </c>
      <c r="B2203" t="s">
        <v>607</v>
      </c>
      <c r="C2203" t="str">
        <f>HYPERLINK("http://service.sap.com/sap/support/notes/1929408","1929408")</f>
        <v>1929408</v>
      </c>
      <c r="D2203">
        <v>2</v>
      </c>
      <c r="E2203" t="s">
        <v>615</v>
      </c>
      <c r="F2203" t="s">
        <v>9</v>
      </c>
    </row>
    <row r="2204" spans="1:6" x14ac:dyDescent="0.3">
      <c r="A2204" t="s">
        <v>606</v>
      </c>
      <c r="B2204" t="s">
        <v>607</v>
      </c>
      <c r="C2204" t="str">
        <f>HYPERLINK("http://service.sap.com/sap/support/notes/1910310","1910310")</f>
        <v>1910310</v>
      </c>
      <c r="D2204">
        <v>3</v>
      </c>
      <c r="E2204" t="s">
        <v>1244</v>
      </c>
      <c r="F2204" t="s">
        <v>9</v>
      </c>
    </row>
    <row r="2205" spans="1:6" x14ac:dyDescent="0.3">
      <c r="A2205" t="s">
        <v>606</v>
      </c>
      <c r="B2205" t="s">
        <v>607</v>
      </c>
      <c r="C2205" t="str">
        <f>HYPERLINK("http://service.sap.com/sap/support/notes/1956424","1956424")</f>
        <v>1956424</v>
      </c>
      <c r="D2205">
        <v>1</v>
      </c>
      <c r="E2205" t="s">
        <v>1681</v>
      </c>
      <c r="F2205" t="s">
        <v>9</v>
      </c>
    </row>
    <row r="2206" spans="1:6" x14ac:dyDescent="0.3">
      <c r="A2206" t="s">
        <v>606</v>
      </c>
      <c r="B2206" t="s">
        <v>607</v>
      </c>
      <c r="C2206" t="str">
        <f>HYPERLINK("http://service.sap.com/sap/support/notes/1936667","1936667")</f>
        <v>1936667</v>
      </c>
      <c r="D2206">
        <v>2</v>
      </c>
      <c r="E2206" t="s">
        <v>2164</v>
      </c>
      <c r="F2206" t="s">
        <v>9</v>
      </c>
    </row>
    <row r="2207" spans="1:6" x14ac:dyDescent="0.3">
      <c r="A2207" t="s">
        <v>606</v>
      </c>
      <c r="B2207" t="s">
        <v>607</v>
      </c>
      <c r="C2207" t="str">
        <f>HYPERLINK("http://service.sap.com/sap/support/notes/1962039","1962039")</f>
        <v>1962039</v>
      </c>
      <c r="D2207">
        <v>2</v>
      </c>
      <c r="E2207" t="s">
        <v>2165</v>
      </c>
      <c r="F2207" t="s">
        <v>9</v>
      </c>
    </row>
    <row r="2208" spans="1:6" x14ac:dyDescent="0.3">
      <c r="A2208" t="s">
        <v>606</v>
      </c>
      <c r="B2208" t="s">
        <v>607</v>
      </c>
      <c r="C2208" t="str">
        <f>HYPERLINK("http://service.sap.com/sap/support/notes/1963131","1963131")</f>
        <v>1963131</v>
      </c>
      <c r="D2208">
        <v>2</v>
      </c>
      <c r="E2208" t="s">
        <v>2166</v>
      </c>
      <c r="F2208" t="s">
        <v>28</v>
      </c>
    </row>
    <row r="2209" spans="1:6" x14ac:dyDescent="0.3">
      <c r="A2209" t="s">
        <v>606</v>
      </c>
      <c r="B2209" t="s">
        <v>607</v>
      </c>
      <c r="C2209" t="str">
        <f>HYPERLINK("http://service.sap.com/sap/support/notes/1965046","1965046")</f>
        <v>1965046</v>
      </c>
      <c r="D2209">
        <v>3</v>
      </c>
      <c r="E2209" t="s">
        <v>2167</v>
      </c>
      <c r="F2209" t="s">
        <v>9</v>
      </c>
    </row>
    <row r="2210" spans="1:6" x14ac:dyDescent="0.3">
      <c r="A2210" t="s">
        <v>606</v>
      </c>
      <c r="B2210" t="s">
        <v>607</v>
      </c>
      <c r="C2210" t="str">
        <f>HYPERLINK("http://service.sap.com/sap/support/notes/1966374","1966374")</f>
        <v>1966374</v>
      </c>
      <c r="D2210">
        <v>3</v>
      </c>
      <c r="E2210" t="s">
        <v>2168</v>
      </c>
      <c r="F2210" t="s">
        <v>28</v>
      </c>
    </row>
    <row r="2211" spans="1:6" x14ac:dyDescent="0.3">
      <c r="A2211" t="s">
        <v>606</v>
      </c>
      <c r="B2211" t="s">
        <v>607</v>
      </c>
      <c r="C2211" t="str">
        <f>HYPERLINK("http://service.sap.com/sap/support/notes/1952590","1952590")</f>
        <v>1952590</v>
      </c>
      <c r="D2211">
        <v>1</v>
      </c>
      <c r="E2211" t="s">
        <v>2534</v>
      </c>
      <c r="F2211" t="s">
        <v>9</v>
      </c>
    </row>
    <row r="2212" spans="1:6" x14ac:dyDescent="0.3">
      <c r="A2212" t="s">
        <v>606</v>
      </c>
      <c r="B2212" t="s">
        <v>607</v>
      </c>
      <c r="C2212" t="str">
        <f>HYPERLINK("http://service.sap.com/sap/support/notes/1974766","1974766")</f>
        <v>1974766</v>
      </c>
      <c r="D2212">
        <v>1</v>
      </c>
      <c r="E2212" t="s">
        <v>2535</v>
      </c>
      <c r="F2212" t="s">
        <v>9</v>
      </c>
    </row>
    <row r="2213" spans="1:6" x14ac:dyDescent="0.3">
      <c r="A2213" t="s">
        <v>606</v>
      </c>
      <c r="B2213" t="s">
        <v>607</v>
      </c>
      <c r="C2213" t="str">
        <f>HYPERLINK("http://service.sap.com/sap/support/notes/1977461","1977461")</f>
        <v>1977461</v>
      </c>
      <c r="D2213">
        <v>2</v>
      </c>
      <c r="E2213" t="s">
        <v>2536</v>
      </c>
      <c r="F2213" t="s">
        <v>9</v>
      </c>
    </row>
    <row r="2214" spans="1:6" x14ac:dyDescent="0.3">
      <c r="A2214" t="s">
        <v>606</v>
      </c>
      <c r="B2214" t="s">
        <v>607</v>
      </c>
      <c r="C2214" t="str">
        <f>HYPERLINK("http://service.sap.com/sap/support/notes/1974093","1974093")</f>
        <v>1974093</v>
      </c>
      <c r="D2214">
        <v>3</v>
      </c>
      <c r="E2214" t="s">
        <v>2977</v>
      </c>
      <c r="F2214" t="s">
        <v>9</v>
      </c>
    </row>
    <row r="2215" spans="1:6" x14ac:dyDescent="0.3">
      <c r="A2215" t="s">
        <v>606</v>
      </c>
      <c r="B2215" t="s">
        <v>607</v>
      </c>
      <c r="C2215" t="str">
        <f>HYPERLINK("http://service.sap.com/sap/support/notes/1983393","1983393")</f>
        <v>1983393</v>
      </c>
      <c r="D2215">
        <v>1</v>
      </c>
      <c r="E2215" t="s">
        <v>2978</v>
      </c>
      <c r="F2215" t="s">
        <v>9</v>
      </c>
    </row>
    <row r="2216" spans="1:6" x14ac:dyDescent="0.3">
      <c r="A2216" t="s">
        <v>606</v>
      </c>
      <c r="B2216" t="s">
        <v>607</v>
      </c>
      <c r="C2216" t="str">
        <f>HYPERLINK("http://service.sap.com/sap/support/notes/1984668","1984668")</f>
        <v>1984668</v>
      </c>
      <c r="D2216">
        <v>9</v>
      </c>
      <c r="E2216" t="s">
        <v>2979</v>
      </c>
      <c r="F2216" t="s">
        <v>9</v>
      </c>
    </row>
    <row r="2217" spans="1:6" x14ac:dyDescent="0.3">
      <c r="A2217" t="s">
        <v>606</v>
      </c>
      <c r="B2217" t="s">
        <v>607</v>
      </c>
      <c r="C2217" t="str">
        <f>HYPERLINK("http://service.sap.com/sap/support/notes/1989283","1989283")</f>
        <v>1989283</v>
      </c>
      <c r="D2217">
        <v>2</v>
      </c>
      <c r="E2217" t="s">
        <v>2980</v>
      </c>
      <c r="F2217" t="s">
        <v>9</v>
      </c>
    </row>
    <row r="2218" spans="1:6" x14ac:dyDescent="0.3">
      <c r="A2218" t="s">
        <v>606</v>
      </c>
      <c r="B2218" t="s">
        <v>607</v>
      </c>
      <c r="C2218" t="str">
        <f>HYPERLINK("http://service.sap.com/sap/support/notes/1991908","1991908")</f>
        <v>1991908</v>
      </c>
      <c r="D2218">
        <v>3</v>
      </c>
      <c r="E2218" t="s">
        <v>3641</v>
      </c>
      <c r="F2218" t="s">
        <v>9</v>
      </c>
    </row>
    <row r="2219" spans="1:6" x14ac:dyDescent="0.3">
      <c r="A2219" t="s">
        <v>606</v>
      </c>
      <c r="B2219" t="s">
        <v>607</v>
      </c>
      <c r="C2219" t="str">
        <f>HYPERLINK("http://service.sap.com/sap/support/notes/1996907","1996907")</f>
        <v>1996907</v>
      </c>
      <c r="D2219">
        <v>3</v>
      </c>
      <c r="E2219" t="s">
        <v>3642</v>
      </c>
      <c r="F2219" t="s">
        <v>9</v>
      </c>
    </row>
    <row r="2220" spans="1:6" x14ac:dyDescent="0.3">
      <c r="A2220" t="s">
        <v>606</v>
      </c>
      <c r="B2220" t="s">
        <v>607</v>
      </c>
      <c r="C2220" t="str">
        <f>HYPERLINK("http://service.sap.com/sap/support/notes/1997142","1997142")</f>
        <v>1997142</v>
      </c>
      <c r="D2220">
        <v>2</v>
      </c>
      <c r="E2220" t="s">
        <v>2977</v>
      </c>
      <c r="F2220" t="s">
        <v>9</v>
      </c>
    </row>
    <row r="2221" spans="1:6" x14ac:dyDescent="0.3">
      <c r="A2221" t="s">
        <v>606</v>
      </c>
      <c r="B2221" t="s">
        <v>607</v>
      </c>
      <c r="C2221" t="str">
        <f>HYPERLINK("http://service.sap.com/sap/support/notes/2014419","2014419")</f>
        <v>2014419</v>
      </c>
      <c r="D2221">
        <v>1</v>
      </c>
      <c r="E2221" t="s">
        <v>4162</v>
      </c>
      <c r="F2221" t="s">
        <v>9</v>
      </c>
    </row>
    <row r="2222" spans="1:6" x14ac:dyDescent="0.3">
      <c r="A2222" t="s">
        <v>606</v>
      </c>
      <c r="B2222" t="s">
        <v>607</v>
      </c>
      <c r="C2222" t="str">
        <f>HYPERLINK("http://service.sap.com/sap/support/notes/2003747","2003747")</f>
        <v>2003747</v>
      </c>
      <c r="D2222">
        <v>2</v>
      </c>
      <c r="E2222" t="s">
        <v>4497</v>
      </c>
      <c r="F2222" t="s">
        <v>9</v>
      </c>
    </row>
    <row r="2223" spans="1:6" x14ac:dyDescent="0.3">
      <c r="A2223" t="s">
        <v>606</v>
      </c>
      <c r="B2223" t="s">
        <v>607</v>
      </c>
      <c r="C2223" t="str">
        <f>HYPERLINK("http://service.sap.com/sap/support/notes/2021065","2021065")</f>
        <v>2021065</v>
      </c>
      <c r="D2223">
        <v>1</v>
      </c>
      <c r="E2223" t="s">
        <v>4498</v>
      </c>
      <c r="F2223" t="s">
        <v>9</v>
      </c>
    </row>
    <row r="2224" spans="1:6" x14ac:dyDescent="0.3">
      <c r="A2224" t="s">
        <v>606</v>
      </c>
      <c r="B2224" t="s">
        <v>607</v>
      </c>
      <c r="C2224" t="str">
        <f>HYPERLINK("http://service.sap.com/sap/support/notes/2026676","2026676")</f>
        <v>2026676</v>
      </c>
      <c r="D2224">
        <v>2</v>
      </c>
      <c r="E2224" t="s">
        <v>4499</v>
      </c>
      <c r="F2224" t="s">
        <v>9</v>
      </c>
    </row>
    <row r="2225" spans="1:6" x14ac:dyDescent="0.3">
      <c r="A2225" t="s">
        <v>606</v>
      </c>
      <c r="B2225" t="s">
        <v>607</v>
      </c>
      <c r="C2225" t="str">
        <f>HYPERLINK("http://service.sap.com/sap/support/notes/2036215","2036215")</f>
        <v>2036215</v>
      </c>
      <c r="D2225">
        <v>1</v>
      </c>
      <c r="E2225" t="s">
        <v>4803</v>
      </c>
      <c r="F2225" t="s">
        <v>9</v>
      </c>
    </row>
    <row r="2226" spans="1:6" x14ac:dyDescent="0.3">
      <c r="A2226" t="s">
        <v>606</v>
      </c>
      <c r="B2226" t="s">
        <v>607</v>
      </c>
      <c r="C2226" t="str">
        <f>HYPERLINK("http://service.sap.com/sap/support/notes/2037251","2037251")</f>
        <v>2037251</v>
      </c>
      <c r="D2226">
        <v>2</v>
      </c>
      <c r="E2226" t="s">
        <v>4804</v>
      </c>
      <c r="F2226" t="s">
        <v>9</v>
      </c>
    </row>
    <row r="2227" spans="1:6" x14ac:dyDescent="0.3">
      <c r="A2227" t="s">
        <v>606</v>
      </c>
      <c r="B2227" t="s">
        <v>607</v>
      </c>
      <c r="C2227" t="str">
        <f>HYPERLINK("http://service.sap.com/sap/support/notes/2043261","2043261")</f>
        <v>2043261</v>
      </c>
      <c r="D2227">
        <v>1</v>
      </c>
      <c r="E2227" t="s">
        <v>4805</v>
      </c>
      <c r="F2227" t="s">
        <v>9</v>
      </c>
    </row>
    <row r="2228" spans="1:6" x14ac:dyDescent="0.3">
      <c r="A2228" t="s">
        <v>606</v>
      </c>
      <c r="B2228" t="s">
        <v>607</v>
      </c>
      <c r="C2228" t="str">
        <f>HYPERLINK("http://service.sap.com/sap/support/notes/2046012","2046012")</f>
        <v>2046012</v>
      </c>
      <c r="D2228">
        <v>2</v>
      </c>
      <c r="E2228" t="s">
        <v>4806</v>
      </c>
      <c r="F2228" t="s">
        <v>9</v>
      </c>
    </row>
    <row r="2229" spans="1:6" x14ac:dyDescent="0.3">
      <c r="A2229" t="s">
        <v>606</v>
      </c>
      <c r="B2229" t="s">
        <v>607</v>
      </c>
      <c r="C2229" t="str">
        <f>HYPERLINK("http://service.sap.com/sap/support/notes/2042647","2042647")</f>
        <v>2042647</v>
      </c>
      <c r="D2229">
        <v>4</v>
      </c>
      <c r="E2229" t="s">
        <v>5181</v>
      </c>
      <c r="F2229" t="s">
        <v>9</v>
      </c>
    </row>
    <row r="2230" spans="1:6" x14ac:dyDescent="0.3">
      <c r="A2230" t="s">
        <v>606</v>
      </c>
      <c r="B2230" t="s">
        <v>607</v>
      </c>
      <c r="C2230" t="str">
        <f>HYPERLINK("http://service.sap.com/sap/support/notes/2050426","2050426")</f>
        <v>2050426</v>
      </c>
      <c r="D2230">
        <v>1</v>
      </c>
      <c r="E2230" t="s">
        <v>5182</v>
      </c>
      <c r="F2230" t="s">
        <v>9</v>
      </c>
    </row>
    <row r="2231" spans="1:6" x14ac:dyDescent="0.3">
      <c r="A2231" t="s">
        <v>606</v>
      </c>
      <c r="B2231" t="s">
        <v>607</v>
      </c>
      <c r="C2231" t="str">
        <f>HYPERLINK("http://service.sap.com/sap/support/notes/2051205","2051205")</f>
        <v>2051205</v>
      </c>
      <c r="D2231">
        <v>1</v>
      </c>
      <c r="E2231" t="s">
        <v>5183</v>
      </c>
      <c r="F2231" t="s">
        <v>9</v>
      </c>
    </row>
    <row r="2232" spans="1:6" x14ac:dyDescent="0.3">
      <c r="A2232" t="s">
        <v>606</v>
      </c>
      <c r="B2232" t="s">
        <v>607</v>
      </c>
      <c r="C2232" t="str">
        <f>HYPERLINK("http://service.sap.com/sap/support/notes/2052348","2052348")</f>
        <v>2052348</v>
      </c>
      <c r="D2232">
        <v>2</v>
      </c>
      <c r="E2232" t="s">
        <v>5184</v>
      </c>
      <c r="F2232" t="s">
        <v>9</v>
      </c>
    </row>
    <row r="2233" spans="1:6" x14ac:dyDescent="0.3">
      <c r="A2233" t="s">
        <v>606</v>
      </c>
      <c r="B2233" t="s">
        <v>607</v>
      </c>
      <c r="C2233" t="str">
        <f>HYPERLINK("http://service.sap.com/sap/support/notes/2058569","2058569")</f>
        <v>2058569</v>
      </c>
      <c r="D2233">
        <v>1</v>
      </c>
      <c r="E2233" t="s">
        <v>5525</v>
      </c>
      <c r="F2233" t="s">
        <v>9</v>
      </c>
    </row>
    <row r="2234" spans="1:6" x14ac:dyDescent="0.3">
      <c r="A2234" t="s">
        <v>606</v>
      </c>
      <c r="B2234" t="s">
        <v>607</v>
      </c>
      <c r="C2234" t="str">
        <f>HYPERLINK("http://service.sap.com/sap/support/notes/2059804","2059804")</f>
        <v>2059804</v>
      </c>
      <c r="D2234">
        <v>5</v>
      </c>
      <c r="E2234" t="s">
        <v>5526</v>
      </c>
      <c r="F2234" t="s">
        <v>9</v>
      </c>
    </row>
    <row r="2235" spans="1:6" x14ac:dyDescent="0.3">
      <c r="A2235" t="s">
        <v>606</v>
      </c>
      <c r="B2235" t="s">
        <v>607</v>
      </c>
      <c r="C2235" t="str">
        <f>HYPERLINK("http://service.sap.com/sap/support/notes/2060216","2060216")</f>
        <v>2060216</v>
      </c>
      <c r="D2235">
        <v>1</v>
      </c>
      <c r="E2235" t="s">
        <v>5527</v>
      </c>
      <c r="F2235" t="s">
        <v>9</v>
      </c>
    </row>
    <row r="2236" spans="1:6" x14ac:dyDescent="0.3">
      <c r="A2236" t="s">
        <v>606</v>
      </c>
      <c r="B2236" t="s">
        <v>607</v>
      </c>
      <c r="C2236" t="str">
        <f>HYPERLINK("http://service.sap.com/sap/support/notes/2061743","2061743")</f>
        <v>2061743</v>
      </c>
      <c r="D2236">
        <v>3</v>
      </c>
      <c r="E2236" t="s">
        <v>5528</v>
      </c>
      <c r="F2236" t="s">
        <v>9</v>
      </c>
    </row>
    <row r="2237" spans="1:6" x14ac:dyDescent="0.3">
      <c r="A2237" t="s">
        <v>606</v>
      </c>
      <c r="B2237" t="s">
        <v>607</v>
      </c>
      <c r="C2237" t="str">
        <f>HYPERLINK("http://service.sap.com/sap/support/notes/2066279","2066279")</f>
        <v>2066279</v>
      </c>
      <c r="D2237">
        <v>1</v>
      </c>
      <c r="E2237" t="s">
        <v>5529</v>
      </c>
      <c r="F2237" t="s">
        <v>9</v>
      </c>
    </row>
    <row r="2238" spans="1:6" x14ac:dyDescent="0.3">
      <c r="A2238" t="s">
        <v>606</v>
      </c>
      <c r="B2238" t="s">
        <v>607</v>
      </c>
      <c r="C2238" t="str">
        <f>HYPERLINK("http://service.sap.com/sap/support/notes/2066901","2066901")</f>
        <v>2066901</v>
      </c>
      <c r="D2238">
        <v>1</v>
      </c>
      <c r="E2238" t="s">
        <v>5530</v>
      </c>
      <c r="F2238" t="s">
        <v>9</v>
      </c>
    </row>
    <row r="2239" spans="1:6" x14ac:dyDescent="0.3">
      <c r="A2239" t="s">
        <v>2537</v>
      </c>
      <c r="B2239" t="s">
        <v>2538</v>
      </c>
      <c r="C2239" t="str">
        <f>HYPERLINK("http://service.sap.com/sap/support/notes/1967275","1967275")</f>
        <v>1967275</v>
      </c>
      <c r="D2239">
        <v>3</v>
      </c>
      <c r="E2239" t="s">
        <v>2539</v>
      </c>
      <c r="F2239" t="s">
        <v>9</v>
      </c>
    </row>
    <row r="2240" spans="1:6" x14ac:dyDescent="0.3">
      <c r="A2240" t="s">
        <v>616</v>
      </c>
      <c r="B2240" t="s">
        <v>617</v>
      </c>
      <c r="C2240" t="str">
        <f>HYPERLINK("http://service.sap.com/sap/support/notes/1888252","1888252")</f>
        <v>1888252</v>
      </c>
      <c r="D2240">
        <v>2</v>
      </c>
      <c r="E2240" t="s">
        <v>618</v>
      </c>
      <c r="F2240" t="s">
        <v>28</v>
      </c>
    </row>
    <row r="2241" spans="1:6" x14ac:dyDescent="0.3">
      <c r="A2241" t="s">
        <v>616</v>
      </c>
      <c r="B2241" t="s">
        <v>617</v>
      </c>
      <c r="C2241" t="str">
        <f>HYPERLINK("http://service.sap.com/sap/support/notes/1928910","1928910")</f>
        <v>1928910</v>
      </c>
      <c r="D2241">
        <v>4</v>
      </c>
      <c r="E2241" t="s">
        <v>1245</v>
      </c>
      <c r="F2241" t="s">
        <v>28</v>
      </c>
    </row>
    <row r="2242" spans="1:6" x14ac:dyDescent="0.3">
      <c r="A2242" t="s">
        <v>616</v>
      </c>
      <c r="B2242" t="s">
        <v>617</v>
      </c>
      <c r="C2242" t="str">
        <f>HYPERLINK("http://service.sap.com/sap/support/notes/1931203","1931203")</f>
        <v>1931203</v>
      </c>
      <c r="D2242">
        <v>1</v>
      </c>
      <c r="E2242" t="s">
        <v>1246</v>
      </c>
      <c r="F2242" t="s">
        <v>9</v>
      </c>
    </row>
    <row r="2243" spans="1:6" x14ac:dyDescent="0.3">
      <c r="A2243" t="s">
        <v>616</v>
      </c>
      <c r="B2243" t="s">
        <v>617</v>
      </c>
      <c r="C2243" t="str">
        <f>HYPERLINK("http://service.sap.com/sap/support/notes/1936976","1936976")</f>
        <v>1936976</v>
      </c>
      <c r="D2243">
        <v>1</v>
      </c>
      <c r="E2243" t="s">
        <v>1247</v>
      </c>
      <c r="F2243" t="s">
        <v>9</v>
      </c>
    </row>
    <row r="2244" spans="1:6" x14ac:dyDescent="0.3">
      <c r="A2244" t="s">
        <v>616</v>
      </c>
      <c r="B2244" t="s">
        <v>617</v>
      </c>
      <c r="C2244" t="str">
        <f>HYPERLINK("http://service.sap.com/sap/support/notes/1938506","1938506")</f>
        <v>1938506</v>
      </c>
      <c r="D2244">
        <v>1</v>
      </c>
      <c r="E2244" t="s">
        <v>1248</v>
      </c>
      <c r="F2244" t="s">
        <v>9</v>
      </c>
    </row>
    <row r="2245" spans="1:6" x14ac:dyDescent="0.3">
      <c r="A2245" t="s">
        <v>616</v>
      </c>
      <c r="B2245" t="s">
        <v>617</v>
      </c>
      <c r="C2245" t="str">
        <f>HYPERLINK("http://service.sap.com/sap/support/notes/1947072","1947072")</f>
        <v>1947072</v>
      </c>
      <c r="D2245">
        <v>2</v>
      </c>
      <c r="E2245" t="s">
        <v>1423</v>
      </c>
      <c r="F2245" t="s">
        <v>9</v>
      </c>
    </row>
    <row r="2246" spans="1:6" x14ac:dyDescent="0.3">
      <c r="A2246" t="s">
        <v>616</v>
      </c>
      <c r="B2246" t="s">
        <v>617</v>
      </c>
      <c r="C2246" t="str">
        <f>HYPERLINK("http://service.sap.com/sap/support/notes/1936132","1936132")</f>
        <v>1936132</v>
      </c>
      <c r="D2246">
        <v>2</v>
      </c>
      <c r="E2246" t="s">
        <v>1682</v>
      </c>
      <c r="F2246" t="s">
        <v>9</v>
      </c>
    </row>
    <row r="2247" spans="1:6" x14ac:dyDescent="0.3">
      <c r="A2247" t="s">
        <v>616</v>
      </c>
      <c r="B2247" t="s">
        <v>617</v>
      </c>
      <c r="C2247" t="str">
        <f>HYPERLINK("http://service.sap.com/sap/support/notes/1953371","1953371")</f>
        <v>1953371</v>
      </c>
      <c r="D2247">
        <v>1</v>
      </c>
      <c r="E2247" t="s">
        <v>1683</v>
      </c>
      <c r="F2247" t="s">
        <v>9</v>
      </c>
    </row>
    <row r="2248" spans="1:6" x14ac:dyDescent="0.3">
      <c r="A2248" t="s">
        <v>616</v>
      </c>
      <c r="B2248" t="s">
        <v>617</v>
      </c>
      <c r="C2248" t="str">
        <f>HYPERLINK("http://service.sap.com/sap/support/notes/1954289","1954289")</f>
        <v>1954289</v>
      </c>
      <c r="D2248">
        <v>1</v>
      </c>
      <c r="E2248" t="s">
        <v>1684</v>
      </c>
      <c r="F2248" t="s">
        <v>9</v>
      </c>
    </row>
    <row r="2249" spans="1:6" x14ac:dyDescent="0.3">
      <c r="A2249" t="s">
        <v>616</v>
      </c>
      <c r="B2249" t="s">
        <v>617</v>
      </c>
      <c r="C2249" t="str">
        <f>HYPERLINK("http://service.sap.com/sap/support/notes/1956954","1956954")</f>
        <v>1956954</v>
      </c>
      <c r="D2249">
        <v>2</v>
      </c>
      <c r="E2249" t="s">
        <v>1685</v>
      </c>
      <c r="F2249" t="s">
        <v>9</v>
      </c>
    </row>
    <row r="2250" spans="1:6" x14ac:dyDescent="0.3">
      <c r="A2250" t="s">
        <v>616</v>
      </c>
      <c r="B2250" t="s">
        <v>617</v>
      </c>
      <c r="C2250" t="str">
        <f>HYPERLINK("http://service.sap.com/sap/support/notes/1960285","1960285")</f>
        <v>1960285</v>
      </c>
      <c r="D2250">
        <v>1</v>
      </c>
      <c r="E2250" t="s">
        <v>2169</v>
      </c>
      <c r="F2250" t="s">
        <v>28</v>
      </c>
    </row>
    <row r="2251" spans="1:6" x14ac:dyDescent="0.3">
      <c r="A2251" t="s">
        <v>616</v>
      </c>
      <c r="B2251" t="s">
        <v>617</v>
      </c>
      <c r="C2251" t="str">
        <f>HYPERLINK("http://service.sap.com/sap/support/notes/1965183","1965183")</f>
        <v>1965183</v>
      </c>
      <c r="D2251">
        <v>1</v>
      </c>
      <c r="E2251" t="s">
        <v>2170</v>
      </c>
      <c r="F2251" t="s">
        <v>28</v>
      </c>
    </row>
    <row r="2252" spans="1:6" x14ac:dyDescent="0.3">
      <c r="A2252" t="s">
        <v>616</v>
      </c>
      <c r="B2252" t="s">
        <v>617</v>
      </c>
      <c r="C2252" t="str">
        <f>HYPERLINK("http://service.sap.com/sap/support/notes/1966878","1966878")</f>
        <v>1966878</v>
      </c>
      <c r="D2252">
        <v>1</v>
      </c>
      <c r="E2252" t="s">
        <v>2171</v>
      </c>
      <c r="F2252" t="s">
        <v>9</v>
      </c>
    </row>
    <row r="2253" spans="1:6" x14ac:dyDescent="0.3">
      <c r="A2253" t="s">
        <v>616</v>
      </c>
      <c r="B2253" t="s">
        <v>617</v>
      </c>
      <c r="C2253" t="str">
        <f>HYPERLINK("http://service.sap.com/sap/support/notes/1967581","1967581")</f>
        <v>1967581</v>
      </c>
      <c r="D2253">
        <v>2</v>
      </c>
      <c r="E2253" t="s">
        <v>2172</v>
      </c>
      <c r="F2253" t="s">
        <v>9</v>
      </c>
    </row>
    <row r="2254" spans="1:6" x14ac:dyDescent="0.3">
      <c r="A2254" t="s">
        <v>616</v>
      </c>
      <c r="B2254" t="s">
        <v>617</v>
      </c>
      <c r="C2254" t="str">
        <f>HYPERLINK("http://service.sap.com/sap/support/notes/1973113","1973113")</f>
        <v>1973113</v>
      </c>
      <c r="D2254">
        <v>4</v>
      </c>
      <c r="E2254" t="s">
        <v>2540</v>
      </c>
      <c r="F2254" t="s">
        <v>9</v>
      </c>
    </row>
    <row r="2255" spans="1:6" x14ac:dyDescent="0.3">
      <c r="A2255" t="s">
        <v>616</v>
      </c>
      <c r="B2255" t="s">
        <v>617</v>
      </c>
      <c r="C2255" t="str">
        <f>HYPERLINK("http://service.sap.com/sap/support/notes/1974900","1974900")</f>
        <v>1974900</v>
      </c>
      <c r="D2255">
        <v>3</v>
      </c>
      <c r="E2255" t="s">
        <v>2541</v>
      </c>
      <c r="F2255" t="s">
        <v>28</v>
      </c>
    </row>
    <row r="2256" spans="1:6" x14ac:dyDescent="0.3">
      <c r="A2256" t="s">
        <v>616</v>
      </c>
      <c r="B2256" t="s">
        <v>617</v>
      </c>
      <c r="C2256" t="str">
        <f>HYPERLINK("http://service.sap.com/sap/support/notes/1977499","1977499")</f>
        <v>1977499</v>
      </c>
      <c r="D2256">
        <v>2</v>
      </c>
      <c r="E2256" t="s">
        <v>2542</v>
      </c>
      <c r="F2256" t="s">
        <v>9</v>
      </c>
    </row>
    <row r="2257" spans="1:6" x14ac:dyDescent="0.3">
      <c r="A2257" t="s">
        <v>616</v>
      </c>
      <c r="B2257" t="s">
        <v>617</v>
      </c>
      <c r="C2257" t="str">
        <f>HYPERLINK("http://service.sap.com/sap/support/notes/1990606","1990606")</f>
        <v>1990606</v>
      </c>
      <c r="D2257">
        <v>1</v>
      </c>
      <c r="E2257" t="s">
        <v>2981</v>
      </c>
      <c r="F2257" t="s">
        <v>9</v>
      </c>
    </row>
    <row r="2258" spans="1:6" x14ac:dyDescent="0.3">
      <c r="A2258" t="s">
        <v>616</v>
      </c>
      <c r="B2258" t="s">
        <v>617</v>
      </c>
      <c r="C2258" t="str">
        <f>HYPERLINK("http://service.sap.com/sap/support/notes/1946480","1946480")</f>
        <v>1946480</v>
      </c>
      <c r="D2258">
        <v>2</v>
      </c>
      <c r="E2258" t="s">
        <v>3643</v>
      </c>
      <c r="F2258" t="s">
        <v>9</v>
      </c>
    </row>
    <row r="2259" spans="1:6" x14ac:dyDescent="0.3">
      <c r="A2259" t="s">
        <v>616</v>
      </c>
      <c r="B2259" t="s">
        <v>617</v>
      </c>
      <c r="C2259" t="str">
        <f>HYPERLINK("http://service.sap.com/sap/support/notes/1990252","1990252")</f>
        <v>1990252</v>
      </c>
      <c r="D2259">
        <v>2</v>
      </c>
      <c r="E2259" t="s">
        <v>3644</v>
      </c>
      <c r="F2259" t="s">
        <v>9</v>
      </c>
    </row>
    <row r="2260" spans="1:6" x14ac:dyDescent="0.3">
      <c r="A2260" t="s">
        <v>616</v>
      </c>
      <c r="B2260" t="s">
        <v>617</v>
      </c>
      <c r="C2260" t="str">
        <f>HYPERLINK("http://service.sap.com/sap/support/notes/2001890","2001890")</f>
        <v>2001890</v>
      </c>
      <c r="D2260">
        <v>1</v>
      </c>
      <c r="E2260" t="s">
        <v>3645</v>
      </c>
      <c r="F2260" t="s">
        <v>16</v>
      </c>
    </row>
    <row r="2261" spans="1:6" x14ac:dyDescent="0.3">
      <c r="A2261" t="s">
        <v>616</v>
      </c>
      <c r="B2261" t="s">
        <v>617</v>
      </c>
      <c r="C2261" t="str">
        <f>HYPERLINK("http://service.sap.com/sap/support/notes/2017021","2017021")</f>
        <v>2017021</v>
      </c>
      <c r="D2261">
        <v>2</v>
      </c>
      <c r="E2261" t="s">
        <v>4500</v>
      </c>
      <c r="F2261" t="s">
        <v>9</v>
      </c>
    </row>
    <row r="2262" spans="1:6" x14ac:dyDescent="0.3">
      <c r="A2262" t="s">
        <v>616</v>
      </c>
      <c r="B2262" t="s">
        <v>617</v>
      </c>
      <c r="C2262" t="str">
        <f>HYPERLINK("http://service.sap.com/sap/support/notes/2017943","2017943")</f>
        <v>2017943</v>
      </c>
      <c r="D2262">
        <v>2</v>
      </c>
      <c r="E2262" t="s">
        <v>4501</v>
      </c>
      <c r="F2262" t="s">
        <v>9</v>
      </c>
    </row>
    <row r="2263" spans="1:6" x14ac:dyDescent="0.3">
      <c r="A2263" t="s">
        <v>616</v>
      </c>
      <c r="B2263" t="s">
        <v>617</v>
      </c>
      <c r="C2263" t="str">
        <f>HYPERLINK("http://service.sap.com/sap/support/notes/2025669","2025669")</f>
        <v>2025669</v>
      </c>
      <c r="D2263">
        <v>2</v>
      </c>
      <c r="E2263" t="s">
        <v>4502</v>
      </c>
      <c r="F2263" t="s">
        <v>9</v>
      </c>
    </row>
    <row r="2264" spans="1:6" x14ac:dyDescent="0.3">
      <c r="A2264" t="s">
        <v>616</v>
      </c>
      <c r="B2264" t="s">
        <v>617</v>
      </c>
      <c r="C2264" t="str">
        <f>HYPERLINK("http://service.sap.com/sap/support/notes/2026743","2026743")</f>
        <v>2026743</v>
      </c>
      <c r="D2264">
        <v>3</v>
      </c>
      <c r="E2264" t="s">
        <v>4503</v>
      </c>
      <c r="F2264" t="s">
        <v>9</v>
      </c>
    </row>
    <row r="2265" spans="1:6" x14ac:dyDescent="0.3">
      <c r="A2265" t="s">
        <v>616</v>
      </c>
      <c r="B2265" t="s">
        <v>617</v>
      </c>
      <c r="C2265" t="str">
        <f>HYPERLINK("http://service.sap.com/sap/support/notes/2027389","2027389")</f>
        <v>2027389</v>
      </c>
      <c r="D2265">
        <v>2</v>
      </c>
      <c r="E2265" t="s">
        <v>4504</v>
      </c>
      <c r="F2265" t="s">
        <v>9</v>
      </c>
    </row>
    <row r="2266" spans="1:6" x14ac:dyDescent="0.3">
      <c r="A2266" t="s">
        <v>616</v>
      </c>
      <c r="B2266" t="s">
        <v>617</v>
      </c>
      <c r="C2266" t="str">
        <f>HYPERLINK("http://service.sap.com/sap/support/notes/2032192","2032192")</f>
        <v>2032192</v>
      </c>
      <c r="D2266">
        <v>1</v>
      </c>
      <c r="E2266" t="s">
        <v>4807</v>
      </c>
      <c r="F2266" t="s">
        <v>16</v>
      </c>
    </row>
    <row r="2267" spans="1:6" x14ac:dyDescent="0.3">
      <c r="A2267" t="s">
        <v>616</v>
      </c>
      <c r="B2267" t="s">
        <v>617</v>
      </c>
      <c r="C2267" t="str">
        <f>HYPERLINK("http://service.sap.com/sap/support/notes/2038658","2038658")</f>
        <v>2038658</v>
      </c>
      <c r="D2267">
        <v>2</v>
      </c>
      <c r="E2267" t="s">
        <v>4808</v>
      </c>
      <c r="F2267" t="s">
        <v>16</v>
      </c>
    </row>
    <row r="2268" spans="1:6" x14ac:dyDescent="0.3">
      <c r="A2268" t="s">
        <v>616</v>
      </c>
      <c r="B2268" t="s">
        <v>617</v>
      </c>
      <c r="C2268" t="str">
        <f>HYPERLINK("http://service.sap.com/sap/support/notes/2040312","2040312")</f>
        <v>2040312</v>
      </c>
      <c r="D2268">
        <v>2</v>
      </c>
      <c r="E2268" t="s">
        <v>4809</v>
      </c>
      <c r="F2268" t="s">
        <v>9</v>
      </c>
    </row>
    <row r="2269" spans="1:6" x14ac:dyDescent="0.3">
      <c r="A2269" t="s">
        <v>616</v>
      </c>
      <c r="B2269" t="s">
        <v>617</v>
      </c>
      <c r="C2269" t="str">
        <f>HYPERLINK("http://service.sap.com/sap/support/notes/2042410","2042410")</f>
        <v>2042410</v>
      </c>
      <c r="D2269">
        <v>1</v>
      </c>
      <c r="E2269" t="s">
        <v>4810</v>
      </c>
      <c r="F2269" t="s">
        <v>9</v>
      </c>
    </row>
    <row r="2270" spans="1:6" x14ac:dyDescent="0.3">
      <c r="A2270" t="s">
        <v>616</v>
      </c>
      <c r="B2270" t="s">
        <v>617</v>
      </c>
      <c r="C2270" t="str">
        <f>HYPERLINK("http://service.sap.com/sap/support/notes/2045903","2045903")</f>
        <v>2045903</v>
      </c>
      <c r="D2270">
        <v>2</v>
      </c>
      <c r="E2270" t="s">
        <v>5185</v>
      </c>
      <c r="F2270" t="s">
        <v>9</v>
      </c>
    </row>
    <row r="2271" spans="1:6" x14ac:dyDescent="0.3">
      <c r="A2271" t="s">
        <v>616</v>
      </c>
      <c r="B2271" t="s">
        <v>617</v>
      </c>
      <c r="C2271" t="str">
        <f>HYPERLINK("http://service.sap.com/sap/support/notes/2050931","2050931")</f>
        <v>2050931</v>
      </c>
      <c r="D2271">
        <v>1</v>
      </c>
      <c r="E2271" t="s">
        <v>5186</v>
      </c>
      <c r="F2271" t="s">
        <v>9</v>
      </c>
    </row>
    <row r="2272" spans="1:6" x14ac:dyDescent="0.3">
      <c r="A2272" t="s">
        <v>619</v>
      </c>
      <c r="B2272" t="s">
        <v>471</v>
      </c>
      <c r="C2272" t="str">
        <f>HYPERLINK("http://service.sap.com/sap/support/notes/1899836","1899836")</f>
        <v>1899836</v>
      </c>
      <c r="D2272">
        <v>3</v>
      </c>
      <c r="E2272" t="s">
        <v>620</v>
      </c>
      <c r="F2272" t="s">
        <v>9</v>
      </c>
    </row>
    <row r="2273" spans="1:6" x14ac:dyDescent="0.3">
      <c r="A2273" t="s">
        <v>619</v>
      </c>
      <c r="B2273" t="s">
        <v>471</v>
      </c>
      <c r="C2273" t="str">
        <f>HYPERLINK("http://service.sap.com/sap/support/notes/1899870","1899870")</f>
        <v>1899870</v>
      </c>
      <c r="D2273">
        <v>4</v>
      </c>
      <c r="E2273" t="s">
        <v>621</v>
      </c>
      <c r="F2273" t="s">
        <v>9</v>
      </c>
    </row>
    <row r="2274" spans="1:6" x14ac:dyDescent="0.3">
      <c r="A2274" t="s">
        <v>619</v>
      </c>
      <c r="B2274" t="s">
        <v>471</v>
      </c>
      <c r="C2274" t="str">
        <f>HYPERLINK("http://service.sap.com/sap/support/notes/1919062","1919062")</f>
        <v>1919062</v>
      </c>
      <c r="D2274">
        <v>2</v>
      </c>
      <c r="E2274" t="s">
        <v>622</v>
      </c>
      <c r="F2274" t="s">
        <v>9</v>
      </c>
    </row>
    <row r="2275" spans="1:6" x14ac:dyDescent="0.3">
      <c r="A2275" t="s">
        <v>619</v>
      </c>
      <c r="B2275" t="s">
        <v>471</v>
      </c>
      <c r="C2275" t="str">
        <f>HYPERLINK("http://service.sap.com/sap/support/notes/1922825","1922825")</f>
        <v>1922825</v>
      </c>
      <c r="D2275">
        <v>1</v>
      </c>
      <c r="E2275" t="s">
        <v>623</v>
      </c>
      <c r="F2275" t="s">
        <v>9</v>
      </c>
    </row>
    <row r="2276" spans="1:6" x14ac:dyDescent="0.3">
      <c r="A2276" t="s">
        <v>619</v>
      </c>
      <c r="B2276" t="s">
        <v>471</v>
      </c>
      <c r="C2276" t="str">
        <f>HYPERLINK("http://service.sap.com/sap/support/notes/1930197","1930197")</f>
        <v>1930197</v>
      </c>
      <c r="D2276">
        <v>1</v>
      </c>
      <c r="E2276" t="s">
        <v>624</v>
      </c>
      <c r="F2276" t="s">
        <v>9</v>
      </c>
    </row>
    <row r="2277" spans="1:6" x14ac:dyDescent="0.3">
      <c r="A2277" t="s">
        <v>619</v>
      </c>
      <c r="B2277" t="s">
        <v>471</v>
      </c>
      <c r="C2277" t="str">
        <f>HYPERLINK("http://service.sap.com/sap/support/notes/1905730","1905730")</f>
        <v>1905730</v>
      </c>
      <c r="D2277">
        <v>3</v>
      </c>
      <c r="E2277" t="s">
        <v>1249</v>
      </c>
      <c r="F2277" t="s">
        <v>9</v>
      </c>
    </row>
    <row r="2278" spans="1:6" x14ac:dyDescent="0.3">
      <c r="A2278" t="s">
        <v>619</v>
      </c>
      <c r="B2278" t="s">
        <v>471</v>
      </c>
      <c r="C2278" t="str">
        <f>HYPERLINK("http://service.sap.com/sap/support/notes/1912158","1912158")</f>
        <v>1912158</v>
      </c>
      <c r="D2278">
        <v>1</v>
      </c>
      <c r="E2278" t="s">
        <v>1250</v>
      </c>
      <c r="F2278" t="s">
        <v>9</v>
      </c>
    </row>
    <row r="2279" spans="1:6" x14ac:dyDescent="0.3">
      <c r="A2279" t="s">
        <v>619</v>
      </c>
      <c r="B2279" t="s">
        <v>471</v>
      </c>
      <c r="C2279" t="str">
        <f>HYPERLINK("http://service.sap.com/sap/support/notes/1933413","1933413")</f>
        <v>1933413</v>
      </c>
      <c r="D2279">
        <v>1</v>
      </c>
      <c r="E2279" t="s">
        <v>1251</v>
      </c>
      <c r="F2279" t="s">
        <v>9</v>
      </c>
    </row>
    <row r="2280" spans="1:6" x14ac:dyDescent="0.3">
      <c r="A2280" t="s">
        <v>619</v>
      </c>
      <c r="B2280" t="s">
        <v>471</v>
      </c>
      <c r="C2280" t="str">
        <f>HYPERLINK("http://service.sap.com/sap/support/notes/1933803","1933803")</f>
        <v>1933803</v>
      </c>
      <c r="D2280">
        <v>2</v>
      </c>
      <c r="E2280" t="s">
        <v>1252</v>
      </c>
      <c r="F2280" t="s">
        <v>9</v>
      </c>
    </row>
    <row r="2281" spans="1:6" x14ac:dyDescent="0.3">
      <c r="A2281" t="s">
        <v>619</v>
      </c>
      <c r="B2281" t="s">
        <v>471</v>
      </c>
      <c r="C2281" t="str">
        <f>HYPERLINK("http://service.sap.com/sap/support/notes/1888302","1888302")</f>
        <v>1888302</v>
      </c>
      <c r="D2281">
        <v>2</v>
      </c>
      <c r="E2281" t="s">
        <v>1686</v>
      </c>
      <c r="F2281" t="s">
        <v>16</v>
      </c>
    </row>
    <row r="2282" spans="1:6" x14ac:dyDescent="0.3">
      <c r="A2282" t="s">
        <v>619</v>
      </c>
      <c r="B2282" t="s">
        <v>471</v>
      </c>
      <c r="C2282" t="str">
        <f>HYPERLINK("http://service.sap.com/sap/support/notes/1930468","1930468")</f>
        <v>1930468</v>
      </c>
      <c r="D2282">
        <v>2</v>
      </c>
      <c r="E2282" t="s">
        <v>1687</v>
      </c>
      <c r="F2282" t="s">
        <v>9</v>
      </c>
    </row>
    <row r="2283" spans="1:6" x14ac:dyDescent="0.3">
      <c r="A2283" t="s">
        <v>619</v>
      </c>
      <c r="B2283" t="s">
        <v>471</v>
      </c>
      <c r="C2283" t="str">
        <f>HYPERLINK("http://service.sap.com/sap/support/notes/1943463","1943463")</f>
        <v>1943463</v>
      </c>
      <c r="D2283">
        <v>2</v>
      </c>
      <c r="E2283" t="s">
        <v>1688</v>
      </c>
      <c r="F2283" t="s">
        <v>9</v>
      </c>
    </row>
    <row r="2284" spans="1:6" x14ac:dyDescent="0.3">
      <c r="A2284" t="s">
        <v>619</v>
      </c>
      <c r="B2284" t="s">
        <v>471</v>
      </c>
      <c r="C2284" t="str">
        <f>HYPERLINK("http://service.sap.com/sap/support/notes/1947548","1947548")</f>
        <v>1947548</v>
      </c>
      <c r="D2284">
        <v>1</v>
      </c>
      <c r="E2284" t="s">
        <v>1689</v>
      </c>
      <c r="F2284" t="s">
        <v>9</v>
      </c>
    </row>
    <row r="2285" spans="1:6" x14ac:dyDescent="0.3">
      <c r="A2285" t="s">
        <v>619</v>
      </c>
      <c r="B2285" t="s">
        <v>471</v>
      </c>
      <c r="C2285" t="str">
        <f>HYPERLINK("http://service.sap.com/sap/support/notes/1949780","1949780")</f>
        <v>1949780</v>
      </c>
      <c r="D2285">
        <v>2</v>
      </c>
      <c r="E2285" t="s">
        <v>1690</v>
      </c>
      <c r="F2285" t="s">
        <v>9</v>
      </c>
    </row>
    <row r="2286" spans="1:6" x14ac:dyDescent="0.3">
      <c r="A2286" t="s">
        <v>619</v>
      </c>
      <c r="B2286" t="s">
        <v>471</v>
      </c>
      <c r="C2286" t="str">
        <f>HYPERLINK("http://service.sap.com/sap/support/notes/1954605","1954605")</f>
        <v>1954605</v>
      </c>
      <c r="D2286">
        <v>1</v>
      </c>
      <c r="E2286" t="s">
        <v>1691</v>
      </c>
      <c r="F2286" t="s">
        <v>9</v>
      </c>
    </row>
    <row r="2287" spans="1:6" x14ac:dyDescent="0.3">
      <c r="A2287" t="s">
        <v>619</v>
      </c>
      <c r="B2287" t="s">
        <v>471</v>
      </c>
      <c r="C2287" t="str">
        <f>HYPERLINK("http://service.sap.com/sap/support/notes/1960850","1960850")</f>
        <v>1960850</v>
      </c>
      <c r="D2287">
        <v>1</v>
      </c>
      <c r="E2287" t="s">
        <v>1692</v>
      </c>
      <c r="F2287" t="s">
        <v>16</v>
      </c>
    </row>
    <row r="2288" spans="1:6" x14ac:dyDescent="0.3">
      <c r="A2288" t="s">
        <v>619</v>
      </c>
      <c r="B2288" t="s">
        <v>471</v>
      </c>
      <c r="C2288" t="str">
        <f>HYPERLINK("http://service.sap.com/sap/support/notes/1951462","1951462")</f>
        <v>1951462</v>
      </c>
      <c r="D2288">
        <v>3</v>
      </c>
      <c r="E2288" t="s">
        <v>2173</v>
      </c>
      <c r="F2288" t="s">
        <v>9</v>
      </c>
    </row>
    <row r="2289" spans="1:6" x14ac:dyDescent="0.3">
      <c r="A2289" t="s">
        <v>619</v>
      </c>
      <c r="B2289" t="s">
        <v>471</v>
      </c>
      <c r="C2289" t="str">
        <f>HYPERLINK("http://service.sap.com/sap/support/notes/1964436","1964436")</f>
        <v>1964436</v>
      </c>
      <c r="D2289">
        <v>1</v>
      </c>
      <c r="E2289" t="s">
        <v>2174</v>
      </c>
      <c r="F2289" t="s">
        <v>9</v>
      </c>
    </row>
    <row r="2290" spans="1:6" x14ac:dyDescent="0.3">
      <c r="A2290" t="s">
        <v>619</v>
      </c>
      <c r="B2290" t="s">
        <v>471</v>
      </c>
      <c r="C2290" t="str">
        <f>HYPERLINK("http://service.sap.com/sap/support/notes/1949811","1949811")</f>
        <v>1949811</v>
      </c>
      <c r="D2290">
        <v>5</v>
      </c>
      <c r="E2290" t="s">
        <v>2543</v>
      </c>
      <c r="F2290" t="s">
        <v>9</v>
      </c>
    </row>
    <row r="2291" spans="1:6" x14ac:dyDescent="0.3">
      <c r="A2291" t="s">
        <v>619</v>
      </c>
      <c r="B2291" t="s">
        <v>471</v>
      </c>
      <c r="C2291" t="str">
        <f>HYPERLINK("http://service.sap.com/sap/support/notes/1962896","1962896")</f>
        <v>1962896</v>
      </c>
      <c r="D2291">
        <v>1</v>
      </c>
      <c r="E2291" t="s">
        <v>2544</v>
      </c>
      <c r="F2291" t="s">
        <v>9</v>
      </c>
    </row>
    <row r="2292" spans="1:6" x14ac:dyDescent="0.3">
      <c r="A2292" t="s">
        <v>619</v>
      </c>
      <c r="B2292" t="s">
        <v>471</v>
      </c>
      <c r="C2292" t="str">
        <f>HYPERLINK("http://service.sap.com/sap/support/notes/1969788","1969788")</f>
        <v>1969788</v>
      </c>
      <c r="D2292">
        <v>3</v>
      </c>
      <c r="E2292" t="s">
        <v>2545</v>
      </c>
      <c r="F2292" t="s">
        <v>9</v>
      </c>
    </row>
    <row r="2293" spans="1:6" x14ac:dyDescent="0.3">
      <c r="A2293" t="s">
        <v>619</v>
      </c>
      <c r="B2293" t="s">
        <v>471</v>
      </c>
      <c r="C2293" t="str">
        <f>HYPERLINK("http://service.sap.com/sap/support/notes/1970995","1970995")</f>
        <v>1970995</v>
      </c>
      <c r="D2293">
        <v>2</v>
      </c>
      <c r="E2293" t="s">
        <v>2982</v>
      </c>
      <c r="F2293" t="s">
        <v>9</v>
      </c>
    </row>
    <row r="2294" spans="1:6" x14ac:dyDescent="0.3">
      <c r="A2294" t="s">
        <v>619</v>
      </c>
      <c r="B2294" t="s">
        <v>471</v>
      </c>
      <c r="C2294" t="str">
        <f>HYPERLINK("http://service.sap.com/sap/support/notes/1977460","1977460")</f>
        <v>1977460</v>
      </c>
      <c r="D2294">
        <v>2</v>
      </c>
      <c r="E2294" t="s">
        <v>2983</v>
      </c>
      <c r="F2294" t="s">
        <v>9</v>
      </c>
    </row>
    <row r="2295" spans="1:6" x14ac:dyDescent="0.3">
      <c r="A2295" t="s">
        <v>619</v>
      </c>
      <c r="B2295" t="s">
        <v>471</v>
      </c>
      <c r="C2295" t="str">
        <f>HYPERLINK("http://service.sap.com/sap/support/notes/1981899","1981899")</f>
        <v>1981899</v>
      </c>
      <c r="D2295">
        <v>1</v>
      </c>
      <c r="E2295" t="s">
        <v>2984</v>
      </c>
      <c r="F2295" t="s">
        <v>16</v>
      </c>
    </row>
    <row r="2296" spans="1:6" x14ac:dyDescent="0.3">
      <c r="A2296" t="s">
        <v>619</v>
      </c>
      <c r="B2296" t="s">
        <v>471</v>
      </c>
      <c r="C2296" t="str">
        <f>HYPERLINK("http://service.sap.com/sap/support/notes/1988763","1988763")</f>
        <v>1988763</v>
      </c>
      <c r="D2296">
        <v>2</v>
      </c>
      <c r="E2296" t="s">
        <v>2985</v>
      </c>
      <c r="F2296" t="s">
        <v>9</v>
      </c>
    </row>
    <row r="2297" spans="1:6" x14ac:dyDescent="0.3">
      <c r="A2297" t="s">
        <v>619</v>
      </c>
      <c r="B2297" t="s">
        <v>471</v>
      </c>
      <c r="C2297" t="str">
        <f>HYPERLINK("http://service.sap.com/sap/support/notes/1808200","1808200")</f>
        <v>1808200</v>
      </c>
      <c r="D2297">
        <v>2</v>
      </c>
      <c r="E2297" t="s">
        <v>3646</v>
      </c>
      <c r="F2297" t="s">
        <v>16</v>
      </c>
    </row>
    <row r="2298" spans="1:6" x14ac:dyDescent="0.3">
      <c r="A2298" t="s">
        <v>619</v>
      </c>
      <c r="B2298" t="s">
        <v>471</v>
      </c>
      <c r="C2298" t="str">
        <f>HYPERLINK("http://service.sap.com/sap/support/notes/1834444","1834444")</f>
        <v>1834444</v>
      </c>
      <c r="D2298">
        <v>1</v>
      </c>
      <c r="E2298" t="s">
        <v>1256</v>
      </c>
      <c r="F2298" t="s">
        <v>16</v>
      </c>
    </row>
    <row r="2299" spans="1:6" x14ac:dyDescent="0.3">
      <c r="A2299" t="s">
        <v>619</v>
      </c>
      <c r="B2299" t="s">
        <v>471</v>
      </c>
      <c r="C2299" t="str">
        <f>HYPERLINK("http://service.sap.com/sap/support/notes/1989492","1989492")</f>
        <v>1989492</v>
      </c>
      <c r="D2299">
        <v>1</v>
      </c>
      <c r="E2299" t="s">
        <v>3647</v>
      </c>
      <c r="F2299" t="s">
        <v>16</v>
      </c>
    </row>
    <row r="2300" spans="1:6" x14ac:dyDescent="0.3">
      <c r="A2300" t="s">
        <v>619</v>
      </c>
      <c r="B2300" t="s">
        <v>471</v>
      </c>
      <c r="C2300" t="str">
        <f>HYPERLINK("http://service.sap.com/sap/support/notes/1992390","1992390")</f>
        <v>1992390</v>
      </c>
      <c r="D2300">
        <v>1</v>
      </c>
      <c r="E2300" t="s">
        <v>3648</v>
      </c>
      <c r="F2300" t="s">
        <v>9</v>
      </c>
    </row>
    <row r="2301" spans="1:6" x14ac:dyDescent="0.3">
      <c r="A2301" t="s">
        <v>619</v>
      </c>
      <c r="B2301" t="s">
        <v>471</v>
      </c>
      <c r="C2301" t="str">
        <f>HYPERLINK("http://service.sap.com/sap/support/notes/1996230","1996230")</f>
        <v>1996230</v>
      </c>
      <c r="D2301">
        <v>1</v>
      </c>
      <c r="E2301" t="s">
        <v>3649</v>
      </c>
      <c r="F2301" t="s">
        <v>9</v>
      </c>
    </row>
    <row r="2302" spans="1:6" x14ac:dyDescent="0.3">
      <c r="A2302" t="s">
        <v>619</v>
      </c>
      <c r="B2302" t="s">
        <v>471</v>
      </c>
      <c r="C2302" t="str">
        <f>HYPERLINK("http://service.sap.com/sap/support/notes/1999563","1999563")</f>
        <v>1999563</v>
      </c>
      <c r="D2302">
        <v>1</v>
      </c>
      <c r="E2302" t="s">
        <v>3650</v>
      </c>
      <c r="F2302" t="s">
        <v>9</v>
      </c>
    </row>
    <row r="2303" spans="1:6" x14ac:dyDescent="0.3">
      <c r="A2303" t="s">
        <v>619</v>
      </c>
      <c r="B2303" t="s">
        <v>471</v>
      </c>
      <c r="C2303" t="str">
        <f>HYPERLINK("http://service.sap.com/sap/support/notes/2000252","2000252")</f>
        <v>2000252</v>
      </c>
      <c r="D2303">
        <v>2</v>
      </c>
      <c r="E2303" t="s">
        <v>3651</v>
      </c>
      <c r="F2303" t="s">
        <v>9</v>
      </c>
    </row>
    <row r="2304" spans="1:6" x14ac:dyDescent="0.3">
      <c r="A2304" t="s">
        <v>619</v>
      </c>
      <c r="B2304" t="s">
        <v>471</v>
      </c>
      <c r="C2304" t="str">
        <f>HYPERLINK("http://service.sap.com/sap/support/notes/2002207","2002207")</f>
        <v>2002207</v>
      </c>
      <c r="D2304">
        <v>4</v>
      </c>
      <c r="E2304" t="s">
        <v>3652</v>
      </c>
      <c r="F2304" t="s">
        <v>9</v>
      </c>
    </row>
    <row r="2305" spans="1:6" x14ac:dyDescent="0.3">
      <c r="A2305" t="s">
        <v>619</v>
      </c>
      <c r="B2305" t="s">
        <v>471</v>
      </c>
      <c r="C2305" t="str">
        <f>HYPERLINK("http://service.sap.com/sap/support/notes/2008624","2008624")</f>
        <v>2008624</v>
      </c>
      <c r="D2305">
        <v>1</v>
      </c>
      <c r="E2305" t="s">
        <v>3653</v>
      </c>
      <c r="F2305" t="s">
        <v>9</v>
      </c>
    </row>
    <row r="2306" spans="1:6" x14ac:dyDescent="0.3">
      <c r="A2306" t="s">
        <v>619</v>
      </c>
      <c r="B2306" t="s">
        <v>471</v>
      </c>
      <c r="C2306" t="str">
        <f>HYPERLINK("http://service.sap.com/sap/support/notes/1998412","1998412")</f>
        <v>1998412</v>
      </c>
      <c r="D2306">
        <v>1</v>
      </c>
      <c r="E2306" t="s">
        <v>4163</v>
      </c>
      <c r="F2306" t="s">
        <v>9</v>
      </c>
    </row>
    <row r="2307" spans="1:6" x14ac:dyDescent="0.3">
      <c r="A2307" t="s">
        <v>619</v>
      </c>
      <c r="B2307" t="s">
        <v>471</v>
      </c>
      <c r="C2307" t="str">
        <f>HYPERLINK("http://service.sap.com/sap/support/notes/2004035","2004035")</f>
        <v>2004035</v>
      </c>
      <c r="D2307">
        <v>6</v>
      </c>
      <c r="E2307" t="s">
        <v>4164</v>
      </c>
      <c r="F2307" t="s">
        <v>9</v>
      </c>
    </row>
    <row r="2308" spans="1:6" x14ac:dyDescent="0.3">
      <c r="A2308" t="s">
        <v>619</v>
      </c>
      <c r="B2308" t="s">
        <v>471</v>
      </c>
      <c r="C2308" t="str">
        <f>HYPERLINK("http://service.sap.com/sap/support/notes/2011841","2011841")</f>
        <v>2011841</v>
      </c>
      <c r="D2308">
        <v>1</v>
      </c>
      <c r="E2308" t="s">
        <v>4165</v>
      </c>
      <c r="F2308" t="s">
        <v>9</v>
      </c>
    </row>
    <row r="2309" spans="1:6" x14ac:dyDescent="0.3">
      <c r="A2309" t="s">
        <v>619</v>
      </c>
      <c r="B2309" t="s">
        <v>471</v>
      </c>
      <c r="C2309" t="str">
        <f>HYPERLINK("http://service.sap.com/sap/support/notes/2015758","2015758")</f>
        <v>2015758</v>
      </c>
      <c r="D2309">
        <v>1</v>
      </c>
      <c r="E2309" t="s">
        <v>4166</v>
      </c>
      <c r="F2309" t="s">
        <v>9</v>
      </c>
    </row>
    <row r="2310" spans="1:6" x14ac:dyDescent="0.3">
      <c r="A2310" t="s">
        <v>619</v>
      </c>
      <c r="B2310" t="s">
        <v>471</v>
      </c>
      <c r="C2310" t="str">
        <f>HYPERLINK("http://service.sap.com/sap/support/notes/2015960","2015960")</f>
        <v>2015960</v>
      </c>
      <c r="D2310">
        <v>1</v>
      </c>
      <c r="E2310" t="s">
        <v>4167</v>
      </c>
      <c r="F2310" t="s">
        <v>9</v>
      </c>
    </row>
    <row r="2311" spans="1:6" x14ac:dyDescent="0.3">
      <c r="A2311" t="s">
        <v>619</v>
      </c>
      <c r="B2311" t="s">
        <v>471</v>
      </c>
      <c r="C2311" t="str">
        <f>HYPERLINK("http://service.sap.com/sap/support/notes/2017272","2017272")</f>
        <v>2017272</v>
      </c>
      <c r="D2311">
        <v>1</v>
      </c>
      <c r="E2311" t="s">
        <v>4505</v>
      </c>
      <c r="F2311" t="s">
        <v>9</v>
      </c>
    </row>
    <row r="2312" spans="1:6" x14ac:dyDescent="0.3">
      <c r="A2312" t="s">
        <v>619</v>
      </c>
      <c r="B2312" t="s">
        <v>471</v>
      </c>
      <c r="C2312" t="str">
        <f>HYPERLINK("http://service.sap.com/sap/support/notes/2025423","2025423")</f>
        <v>2025423</v>
      </c>
      <c r="D2312">
        <v>3</v>
      </c>
      <c r="E2312" t="s">
        <v>4506</v>
      </c>
      <c r="F2312" t="s">
        <v>9</v>
      </c>
    </row>
    <row r="2313" spans="1:6" x14ac:dyDescent="0.3">
      <c r="A2313" t="s">
        <v>619</v>
      </c>
      <c r="B2313" t="s">
        <v>471</v>
      </c>
      <c r="C2313" t="str">
        <f>HYPERLINK("http://service.sap.com/sap/support/notes/2030236","2030236")</f>
        <v>2030236</v>
      </c>
      <c r="D2313">
        <v>1</v>
      </c>
      <c r="E2313" t="s">
        <v>4811</v>
      </c>
      <c r="F2313" t="s">
        <v>9</v>
      </c>
    </row>
    <row r="2314" spans="1:6" x14ac:dyDescent="0.3">
      <c r="A2314" t="s">
        <v>619</v>
      </c>
      <c r="B2314" t="s">
        <v>471</v>
      </c>
      <c r="C2314" t="str">
        <f>HYPERLINK("http://service.sap.com/sap/support/notes/2031978","2031978")</f>
        <v>2031978</v>
      </c>
      <c r="D2314">
        <v>1</v>
      </c>
      <c r="E2314" t="s">
        <v>4812</v>
      </c>
      <c r="F2314" t="s">
        <v>9</v>
      </c>
    </row>
    <row r="2315" spans="1:6" x14ac:dyDescent="0.3">
      <c r="A2315" t="s">
        <v>619</v>
      </c>
      <c r="B2315" t="s">
        <v>471</v>
      </c>
      <c r="C2315" t="str">
        <f>HYPERLINK("http://service.sap.com/sap/support/notes/2032821","2032821")</f>
        <v>2032821</v>
      </c>
      <c r="D2315">
        <v>2</v>
      </c>
      <c r="E2315" t="s">
        <v>4813</v>
      </c>
      <c r="F2315" t="s">
        <v>9</v>
      </c>
    </row>
    <row r="2316" spans="1:6" x14ac:dyDescent="0.3">
      <c r="A2316" t="s">
        <v>619</v>
      </c>
      <c r="B2316" t="s">
        <v>471</v>
      </c>
      <c r="C2316" t="str">
        <f>HYPERLINK("http://service.sap.com/sap/support/notes/2038411","2038411")</f>
        <v>2038411</v>
      </c>
      <c r="D2316">
        <v>2</v>
      </c>
      <c r="E2316" t="s">
        <v>4814</v>
      </c>
      <c r="F2316" t="s">
        <v>9</v>
      </c>
    </row>
    <row r="2317" spans="1:6" x14ac:dyDescent="0.3">
      <c r="A2317" t="s">
        <v>619</v>
      </c>
      <c r="B2317" t="s">
        <v>471</v>
      </c>
      <c r="C2317" t="str">
        <f>HYPERLINK("http://service.sap.com/sap/support/notes/2041938","2041938")</f>
        <v>2041938</v>
      </c>
      <c r="D2317">
        <v>1</v>
      </c>
      <c r="E2317" t="s">
        <v>4815</v>
      </c>
      <c r="F2317" t="s">
        <v>9</v>
      </c>
    </row>
    <row r="2318" spans="1:6" x14ac:dyDescent="0.3">
      <c r="A2318" t="s">
        <v>619</v>
      </c>
      <c r="B2318" t="s">
        <v>471</v>
      </c>
      <c r="C2318" t="str">
        <f>HYPERLINK("http://service.sap.com/sap/support/notes/2044601","2044601")</f>
        <v>2044601</v>
      </c>
      <c r="D2318">
        <v>1</v>
      </c>
      <c r="E2318" t="s">
        <v>4816</v>
      </c>
      <c r="F2318" t="s">
        <v>9</v>
      </c>
    </row>
    <row r="2319" spans="1:6" x14ac:dyDescent="0.3">
      <c r="A2319" t="s">
        <v>619</v>
      </c>
      <c r="B2319" t="s">
        <v>471</v>
      </c>
      <c r="C2319" t="str">
        <f>HYPERLINK("http://service.sap.com/sap/support/notes/2045333","2045333")</f>
        <v>2045333</v>
      </c>
      <c r="D2319">
        <v>1</v>
      </c>
      <c r="E2319" t="s">
        <v>4817</v>
      </c>
      <c r="F2319" t="s">
        <v>9</v>
      </c>
    </row>
    <row r="2320" spans="1:6" x14ac:dyDescent="0.3">
      <c r="A2320" t="s">
        <v>619</v>
      </c>
      <c r="B2320" t="s">
        <v>471</v>
      </c>
      <c r="C2320" t="str">
        <f>HYPERLINK("http://service.sap.com/sap/support/notes/2046643","2046643")</f>
        <v>2046643</v>
      </c>
      <c r="D2320">
        <v>1</v>
      </c>
      <c r="E2320" t="s">
        <v>4818</v>
      </c>
      <c r="F2320" t="s">
        <v>9</v>
      </c>
    </row>
    <row r="2321" spans="1:6" x14ac:dyDescent="0.3">
      <c r="A2321" t="s">
        <v>619</v>
      </c>
      <c r="B2321" t="s">
        <v>471</v>
      </c>
      <c r="C2321" t="str">
        <f>HYPERLINK("http://service.sap.com/sap/support/notes/2017920","2017920")</f>
        <v>2017920</v>
      </c>
      <c r="D2321">
        <v>1</v>
      </c>
      <c r="E2321" t="s">
        <v>5187</v>
      </c>
      <c r="F2321" t="s">
        <v>9</v>
      </c>
    </row>
    <row r="2322" spans="1:6" x14ac:dyDescent="0.3">
      <c r="A2322" t="s">
        <v>619</v>
      </c>
      <c r="B2322" t="s">
        <v>471</v>
      </c>
      <c r="C2322" t="str">
        <f>HYPERLINK("http://service.sap.com/sap/support/notes/2024364","2024364")</f>
        <v>2024364</v>
      </c>
      <c r="D2322">
        <v>4</v>
      </c>
      <c r="E2322" t="s">
        <v>587</v>
      </c>
      <c r="F2322" t="s">
        <v>9</v>
      </c>
    </row>
    <row r="2323" spans="1:6" x14ac:dyDescent="0.3">
      <c r="A2323" t="s">
        <v>619</v>
      </c>
      <c r="B2323" t="s">
        <v>471</v>
      </c>
      <c r="C2323" t="str">
        <f>HYPERLINK("http://service.sap.com/sap/support/notes/2045677","2045677")</f>
        <v>2045677</v>
      </c>
      <c r="D2323">
        <v>2</v>
      </c>
      <c r="E2323" t="s">
        <v>5188</v>
      </c>
      <c r="F2323" t="s">
        <v>9</v>
      </c>
    </row>
    <row r="2324" spans="1:6" x14ac:dyDescent="0.3">
      <c r="A2324" t="s">
        <v>619</v>
      </c>
      <c r="B2324" t="s">
        <v>471</v>
      </c>
      <c r="C2324" t="str">
        <f>HYPERLINK("http://service.sap.com/sap/support/notes/2047241","2047241")</f>
        <v>2047241</v>
      </c>
      <c r="D2324">
        <v>3</v>
      </c>
      <c r="E2324" t="s">
        <v>4164</v>
      </c>
      <c r="F2324" t="s">
        <v>9</v>
      </c>
    </row>
    <row r="2325" spans="1:6" x14ac:dyDescent="0.3">
      <c r="A2325" t="s">
        <v>619</v>
      </c>
      <c r="B2325" t="s">
        <v>471</v>
      </c>
      <c r="C2325" t="str">
        <f>HYPERLINK("http://service.sap.com/sap/support/notes/2049025","2049025")</f>
        <v>2049025</v>
      </c>
      <c r="D2325">
        <v>1</v>
      </c>
      <c r="E2325" t="s">
        <v>5189</v>
      </c>
      <c r="F2325" t="s">
        <v>9</v>
      </c>
    </row>
    <row r="2326" spans="1:6" x14ac:dyDescent="0.3">
      <c r="A2326" t="s">
        <v>619</v>
      </c>
      <c r="B2326" t="s">
        <v>471</v>
      </c>
      <c r="C2326" t="str">
        <f>HYPERLINK("http://service.sap.com/sap/support/notes/2049082","2049082")</f>
        <v>2049082</v>
      </c>
      <c r="D2326">
        <v>2</v>
      </c>
      <c r="E2326" t="s">
        <v>5190</v>
      </c>
      <c r="F2326" t="s">
        <v>9</v>
      </c>
    </row>
    <row r="2327" spans="1:6" x14ac:dyDescent="0.3">
      <c r="A2327" t="s">
        <v>619</v>
      </c>
      <c r="B2327" t="s">
        <v>471</v>
      </c>
      <c r="C2327" t="str">
        <f>HYPERLINK("http://service.sap.com/sap/support/notes/2049631","2049631")</f>
        <v>2049631</v>
      </c>
      <c r="D2327">
        <v>1</v>
      </c>
      <c r="E2327" t="s">
        <v>5191</v>
      </c>
      <c r="F2327" t="s">
        <v>9</v>
      </c>
    </row>
    <row r="2328" spans="1:6" x14ac:dyDescent="0.3">
      <c r="A2328" t="s">
        <v>619</v>
      </c>
      <c r="B2328" t="s">
        <v>471</v>
      </c>
      <c r="C2328" t="str">
        <f>HYPERLINK("http://service.sap.com/sap/support/notes/2049647","2049647")</f>
        <v>2049647</v>
      </c>
      <c r="D2328">
        <v>1</v>
      </c>
      <c r="E2328" t="s">
        <v>5192</v>
      </c>
      <c r="F2328" t="s">
        <v>16</v>
      </c>
    </row>
    <row r="2329" spans="1:6" x14ac:dyDescent="0.3">
      <c r="A2329" t="s">
        <v>619</v>
      </c>
      <c r="B2329" t="s">
        <v>471</v>
      </c>
      <c r="C2329" t="str">
        <f>HYPERLINK("http://service.sap.com/sap/support/notes/2050773","2050773")</f>
        <v>2050773</v>
      </c>
      <c r="D2329">
        <v>2</v>
      </c>
      <c r="E2329" t="s">
        <v>5193</v>
      </c>
      <c r="F2329" t="s">
        <v>9</v>
      </c>
    </row>
    <row r="2330" spans="1:6" x14ac:dyDescent="0.3">
      <c r="A2330" t="s">
        <v>619</v>
      </c>
      <c r="B2330" t="s">
        <v>471</v>
      </c>
      <c r="C2330" t="str">
        <f>HYPERLINK("http://service.sap.com/sap/support/notes/2053444","2053444")</f>
        <v>2053444</v>
      </c>
      <c r="D2330">
        <v>2</v>
      </c>
      <c r="E2330" t="s">
        <v>5194</v>
      </c>
      <c r="F2330" t="s">
        <v>9</v>
      </c>
    </row>
    <row r="2331" spans="1:6" x14ac:dyDescent="0.3">
      <c r="A2331" t="s">
        <v>619</v>
      </c>
      <c r="B2331" t="s">
        <v>471</v>
      </c>
      <c r="C2331" t="str">
        <f>HYPERLINK("http://service.sap.com/sap/support/notes/2054024","2054024")</f>
        <v>2054024</v>
      </c>
      <c r="D2331">
        <v>1</v>
      </c>
      <c r="E2331" t="s">
        <v>5195</v>
      </c>
      <c r="F2331" t="s">
        <v>9</v>
      </c>
    </row>
    <row r="2332" spans="1:6" x14ac:dyDescent="0.3">
      <c r="A2332" t="s">
        <v>619</v>
      </c>
      <c r="B2332" t="s">
        <v>471</v>
      </c>
      <c r="C2332" t="str">
        <f>HYPERLINK("http://service.sap.com/sap/support/notes/2055576","2055576")</f>
        <v>2055576</v>
      </c>
      <c r="D2332">
        <v>2</v>
      </c>
      <c r="E2332" t="s">
        <v>5196</v>
      </c>
      <c r="F2332" t="s">
        <v>9</v>
      </c>
    </row>
    <row r="2333" spans="1:6" x14ac:dyDescent="0.3">
      <c r="A2333" t="s">
        <v>619</v>
      </c>
      <c r="B2333" t="s">
        <v>471</v>
      </c>
      <c r="C2333" t="str">
        <f>HYPERLINK("http://service.sap.com/sap/support/notes/2056161","2056161")</f>
        <v>2056161</v>
      </c>
      <c r="D2333">
        <v>1</v>
      </c>
      <c r="E2333" t="s">
        <v>5197</v>
      </c>
      <c r="F2333" t="s">
        <v>9</v>
      </c>
    </row>
    <row r="2334" spans="1:6" x14ac:dyDescent="0.3">
      <c r="A2334" t="s">
        <v>619</v>
      </c>
      <c r="B2334" t="s">
        <v>471</v>
      </c>
      <c r="C2334" t="str">
        <f>HYPERLINK("http://service.sap.com/sap/support/notes/2057190","2057190")</f>
        <v>2057190</v>
      </c>
      <c r="D2334">
        <v>2</v>
      </c>
      <c r="E2334" t="s">
        <v>5198</v>
      </c>
      <c r="F2334" t="s">
        <v>9</v>
      </c>
    </row>
    <row r="2335" spans="1:6" x14ac:dyDescent="0.3">
      <c r="A2335" t="s">
        <v>619</v>
      </c>
      <c r="B2335" t="s">
        <v>471</v>
      </c>
      <c r="C2335" t="str">
        <f>HYPERLINK("http://service.sap.com/sap/support/notes/2053315","2053315")</f>
        <v>2053315</v>
      </c>
      <c r="D2335">
        <v>4</v>
      </c>
      <c r="E2335" t="s">
        <v>5531</v>
      </c>
      <c r="F2335" t="s">
        <v>9</v>
      </c>
    </row>
    <row r="2336" spans="1:6" x14ac:dyDescent="0.3">
      <c r="A2336" t="s">
        <v>619</v>
      </c>
      <c r="B2336" t="s">
        <v>471</v>
      </c>
      <c r="C2336" t="str">
        <f>HYPERLINK("http://service.sap.com/sap/support/notes/2058160","2058160")</f>
        <v>2058160</v>
      </c>
      <c r="D2336">
        <v>1</v>
      </c>
      <c r="E2336" t="s">
        <v>5532</v>
      </c>
      <c r="F2336" t="s">
        <v>9</v>
      </c>
    </row>
    <row r="2337" spans="1:6" x14ac:dyDescent="0.3">
      <c r="A2337" t="s">
        <v>619</v>
      </c>
      <c r="B2337" t="s">
        <v>471</v>
      </c>
      <c r="C2337" t="str">
        <f>HYPERLINK("http://service.sap.com/sap/support/notes/2059730","2059730")</f>
        <v>2059730</v>
      </c>
      <c r="D2337">
        <v>1</v>
      </c>
      <c r="E2337" t="s">
        <v>5533</v>
      </c>
      <c r="F2337" t="s">
        <v>9</v>
      </c>
    </row>
    <row r="2338" spans="1:6" x14ac:dyDescent="0.3">
      <c r="A2338" t="s">
        <v>619</v>
      </c>
      <c r="B2338" t="s">
        <v>471</v>
      </c>
      <c r="C2338" t="str">
        <f>HYPERLINK("http://service.sap.com/sap/support/notes/2060064","2060064")</f>
        <v>2060064</v>
      </c>
      <c r="D2338">
        <v>2</v>
      </c>
      <c r="E2338" t="s">
        <v>5534</v>
      </c>
      <c r="F2338" t="s">
        <v>16</v>
      </c>
    </row>
    <row r="2339" spans="1:6" x14ac:dyDescent="0.3">
      <c r="A2339" t="s">
        <v>619</v>
      </c>
      <c r="B2339" t="s">
        <v>471</v>
      </c>
      <c r="C2339" t="str">
        <f>HYPERLINK("http://service.sap.com/sap/support/notes/2065377","2065377")</f>
        <v>2065377</v>
      </c>
      <c r="D2339">
        <v>1</v>
      </c>
      <c r="E2339" t="s">
        <v>5535</v>
      </c>
      <c r="F2339" t="s">
        <v>16</v>
      </c>
    </row>
    <row r="2340" spans="1:6" x14ac:dyDescent="0.3">
      <c r="A2340" t="s">
        <v>619</v>
      </c>
      <c r="B2340" t="s">
        <v>471</v>
      </c>
      <c r="C2340" t="str">
        <f>HYPERLINK("http://service.sap.com/sap/support/notes/2068076","2068076")</f>
        <v>2068076</v>
      </c>
      <c r="D2340">
        <v>1</v>
      </c>
      <c r="E2340" t="s">
        <v>5536</v>
      </c>
      <c r="F2340" t="s">
        <v>9</v>
      </c>
    </row>
    <row r="2341" spans="1:6" x14ac:dyDescent="0.3">
      <c r="A2341" t="s">
        <v>2986</v>
      </c>
      <c r="B2341" t="s">
        <v>2987</v>
      </c>
      <c r="C2341" t="str">
        <f>HYPERLINK("http://service.sap.com/sap/support/notes/1979198","1979198")</f>
        <v>1979198</v>
      </c>
      <c r="D2341">
        <v>1</v>
      </c>
      <c r="E2341" t="s">
        <v>2988</v>
      </c>
      <c r="F2341" t="s">
        <v>9</v>
      </c>
    </row>
    <row r="2342" spans="1:6" x14ac:dyDescent="0.3">
      <c r="A2342" t="s">
        <v>2986</v>
      </c>
      <c r="B2342" t="s">
        <v>2987</v>
      </c>
      <c r="C2342" t="str">
        <f>HYPERLINK("http://service.sap.com/sap/support/notes/1984778","1984778")</f>
        <v>1984778</v>
      </c>
      <c r="D2342">
        <v>5</v>
      </c>
      <c r="E2342" t="s">
        <v>3654</v>
      </c>
      <c r="F2342" t="s">
        <v>9</v>
      </c>
    </row>
    <row r="2343" spans="1:6" x14ac:dyDescent="0.3">
      <c r="A2343" t="s">
        <v>2986</v>
      </c>
      <c r="B2343" t="s">
        <v>2987</v>
      </c>
      <c r="C2343" t="str">
        <f>HYPERLINK("http://service.sap.com/sap/support/notes/1988472","1988472")</f>
        <v>1988472</v>
      </c>
      <c r="D2343">
        <v>1</v>
      </c>
      <c r="E2343" t="s">
        <v>3655</v>
      </c>
      <c r="F2343" t="s">
        <v>9</v>
      </c>
    </row>
    <row r="2344" spans="1:6" x14ac:dyDescent="0.3">
      <c r="A2344" t="s">
        <v>625</v>
      </c>
      <c r="B2344" t="s">
        <v>626</v>
      </c>
      <c r="C2344" t="str">
        <f>HYPERLINK("http://service.sap.com/sap/support/notes/1852789","1852789")</f>
        <v>1852789</v>
      </c>
      <c r="D2344">
        <v>2</v>
      </c>
      <c r="E2344" t="s">
        <v>627</v>
      </c>
      <c r="F2344" t="s">
        <v>9</v>
      </c>
    </row>
    <row r="2345" spans="1:6" x14ac:dyDescent="0.3">
      <c r="A2345" t="s">
        <v>625</v>
      </c>
      <c r="B2345" t="s">
        <v>626</v>
      </c>
      <c r="C2345" t="str">
        <f>HYPERLINK("http://service.sap.com/sap/support/notes/1911357","1911357")</f>
        <v>1911357</v>
      </c>
      <c r="D2345">
        <v>2</v>
      </c>
      <c r="E2345" t="s">
        <v>628</v>
      </c>
      <c r="F2345" t="s">
        <v>9</v>
      </c>
    </row>
    <row r="2346" spans="1:6" x14ac:dyDescent="0.3">
      <c r="A2346" t="s">
        <v>625</v>
      </c>
      <c r="B2346" t="s">
        <v>626</v>
      </c>
      <c r="C2346" t="str">
        <f>HYPERLINK("http://service.sap.com/sap/support/notes/1911684","1911684")</f>
        <v>1911684</v>
      </c>
      <c r="D2346">
        <v>2</v>
      </c>
      <c r="E2346" t="s">
        <v>629</v>
      </c>
      <c r="F2346" t="s">
        <v>9</v>
      </c>
    </row>
    <row r="2347" spans="1:6" x14ac:dyDescent="0.3">
      <c r="A2347" t="s">
        <v>625</v>
      </c>
      <c r="B2347" t="s">
        <v>626</v>
      </c>
      <c r="C2347" t="str">
        <f>HYPERLINK("http://service.sap.com/sap/support/notes/1913354","1913354")</f>
        <v>1913354</v>
      </c>
      <c r="D2347">
        <v>2</v>
      </c>
      <c r="E2347" t="s">
        <v>630</v>
      </c>
      <c r="F2347" t="s">
        <v>9</v>
      </c>
    </row>
    <row r="2348" spans="1:6" x14ac:dyDescent="0.3">
      <c r="A2348" t="s">
        <v>625</v>
      </c>
      <c r="B2348" t="s">
        <v>626</v>
      </c>
      <c r="C2348" t="str">
        <f>HYPERLINK("http://service.sap.com/sap/support/notes/1914000","1914000")</f>
        <v>1914000</v>
      </c>
      <c r="D2348">
        <v>4</v>
      </c>
      <c r="E2348" t="s">
        <v>631</v>
      </c>
      <c r="F2348" t="s">
        <v>9</v>
      </c>
    </row>
    <row r="2349" spans="1:6" x14ac:dyDescent="0.3">
      <c r="A2349" t="s">
        <v>625</v>
      </c>
      <c r="B2349" t="s">
        <v>626</v>
      </c>
      <c r="C2349" t="str">
        <f>HYPERLINK("http://service.sap.com/sap/support/notes/1917955","1917955")</f>
        <v>1917955</v>
      </c>
      <c r="D2349">
        <v>2</v>
      </c>
      <c r="E2349" t="s">
        <v>632</v>
      </c>
      <c r="F2349" t="s">
        <v>9</v>
      </c>
    </row>
    <row r="2350" spans="1:6" x14ac:dyDescent="0.3">
      <c r="A2350" t="s">
        <v>625</v>
      </c>
      <c r="B2350" t="s">
        <v>626</v>
      </c>
      <c r="C2350" t="str">
        <f>HYPERLINK("http://service.sap.com/sap/support/notes/1919036","1919036")</f>
        <v>1919036</v>
      </c>
      <c r="D2350">
        <v>1</v>
      </c>
      <c r="E2350" t="s">
        <v>633</v>
      </c>
      <c r="F2350" t="s">
        <v>9</v>
      </c>
    </row>
    <row r="2351" spans="1:6" x14ac:dyDescent="0.3">
      <c r="A2351" t="s">
        <v>625</v>
      </c>
      <c r="B2351" t="s">
        <v>626</v>
      </c>
      <c r="C2351" t="str">
        <f>HYPERLINK("http://service.sap.com/sap/support/notes/1919793","1919793")</f>
        <v>1919793</v>
      </c>
      <c r="D2351">
        <v>2</v>
      </c>
      <c r="E2351" t="s">
        <v>634</v>
      </c>
      <c r="F2351" t="s">
        <v>9</v>
      </c>
    </row>
    <row r="2352" spans="1:6" x14ac:dyDescent="0.3">
      <c r="A2352" t="s">
        <v>625</v>
      </c>
      <c r="B2352" t="s">
        <v>626</v>
      </c>
      <c r="C2352" t="str">
        <f>HYPERLINK("http://service.sap.com/sap/support/notes/1922188","1922188")</f>
        <v>1922188</v>
      </c>
      <c r="D2352">
        <v>2</v>
      </c>
      <c r="E2352" t="s">
        <v>635</v>
      </c>
      <c r="F2352" t="s">
        <v>9</v>
      </c>
    </row>
    <row r="2353" spans="1:6" x14ac:dyDescent="0.3">
      <c r="A2353" t="s">
        <v>625</v>
      </c>
      <c r="B2353" t="s">
        <v>626</v>
      </c>
      <c r="C2353" t="str">
        <f>HYPERLINK("http://service.sap.com/sap/support/notes/1924485","1924485")</f>
        <v>1924485</v>
      </c>
      <c r="D2353">
        <v>4</v>
      </c>
      <c r="E2353" t="s">
        <v>636</v>
      </c>
      <c r="F2353" t="s">
        <v>9</v>
      </c>
    </row>
    <row r="2354" spans="1:6" x14ac:dyDescent="0.3">
      <c r="A2354" t="s">
        <v>625</v>
      </c>
      <c r="B2354" t="s">
        <v>1253</v>
      </c>
      <c r="C2354" t="str">
        <f>HYPERLINK("http://service.sap.com/sap/support/notes/1929501","1929501")</f>
        <v>1929501</v>
      </c>
      <c r="D2354">
        <v>5</v>
      </c>
      <c r="E2354" t="s">
        <v>1254</v>
      </c>
      <c r="F2354" t="s">
        <v>9</v>
      </c>
    </row>
    <row r="2355" spans="1:6" x14ac:dyDescent="0.3">
      <c r="A2355" t="s">
        <v>625</v>
      </c>
      <c r="B2355" t="s">
        <v>1253</v>
      </c>
      <c r="C2355" t="str">
        <f>HYPERLINK("http://service.sap.com/sap/support/notes/1932254","1932254")</f>
        <v>1932254</v>
      </c>
      <c r="D2355">
        <v>1</v>
      </c>
      <c r="E2355" t="s">
        <v>1255</v>
      </c>
      <c r="F2355" t="s">
        <v>9</v>
      </c>
    </row>
    <row r="2356" spans="1:6" x14ac:dyDescent="0.3">
      <c r="A2356" t="s">
        <v>625</v>
      </c>
      <c r="B2356" t="s">
        <v>1253</v>
      </c>
      <c r="C2356" t="str">
        <f>HYPERLINK("http://service.sap.com/sap/support/notes/1935104","1935104")</f>
        <v>1935104</v>
      </c>
      <c r="D2356">
        <v>2</v>
      </c>
      <c r="E2356" t="s">
        <v>1256</v>
      </c>
      <c r="F2356" t="s">
        <v>9</v>
      </c>
    </row>
    <row r="2357" spans="1:6" x14ac:dyDescent="0.3">
      <c r="A2357" t="s">
        <v>625</v>
      </c>
      <c r="B2357" t="s">
        <v>1253</v>
      </c>
      <c r="C2357" t="str">
        <f>HYPERLINK("http://service.sap.com/sap/support/notes/1936125","1936125")</f>
        <v>1936125</v>
      </c>
      <c r="D2357">
        <v>2</v>
      </c>
      <c r="E2357" t="s">
        <v>1257</v>
      </c>
      <c r="F2357" t="s">
        <v>9</v>
      </c>
    </row>
    <row r="2358" spans="1:6" x14ac:dyDescent="0.3">
      <c r="A2358" t="s">
        <v>625</v>
      </c>
      <c r="B2358" t="s">
        <v>626</v>
      </c>
      <c r="C2358" t="str">
        <f>HYPERLINK("http://service.sap.com/sap/support/notes/1932934","1932934")</f>
        <v>1932934</v>
      </c>
      <c r="D2358">
        <v>1</v>
      </c>
      <c r="E2358" t="s">
        <v>1693</v>
      </c>
      <c r="F2358" t="s">
        <v>9</v>
      </c>
    </row>
    <row r="2359" spans="1:6" x14ac:dyDescent="0.3">
      <c r="A2359" t="s">
        <v>625</v>
      </c>
      <c r="B2359" t="s">
        <v>626</v>
      </c>
      <c r="C2359" t="str">
        <f>HYPERLINK("http://service.sap.com/sap/support/notes/1932964","1932964")</f>
        <v>1932964</v>
      </c>
      <c r="D2359">
        <v>3</v>
      </c>
      <c r="E2359" t="s">
        <v>1694</v>
      </c>
      <c r="F2359" t="s">
        <v>9</v>
      </c>
    </row>
    <row r="2360" spans="1:6" x14ac:dyDescent="0.3">
      <c r="A2360" t="s">
        <v>625</v>
      </c>
      <c r="B2360" t="s">
        <v>626</v>
      </c>
      <c r="C2360" t="str">
        <f>HYPERLINK("http://service.sap.com/sap/support/notes/1941740","1941740")</f>
        <v>1941740</v>
      </c>
      <c r="D2360">
        <v>1</v>
      </c>
      <c r="E2360" t="s">
        <v>1695</v>
      </c>
      <c r="F2360" t="s">
        <v>9</v>
      </c>
    </row>
    <row r="2361" spans="1:6" x14ac:dyDescent="0.3">
      <c r="A2361" t="s">
        <v>625</v>
      </c>
      <c r="B2361" t="s">
        <v>626</v>
      </c>
      <c r="C2361" t="str">
        <f>HYPERLINK("http://service.sap.com/sap/support/notes/1943094","1943094")</f>
        <v>1943094</v>
      </c>
      <c r="D2361">
        <v>2</v>
      </c>
      <c r="E2361" t="s">
        <v>1696</v>
      </c>
      <c r="F2361" t="s">
        <v>9</v>
      </c>
    </row>
    <row r="2362" spans="1:6" x14ac:dyDescent="0.3">
      <c r="A2362" t="s">
        <v>625</v>
      </c>
      <c r="B2362" t="s">
        <v>626</v>
      </c>
      <c r="C2362" t="str">
        <f>HYPERLINK("http://service.sap.com/sap/support/notes/1945613","1945613")</f>
        <v>1945613</v>
      </c>
      <c r="D2362">
        <v>2</v>
      </c>
      <c r="E2362" t="s">
        <v>1697</v>
      </c>
      <c r="F2362" t="s">
        <v>9</v>
      </c>
    </row>
    <row r="2363" spans="1:6" x14ac:dyDescent="0.3">
      <c r="A2363" t="s">
        <v>625</v>
      </c>
      <c r="B2363" t="s">
        <v>626</v>
      </c>
      <c r="C2363" t="str">
        <f>HYPERLINK("http://service.sap.com/sap/support/notes/1949652","1949652")</f>
        <v>1949652</v>
      </c>
      <c r="D2363">
        <v>2</v>
      </c>
      <c r="E2363" t="s">
        <v>1698</v>
      </c>
      <c r="F2363" t="s">
        <v>9</v>
      </c>
    </row>
    <row r="2364" spans="1:6" x14ac:dyDescent="0.3">
      <c r="A2364" t="s">
        <v>625</v>
      </c>
      <c r="B2364" t="s">
        <v>626</v>
      </c>
      <c r="C2364" t="str">
        <f>HYPERLINK("http://service.sap.com/sap/support/notes/1949913","1949913")</f>
        <v>1949913</v>
      </c>
      <c r="D2364">
        <v>1</v>
      </c>
      <c r="E2364" t="s">
        <v>1699</v>
      </c>
      <c r="F2364" t="s">
        <v>9</v>
      </c>
    </row>
    <row r="2365" spans="1:6" x14ac:dyDescent="0.3">
      <c r="A2365" t="s">
        <v>625</v>
      </c>
      <c r="B2365" t="s">
        <v>626</v>
      </c>
      <c r="C2365" t="str">
        <f>HYPERLINK("http://service.sap.com/sap/support/notes/1952670","1952670")</f>
        <v>1952670</v>
      </c>
      <c r="D2365">
        <v>1</v>
      </c>
      <c r="E2365" t="s">
        <v>1700</v>
      </c>
      <c r="F2365" t="s">
        <v>9</v>
      </c>
    </row>
    <row r="2366" spans="1:6" x14ac:dyDescent="0.3">
      <c r="A2366" t="s">
        <v>625</v>
      </c>
      <c r="B2366" t="s">
        <v>626</v>
      </c>
      <c r="C2366" t="str">
        <f>HYPERLINK("http://service.sap.com/sap/support/notes/1953043","1953043")</f>
        <v>1953043</v>
      </c>
      <c r="D2366">
        <v>1</v>
      </c>
      <c r="E2366" t="s">
        <v>1701</v>
      </c>
      <c r="F2366" t="s">
        <v>9</v>
      </c>
    </row>
    <row r="2367" spans="1:6" x14ac:dyDescent="0.3">
      <c r="A2367" t="s">
        <v>625</v>
      </c>
      <c r="B2367" t="s">
        <v>626</v>
      </c>
      <c r="C2367" t="str">
        <f>HYPERLINK("http://service.sap.com/sap/support/notes/1953357","1953357")</f>
        <v>1953357</v>
      </c>
      <c r="D2367">
        <v>2</v>
      </c>
      <c r="E2367" t="s">
        <v>1700</v>
      </c>
      <c r="F2367" t="s">
        <v>9</v>
      </c>
    </row>
    <row r="2368" spans="1:6" x14ac:dyDescent="0.3">
      <c r="A2368" t="s">
        <v>625</v>
      </c>
      <c r="B2368" t="s">
        <v>626</v>
      </c>
      <c r="C2368" t="str">
        <f>HYPERLINK("http://service.sap.com/sap/support/notes/1954295","1954295")</f>
        <v>1954295</v>
      </c>
      <c r="D2368">
        <v>3</v>
      </c>
      <c r="E2368" t="s">
        <v>1702</v>
      </c>
      <c r="F2368" t="s">
        <v>9</v>
      </c>
    </row>
    <row r="2369" spans="1:6" x14ac:dyDescent="0.3">
      <c r="A2369" t="s">
        <v>625</v>
      </c>
      <c r="B2369" t="s">
        <v>1253</v>
      </c>
      <c r="C2369" t="str">
        <f>HYPERLINK("http://service.sap.com/sap/support/notes/1933696","1933696")</f>
        <v>1933696</v>
      </c>
      <c r="D2369">
        <v>3</v>
      </c>
      <c r="E2369" t="s">
        <v>2175</v>
      </c>
      <c r="F2369" t="s">
        <v>9</v>
      </c>
    </row>
    <row r="2370" spans="1:6" x14ac:dyDescent="0.3">
      <c r="A2370" t="s">
        <v>625</v>
      </c>
      <c r="B2370" t="s">
        <v>1253</v>
      </c>
      <c r="C2370" t="str">
        <f>HYPERLINK("http://service.sap.com/sap/support/notes/1934221","1934221")</f>
        <v>1934221</v>
      </c>
      <c r="D2370">
        <v>2</v>
      </c>
      <c r="E2370" t="s">
        <v>2176</v>
      </c>
      <c r="F2370" t="s">
        <v>9</v>
      </c>
    </row>
    <row r="2371" spans="1:6" x14ac:dyDescent="0.3">
      <c r="A2371" t="s">
        <v>625</v>
      </c>
      <c r="B2371" t="s">
        <v>1253</v>
      </c>
      <c r="C2371" t="str">
        <f>HYPERLINK("http://service.sap.com/sap/support/notes/1934329","1934329")</f>
        <v>1934329</v>
      </c>
      <c r="D2371">
        <v>4</v>
      </c>
      <c r="E2371" t="s">
        <v>2177</v>
      </c>
      <c r="F2371" t="s">
        <v>9</v>
      </c>
    </row>
    <row r="2372" spans="1:6" x14ac:dyDescent="0.3">
      <c r="A2372" t="s">
        <v>625</v>
      </c>
      <c r="B2372" t="s">
        <v>1253</v>
      </c>
      <c r="C2372" t="str">
        <f>HYPERLINK("http://service.sap.com/sap/support/notes/1943342","1943342")</f>
        <v>1943342</v>
      </c>
      <c r="D2372">
        <v>2</v>
      </c>
      <c r="E2372" t="s">
        <v>2178</v>
      </c>
      <c r="F2372" t="s">
        <v>9</v>
      </c>
    </row>
    <row r="2373" spans="1:6" x14ac:dyDescent="0.3">
      <c r="A2373" t="s">
        <v>625</v>
      </c>
      <c r="B2373" t="s">
        <v>1253</v>
      </c>
      <c r="C2373" t="str">
        <f>HYPERLINK("http://service.sap.com/sap/support/notes/1950473","1950473")</f>
        <v>1950473</v>
      </c>
      <c r="D2373">
        <v>4</v>
      </c>
      <c r="E2373" t="s">
        <v>2179</v>
      </c>
      <c r="F2373" t="s">
        <v>9</v>
      </c>
    </row>
    <row r="2374" spans="1:6" x14ac:dyDescent="0.3">
      <c r="A2374" t="s">
        <v>625</v>
      </c>
      <c r="B2374" t="s">
        <v>1253</v>
      </c>
      <c r="C2374" t="str">
        <f>HYPERLINK("http://service.sap.com/sap/support/notes/1955255","1955255")</f>
        <v>1955255</v>
      </c>
      <c r="D2374">
        <v>2</v>
      </c>
      <c r="E2374" t="s">
        <v>2180</v>
      </c>
      <c r="F2374" t="s">
        <v>9</v>
      </c>
    </row>
    <row r="2375" spans="1:6" x14ac:dyDescent="0.3">
      <c r="A2375" t="s">
        <v>625</v>
      </c>
      <c r="B2375" t="s">
        <v>1253</v>
      </c>
      <c r="C2375" t="str">
        <f>HYPERLINK("http://service.sap.com/sap/support/notes/1958609","1958609")</f>
        <v>1958609</v>
      </c>
      <c r="D2375">
        <v>2</v>
      </c>
      <c r="E2375" t="s">
        <v>2181</v>
      </c>
      <c r="F2375" t="s">
        <v>9</v>
      </c>
    </row>
    <row r="2376" spans="1:6" x14ac:dyDescent="0.3">
      <c r="A2376" t="s">
        <v>625</v>
      </c>
      <c r="B2376" t="s">
        <v>1253</v>
      </c>
      <c r="C2376" t="str">
        <f>HYPERLINK("http://service.sap.com/sap/support/notes/1962134","1962134")</f>
        <v>1962134</v>
      </c>
      <c r="D2376">
        <v>1</v>
      </c>
      <c r="E2376" t="s">
        <v>2182</v>
      </c>
      <c r="F2376" t="s">
        <v>9</v>
      </c>
    </row>
    <row r="2377" spans="1:6" x14ac:dyDescent="0.3">
      <c r="A2377" t="s">
        <v>625</v>
      </c>
      <c r="B2377" t="s">
        <v>1253</v>
      </c>
      <c r="C2377" t="str">
        <f>HYPERLINK("http://service.sap.com/sap/support/notes/1965821","1965821")</f>
        <v>1965821</v>
      </c>
      <c r="D2377">
        <v>1</v>
      </c>
      <c r="E2377" t="s">
        <v>2183</v>
      </c>
      <c r="F2377" t="s">
        <v>9</v>
      </c>
    </row>
    <row r="2378" spans="1:6" x14ac:dyDescent="0.3">
      <c r="A2378" t="s">
        <v>625</v>
      </c>
      <c r="B2378" t="s">
        <v>1253</v>
      </c>
      <c r="C2378" t="str">
        <f>HYPERLINK("http://service.sap.com/sap/support/notes/1946562","1946562")</f>
        <v>1946562</v>
      </c>
      <c r="D2378">
        <v>3</v>
      </c>
      <c r="E2378" t="s">
        <v>2546</v>
      </c>
      <c r="F2378" t="s">
        <v>9</v>
      </c>
    </row>
    <row r="2379" spans="1:6" x14ac:dyDescent="0.3">
      <c r="A2379" t="s">
        <v>625</v>
      </c>
      <c r="B2379" t="s">
        <v>1253</v>
      </c>
      <c r="C2379" t="str">
        <f>HYPERLINK("http://service.sap.com/sap/support/notes/1966484","1966484")</f>
        <v>1966484</v>
      </c>
      <c r="D2379">
        <v>2</v>
      </c>
      <c r="E2379" t="s">
        <v>2547</v>
      </c>
      <c r="F2379" t="s">
        <v>9</v>
      </c>
    </row>
    <row r="2380" spans="1:6" x14ac:dyDescent="0.3">
      <c r="A2380" t="s">
        <v>625</v>
      </c>
      <c r="B2380" t="s">
        <v>1253</v>
      </c>
      <c r="C2380" t="str">
        <f>HYPERLINK("http://service.sap.com/sap/support/notes/1971479","1971479")</f>
        <v>1971479</v>
      </c>
      <c r="D2380">
        <v>1</v>
      </c>
      <c r="E2380" t="s">
        <v>2548</v>
      </c>
      <c r="F2380" t="s">
        <v>9</v>
      </c>
    </row>
    <row r="2381" spans="1:6" x14ac:dyDescent="0.3">
      <c r="A2381" t="s">
        <v>625</v>
      </c>
      <c r="B2381" t="s">
        <v>1253</v>
      </c>
      <c r="C2381" t="str">
        <f>HYPERLINK("http://service.sap.com/sap/support/notes/1971499","1971499")</f>
        <v>1971499</v>
      </c>
      <c r="D2381">
        <v>1</v>
      </c>
      <c r="E2381" t="s">
        <v>2549</v>
      </c>
      <c r="F2381" t="s">
        <v>9</v>
      </c>
    </row>
    <row r="2382" spans="1:6" x14ac:dyDescent="0.3">
      <c r="A2382" t="s">
        <v>625</v>
      </c>
      <c r="B2382" t="s">
        <v>1253</v>
      </c>
      <c r="C2382" t="str">
        <f>HYPERLINK("http://service.sap.com/sap/support/notes/1972239","1972239")</f>
        <v>1972239</v>
      </c>
      <c r="D2382">
        <v>2</v>
      </c>
      <c r="E2382" t="s">
        <v>2550</v>
      </c>
      <c r="F2382" t="s">
        <v>9</v>
      </c>
    </row>
    <row r="2383" spans="1:6" x14ac:dyDescent="0.3">
      <c r="A2383" t="s">
        <v>625</v>
      </c>
      <c r="B2383" t="s">
        <v>1253</v>
      </c>
      <c r="C2383" t="str">
        <f>HYPERLINK("http://service.sap.com/sap/support/notes/1972634","1972634")</f>
        <v>1972634</v>
      </c>
      <c r="D2383">
        <v>1</v>
      </c>
      <c r="E2383" t="s">
        <v>2551</v>
      </c>
      <c r="F2383" t="s">
        <v>9</v>
      </c>
    </row>
    <row r="2384" spans="1:6" x14ac:dyDescent="0.3">
      <c r="A2384" t="s">
        <v>625</v>
      </c>
      <c r="B2384" t="s">
        <v>1253</v>
      </c>
      <c r="C2384" t="str">
        <f>HYPERLINK("http://service.sap.com/sap/support/notes/1973949","1973949")</f>
        <v>1973949</v>
      </c>
      <c r="D2384">
        <v>1</v>
      </c>
      <c r="E2384" t="s">
        <v>2552</v>
      </c>
      <c r="F2384" t="s">
        <v>9</v>
      </c>
    </row>
    <row r="2385" spans="1:6" x14ac:dyDescent="0.3">
      <c r="A2385" t="s">
        <v>625</v>
      </c>
      <c r="B2385" t="s">
        <v>1253</v>
      </c>
      <c r="C2385" t="str">
        <f>HYPERLINK("http://service.sap.com/sap/support/notes/1974791","1974791")</f>
        <v>1974791</v>
      </c>
      <c r="D2385">
        <v>2</v>
      </c>
      <c r="E2385" t="s">
        <v>2553</v>
      </c>
      <c r="F2385" t="s">
        <v>9</v>
      </c>
    </row>
    <row r="2386" spans="1:6" x14ac:dyDescent="0.3">
      <c r="A2386" t="s">
        <v>625</v>
      </c>
      <c r="B2386" t="s">
        <v>1253</v>
      </c>
      <c r="C2386" t="str">
        <f>HYPERLINK("http://service.sap.com/sap/support/notes/1974795","1974795")</f>
        <v>1974795</v>
      </c>
      <c r="D2386">
        <v>1</v>
      </c>
      <c r="E2386" t="s">
        <v>2554</v>
      </c>
      <c r="F2386" t="s">
        <v>9</v>
      </c>
    </row>
    <row r="2387" spans="1:6" x14ac:dyDescent="0.3">
      <c r="A2387" t="s">
        <v>625</v>
      </c>
      <c r="B2387" t="s">
        <v>1253</v>
      </c>
      <c r="C2387" t="str">
        <f>HYPERLINK("http://service.sap.com/sap/support/notes/1976078","1976078")</f>
        <v>1976078</v>
      </c>
      <c r="D2387">
        <v>1</v>
      </c>
      <c r="E2387" t="s">
        <v>2555</v>
      </c>
      <c r="F2387" t="s">
        <v>9</v>
      </c>
    </row>
    <row r="2388" spans="1:6" x14ac:dyDescent="0.3">
      <c r="A2388" t="s">
        <v>625</v>
      </c>
      <c r="B2388" t="s">
        <v>1253</v>
      </c>
      <c r="C2388" t="str">
        <f>HYPERLINK("http://service.sap.com/sap/support/notes/1977851","1977851")</f>
        <v>1977851</v>
      </c>
      <c r="D2388">
        <v>1</v>
      </c>
      <c r="E2388" t="s">
        <v>2556</v>
      </c>
      <c r="F2388" t="s">
        <v>9</v>
      </c>
    </row>
    <row r="2389" spans="1:6" x14ac:dyDescent="0.3">
      <c r="A2389" t="s">
        <v>625</v>
      </c>
      <c r="B2389" t="s">
        <v>626</v>
      </c>
      <c r="C2389" t="str">
        <f>HYPERLINK("http://service.sap.com/sap/support/notes/1916758","1916758")</f>
        <v>1916758</v>
      </c>
      <c r="D2389">
        <v>3</v>
      </c>
      <c r="E2389" t="s">
        <v>2989</v>
      </c>
      <c r="F2389" t="s">
        <v>9</v>
      </c>
    </row>
    <row r="2390" spans="1:6" x14ac:dyDescent="0.3">
      <c r="A2390" t="s">
        <v>625</v>
      </c>
      <c r="B2390" t="s">
        <v>626</v>
      </c>
      <c r="C2390" t="str">
        <f>HYPERLINK("http://service.sap.com/sap/support/notes/1955255","1955255")</f>
        <v>1955255</v>
      </c>
      <c r="D2390">
        <v>2</v>
      </c>
      <c r="E2390" t="s">
        <v>2990</v>
      </c>
      <c r="F2390" t="s">
        <v>9</v>
      </c>
    </row>
    <row r="2391" spans="1:6" x14ac:dyDescent="0.3">
      <c r="A2391" t="s">
        <v>625</v>
      </c>
      <c r="B2391" t="s">
        <v>626</v>
      </c>
      <c r="C2391" t="str">
        <f>HYPERLINK("http://service.sap.com/sap/support/notes/1978788","1978788")</f>
        <v>1978788</v>
      </c>
      <c r="D2391">
        <v>2</v>
      </c>
      <c r="E2391" t="s">
        <v>2991</v>
      </c>
      <c r="F2391" t="s">
        <v>9</v>
      </c>
    </row>
    <row r="2392" spans="1:6" x14ac:dyDescent="0.3">
      <c r="A2392" t="s">
        <v>625</v>
      </c>
      <c r="B2392" t="s">
        <v>626</v>
      </c>
      <c r="C2392" t="str">
        <f>HYPERLINK("http://service.sap.com/sap/support/notes/1983361","1983361")</f>
        <v>1983361</v>
      </c>
      <c r="D2392">
        <v>1</v>
      </c>
      <c r="E2392" t="s">
        <v>2992</v>
      </c>
      <c r="F2392" t="s">
        <v>9</v>
      </c>
    </row>
    <row r="2393" spans="1:6" x14ac:dyDescent="0.3">
      <c r="A2393" t="s">
        <v>625</v>
      </c>
      <c r="B2393" t="s">
        <v>626</v>
      </c>
      <c r="C2393" t="str">
        <f>HYPERLINK("http://service.sap.com/sap/support/notes/1984074","1984074")</f>
        <v>1984074</v>
      </c>
      <c r="D2393">
        <v>3</v>
      </c>
      <c r="E2393" t="s">
        <v>2993</v>
      </c>
      <c r="F2393" t="s">
        <v>9</v>
      </c>
    </row>
    <row r="2394" spans="1:6" x14ac:dyDescent="0.3">
      <c r="A2394" t="s">
        <v>625</v>
      </c>
      <c r="B2394" t="s">
        <v>626</v>
      </c>
      <c r="C2394" t="str">
        <f>HYPERLINK("http://service.sap.com/sap/support/notes/1984121","1984121")</f>
        <v>1984121</v>
      </c>
      <c r="D2394">
        <v>1</v>
      </c>
      <c r="E2394" t="s">
        <v>2994</v>
      </c>
      <c r="F2394" t="s">
        <v>9</v>
      </c>
    </row>
    <row r="2395" spans="1:6" x14ac:dyDescent="0.3">
      <c r="A2395" t="s">
        <v>625</v>
      </c>
      <c r="B2395" t="s">
        <v>626</v>
      </c>
      <c r="C2395" t="str">
        <f>HYPERLINK("http://service.sap.com/sap/support/notes/1987789","1987789")</f>
        <v>1987789</v>
      </c>
      <c r="D2395">
        <v>1</v>
      </c>
      <c r="E2395" t="s">
        <v>2995</v>
      </c>
      <c r="F2395" t="s">
        <v>9</v>
      </c>
    </row>
    <row r="2396" spans="1:6" x14ac:dyDescent="0.3">
      <c r="A2396" t="s">
        <v>625</v>
      </c>
      <c r="B2396" t="s">
        <v>626</v>
      </c>
      <c r="C2396" t="str">
        <f>HYPERLINK("http://service.sap.com/sap/support/notes/1964441","1964441")</f>
        <v>1964441</v>
      </c>
      <c r="D2396">
        <v>2</v>
      </c>
      <c r="E2396" t="s">
        <v>3656</v>
      </c>
      <c r="F2396" t="s">
        <v>9</v>
      </c>
    </row>
    <row r="2397" spans="1:6" x14ac:dyDescent="0.3">
      <c r="A2397" t="s">
        <v>625</v>
      </c>
      <c r="B2397" t="s">
        <v>626</v>
      </c>
      <c r="C2397" t="str">
        <f>HYPERLINK("http://service.sap.com/sap/support/notes/1990076","1990076")</f>
        <v>1990076</v>
      </c>
      <c r="D2397">
        <v>2</v>
      </c>
      <c r="E2397" t="s">
        <v>3657</v>
      </c>
      <c r="F2397" t="s">
        <v>9</v>
      </c>
    </row>
    <row r="2398" spans="1:6" x14ac:dyDescent="0.3">
      <c r="A2398" t="s">
        <v>625</v>
      </c>
      <c r="B2398" t="s">
        <v>626</v>
      </c>
      <c r="C2398" t="str">
        <f>HYPERLINK("http://service.sap.com/sap/support/notes/1991977","1991977")</f>
        <v>1991977</v>
      </c>
      <c r="D2398">
        <v>3</v>
      </c>
      <c r="E2398" t="s">
        <v>3658</v>
      </c>
      <c r="F2398" t="s">
        <v>9</v>
      </c>
    </row>
    <row r="2399" spans="1:6" x14ac:dyDescent="0.3">
      <c r="A2399" t="s">
        <v>625</v>
      </c>
      <c r="B2399" t="s">
        <v>626</v>
      </c>
      <c r="C2399" t="str">
        <f>HYPERLINK("http://service.sap.com/sap/support/notes/1994981","1994981")</f>
        <v>1994981</v>
      </c>
      <c r="D2399">
        <v>3</v>
      </c>
      <c r="E2399" t="s">
        <v>3659</v>
      </c>
      <c r="F2399" t="s">
        <v>9</v>
      </c>
    </row>
    <row r="2400" spans="1:6" x14ac:dyDescent="0.3">
      <c r="A2400" t="s">
        <v>625</v>
      </c>
      <c r="B2400" t="s">
        <v>626</v>
      </c>
      <c r="C2400" t="str">
        <f>HYPERLINK("http://service.sap.com/sap/support/notes/1996826","1996826")</f>
        <v>1996826</v>
      </c>
      <c r="D2400">
        <v>3</v>
      </c>
      <c r="E2400" t="s">
        <v>3660</v>
      </c>
      <c r="F2400" t="s">
        <v>9</v>
      </c>
    </row>
    <row r="2401" spans="1:6" x14ac:dyDescent="0.3">
      <c r="A2401" t="s">
        <v>625</v>
      </c>
      <c r="B2401" t="s">
        <v>626</v>
      </c>
      <c r="C2401" t="str">
        <f>HYPERLINK("http://service.sap.com/sap/support/notes/2001817","2001817")</f>
        <v>2001817</v>
      </c>
      <c r="D2401">
        <v>2</v>
      </c>
      <c r="E2401" t="s">
        <v>3661</v>
      </c>
      <c r="F2401" t="s">
        <v>9</v>
      </c>
    </row>
    <row r="2402" spans="1:6" x14ac:dyDescent="0.3">
      <c r="A2402" t="s">
        <v>625</v>
      </c>
      <c r="B2402" t="s">
        <v>626</v>
      </c>
      <c r="C2402" t="str">
        <f>HYPERLINK("http://service.sap.com/sap/support/notes/2003792","2003792")</f>
        <v>2003792</v>
      </c>
      <c r="D2402">
        <v>2</v>
      </c>
      <c r="E2402" t="s">
        <v>1695</v>
      </c>
      <c r="F2402" t="s">
        <v>9</v>
      </c>
    </row>
    <row r="2403" spans="1:6" x14ac:dyDescent="0.3">
      <c r="A2403" t="s">
        <v>625</v>
      </c>
      <c r="B2403" t="s">
        <v>626</v>
      </c>
      <c r="C2403" t="str">
        <f>HYPERLINK("http://service.sap.com/sap/support/notes/2004671","2004671")</f>
        <v>2004671</v>
      </c>
      <c r="D2403">
        <v>1</v>
      </c>
      <c r="E2403" t="s">
        <v>3662</v>
      </c>
      <c r="F2403" t="s">
        <v>9</v>
      </c>
    </row>
    <row r="2404" spans="1:6" x14ac:dyDescent="0.3">
      <c r="A2404" t="s">
        <v>625</v>
      </c>
      <c r="B2404" t="s">
        <v>1253</v>
      </c>
      <c r="C2404" t="str">
        <f>HYPERLINK("http://service.sap.com/sap/support/notes/2005795","2005795")</f>
        <v>2005795</v>
      </c>
      <c r="D2404">
        <v>2</v>
      </c>
      <c r="E2404" t="s">
        <v>4168</v>
      </c>
      <c r="F2404" t="s">
        <v>9</v>
      </c>
    </row>
    <row r="2405" spans="1:6" x14ac:dyDescent="0.3">
      <c r="A2405" t="s">
        <v>625</v>
      </c>
      <c r="B2405" t="s">
        <v>1253</v>
      </c>
      <c r="C2405" t="str">
        <f>HYPERLINK("http://service.sap.com/sap/support/notes/2009947","2009947")</f>
        <v>2009947</v>
      </c>
      <c r="D2405">
        <v>1</v>
      </c>
      <c r="E2405" t="s">
        <v>4169</v>
      </c>
      <c r="F2405" t="s">
        <v>9</v>
      </c>
    </row>
    <row r="2406" spans="1:6" x14ac:dyDescent="0.3">
      <c r="A2406" t="s">
        <v>625</v>
      </c>
      <c r="B2406" t="s">
        <v>1253</v>
      </c>
      <c r="C2406" t="str">
        <f>HYPERLINK("http://service.sap.com/sap/support/notes/2013056","2013056")</f>
        <v>2013056</v>
      </c>
      <c r="D2406">
        <v>1</v>
      </c>
      <c r="E2406" t="s">
        <v>4170</v>
      </c>
      <c r="F2406" t="s">
        <v>9</v>
      </c>
    </row>
    <row r="2407" spans="1:6" x14ac:dyDescent="0.3">
      <c r="A2407" t="s">
        <v>625</v>
      </c>
      <c r="B2407" t="s">
        <v>1253</v>
      </c>
      <c r="C2407" t="str">
        <f>HYPERLINK("http://service.sap.com/sap/support/notes/2019165","2019165")</f>
        <v>2019165</v>
      </c>
      <c r="D2407">
        <v>1</v>
      </c>
      <c r="E2407" t="s">
        <v>4171</v>
      </c>
      <c r="F2407" t="s">
        <v>9</v>
      </c>
    </row>
    <row r="2408" spans="1:6" x14ac:dyDescent="0.3">
      <c r="A2408" t="s">
        <v>625</v>
      </c>
      <c r="B2408" t="s">
        <v>1253</v>
      </c>
      <c r="C2408" t="str">
        <f>HYPERLINK("http://service.sap.com/sap/support/notes/2019627","2019627")</f>
        <v>2019627</v>
      </c>
      <c r="D2408">
        <v>1</v>
      </c>
      <c r="E2408" t="s">
        <v>4172</v>
      </c>
      <c r="F2408" t="s">
        <v>9</v>
      </c>
    </row>
    <row r="2409" spans="1:6" x14ac:dyDescent="0.3">
      <c r="A2409" t="s">
        <v>625</v>
      </c>
      <c r="B2409" t="s">
        <v>1253</v>
      </c>
      <c r="C2409" t="str">
        <f>HYPERLINK("http://service.sap.com/sap/support/notes/1991200","1991200")</f>
        <v>1991200</v>
      </c>
      <c r="D2409">
        <v>5</v>
      </c>
      <c r="E2409" t="s">
        <v>4507</v>
      </c>
      <c r="F2409" t="s">
        <v>9</v>
      </c>
    </row>
    <row r="2410" spans="1:6" x14ac:dyDescent="0.3">
      <c r="A2410" t="s">
        <v>625</v>
      </c>
      <c r="B2410" t="s">
        <v>1253</v>
      </c>
      <c r="C2410" t="str">
        <f>HYPERLINK("http://service.sap.com/sap/support/notes/1999894","1999894")</f>
        <v>1999894</v>
      </c>
      <c r="D2410">
        <v>3</v>
      </c>
      <c r="E2410" t="s">
        <v>4508</v>
      </c>
      <c r="F2410" t="s">
        <v>9</v>
      </c>
    </row>
    <row r="2411" spans="1:6" x14ac:dyDescent="0.3">
      <c r="A2411" t="s">
        <v>625</v>
      </c>
      <c r="B2411" t="s">
        <v>1253</v>
      </c>
      <c r="C2411" t="str">
        <f>HYPERLINK("http://service.sap.com/sap/support/notes/2013101","2013101")</f>
        <v>2013101</v>
      </c>
      <c r="D2411">
        <v>2</v>
      </c>
      <c r="E2411" t="s">
        <v>4509</v>
      </c>
      <c r="F2411" t="s">
        <v>9</v>
      </c>
    </row>
    <row r="2412" spans="1:6" x14ac:dyDescent="0.3">
      <c r="A2412" t="s">
        <v>625</v>
      </c>
      <c r="B2412" t="s">
        <v>1253</v>
      </c>
      <c r="C2412" t="str">
        <f>HYPERLINK("http://service.sap.com/sap/support/notes/2014652","2014652")</f>
        <v>2014652</v>
      </c>
      <c r="D2412">
        <v>5</v>
      </c>
      <c r="E2412" t="s">
        <v>4510</v>
      </c>
      <c r="F2412" t="s">
        <v>9</v>
      </c>
    </row>
    <row r="2413" spans="1:6" x14ac:dyDescent="0.3">
      <c r="A2413" t="s">
        <v>625</v>
      </c>
      <c r="B2413" t="s">
        <v>1253</v>
      </c>
      <c r="C2413" t="str">
        <f>HYPERLINK("http://service.sap.com/sap/support/notes/2016161","2016161")</f>
        <v>2016161</v>
      </c>
      <c r="D2413">
        <v>1</v>
      </c>
      <c r="E2413" t="s">
        <v>4511</v>
      </c>
      <c r="F2413" t="s">
        <v>9</v>
      </c>
    </row>
    <row r="2414" spans="1:6" x14ac:dyDescent="0.3">
      <c r="A2414" t="s">
        <v>625</v>
      </c>
      <c r="B2414" t="s">
        <v>1253</v>
      </c>
      <c r="C2414" t="str">
        <f>HYPERLINK("http://service.sap.com/sap/support/notes/2020369","2020369")</f>
        <v>2020369</v>
      </c>
      <c r="D2414">
        <v>5</v>
      </c>
      <c r="E2414" t="s">
        <v>4512</v>
      </c>
      <c r="F2414" t="s">
        <v>9</v>
      </c>
    </row>
    <row r="2415" spans="1:6" x14ac:dyDescent="0.3">
      <c r="A2415" t="s">
        <v>625</v>
      </c>
      <c r="B2415" t="s">
        <v>1253</v>
      </c>
      <c r="C2415" t="str">
        <f>HYPERLINK("http://service.sap.com/sap/support/notes/2021670","2021670")</f>
        <v>2021670</v>
      </c>
      <c r="D2415">
        <v>1</v>
      </c>
      <c r="E2415" t="s">
        <v>4513</v>
      </c>
      <c r="F2415" t="s">
        <v>9</v>
      </c>
    </row>
    <row r="2416" spans="1:6" x14ac:dyDescent="0.3">
      <c r="A2416" t="s">
        <v>625</v>
      </c>
      <c r="B2416" t="s">
        <v>1253</v>
      </c>
      <c r="C2416" t="str">
        <f>HYPERLINK("http://service.sap.com/sap/support/notes/2029356","2029356")</f>
        <v>2029356</v>
      </c>
      <c r="D2416">
        <v>1</v>
      </c>
      <c r="E2416" t="s">
        <v>4514</v>
      </c>
      <c r="F2416" t="s">
        <v>9</v>
      </c>
    </row>
    <row r="2417" spans="1:6" x14ac:dyDescent="0.3">
      <c r="A2417" t="s">
        <v>625</v>
      </c>
      <c r="B2417" t="s">
        <v>1253</v>
      </c>
      <c r="C2417" t="str">
        <f>HYPERLINK("http://service.sap.com/sap/support/notes/2033308","2033308")</f>
        <v>2033308</v>
      </c>
      <c r="D2417">
        <v>1</v>
      </c>
      <c r="E2417" t="s">
        <v>4515</v>
      </c>
      <c r="F2417" t="s">
        <v>9</v>
      </c>
    </row>
    <row r="2418" spans="1:6" x14ac:dyDescent="0.3">
      <c r="A2418" t="s">
        <v>625</v>
      </c>
      <c r="B2418" t="s">
        <v>1253</v>
      </c>
      <c r="C2418" t="str">
        <f>HYPERLINK("http://service.sap.com/sap/support/notes/2033322","2033322")</f>
        <v>2033322</v>
      </c>
      <c r="D2418">
        <v>1</v>
      </c>
      <c r="E2418" t="s">
        <v>4516</v>
      </c>
      <c r="F2418" t="s">
        <v>9</v>
      </c>
    </row>
    <row r="2419" spans="1:6" x14ac:dyDescent="0.3">
      <c r="A2419" t="s">
        <v>625</v>
      </c>
      <c r="B2419" t="s">
        <v>1253</v>
      </c>
      <c r="C2419" t="str">
        <f>HYPERLINK("http://service.sap.com/sap/support/notes/1979812","1979812")</f>
        <v>1979812</v>
      </c>
      <c r="D2419">
        <v>2</v>
      </c>
      <c r="E2419" t="s">
        <v>4819</v>
      </c>
      <c r="F2419" t="s">
        <v>9</v>
      </c>
    </row>
    <row r="2420" spans="1:6" x14ac:dyDescent="0.3">
      <c r="A2420" t="s">
        <v>625</v>
      </c>
      <c r="B2420" t="s">
        <v>1253</v>
      </c>
      <c r="C2420" t="str">
        <f>HYPERLINK("http://service.sap.com/sap/support/notes/2014840","2014840")</f>
        <v>2014840</v>
      </c>
      <c r="D2420">
        <v>2</v>
      </c>
      <c r="E2420" t="s">
        <v>4820</v>
      </c>
      <c r="F2420" t="s">
        <v>9</v>
      </c>
    </row>
    <row r="2421" spans="1:6" x14ac:dyDescent="0.3">
      <c r="A2421" t="s">
        <v>625</v>
      </c>
      <c r="B2421" t="s">
        <v>1253</v>
      </c>
      <c r="C2421" t="str">
        <f>HYPERLINK("http://service.sap.com/sap/support/notes/2015321","2015321")</f>
        <v>2015321</v>
      </c>
      <c r="D2421">
        <v>2</v>
      </c>
      <c r="E2421" t="s">
        <v>4821</v>
      </c>
      <c r="F2421" t="s">
        <v>9</v>
      </c>
    </row>
    <row r="2422" spans="1:6" x14ac:dyDescent="0.3">
      <c r="A2422" t="s">
        <v>625</v>
      </c>
      <c r="B2422" t="s">
        <v>1253</v>
      </c>
      <c r="C2422" t="str">
        <f>HYPERLINK("http://service.sap.com/sap/support/notes/2019084","2019084")</f>
        <v>2019084</v>
      </c>
      <c r="D2422">
        <v>3</v>
      </c>
      <c r="E2422" t="s">
        <v>4822</v>
      </c>
      <c r="F2422" t="s">
        <v>9</v>
      </c>
    </row>
    <row r="2423" spans="1:6" x14ac:dyDescent="0.3">
      <c r="A2423" t="s">
        <v>625</v>
      </c>
      <c r="B2423" t="s">
        <v>1253</v>
      </c>
      <c r="C2423" t="str">
        <f>HYPERLINK("http://service.sap.com/sap/support/notes/2038085","2038085")</f>
        <v>2038085</v>
      </c>
      <c r="D2423">
        <v>1</v>
      </c>
      <c r="E2423" t="s">
        <v>4823</v>
      </c>
      <c r="F2423" t="s">
        <v>9</v>
      </c>
    </row>
    <row r="2424" spans="1:6" x14ac:dyDescent="0.3">
      <c r="A2424" t="s">
        <v>625</v>
      </c>
      <c r="B2424" t="s">
        <v>1253</v>
      </c>
      <c r="C2424" t="str">
        <f>HYPERLINK("http://service.sap.com/sap/support/notes/2038613","2038613")</f>
        <v>2038613</v>
      </c>
      <c r="D2424">
        <v>1</v>
      </c>
      <c r="E2424" t="s">
        <v>4824</v>
      </c>
      <c r="F2424" t="s">
        <v>9</v>
      </c>
    </row>
    <row r="2425" spans="1:6" x14ac:dyDescent="0.3">
      <c r="A2425" t="s">
        <v>625</v>
      </c>
      <c r="B2425" t="s">
        <v>1253</v>
      </c>
      <c r="C2425" t="str">
        <f>HYPERLINK("http://service.sap.com/sap/support/notes/2039203","2039203")</f>
        <v>2039203</v>
      </c>
      <c r="D2425">
        <v>2</v>
      </c>
      <c r="E2425" t="s">
        <v>4825</v>
      </c>
      <c r="F2425" t="s">
        <v>9</v>
      </c>
    </row>
    <row r="2426" spans="1:6" x14ac:dyDescent="0.3">
      <c r="A2426" t="s">
        <v>625</v>
      </c>
      <c r="B2426" t="s">
        <v>1253</v>
      </c>
      <c r="C2426" t="str">
        <f>HYPERLINK("http://service.sap.com/sap/support/notes/2041102","2041102")</f>
        <v>2041102</v>
      </c>
      <c r="D2426">
        <v>1</v>
      </c>
      <c r="E2426" t="s">
        <v>4826</v>
      </c>
      <c r="F2426" t="s">
        <v>9</v>
      </c>
    </row>
    <row r="2427" spans="1:6" x14ac:dyDescent="0.3">
      <c r="A2427" t="s">
        <v>625</v>
      </c>
      <c r="B2427" t="s">
        <v>1253</v>
      </c>
      <c r="C2427" t="str">
        <f>HYPERLINK("http://service.sap.com/sap/support/notes/2046383","2046383")</f>
        <v>2046383</v>
      </c>
      <c r="D2427">
        <v>2</v>
      </c>
      <c r="E2427" t="s">
        <v>4827</v>
      </c>
      <c r="F2427" t="s">
        <v>9</v>
      </c>
    </row>
    <row r="2428" spans="1:6" x14ac:dyDescent="0.3">
      <c r="A2428" t="s">
        <v>625</v>
      </c>
      <c r="B2428" t="s">
        <v>1253</v>
      </c>
      <c r="C2428" t="str">
        <f>HYPERLINK("http://service.sap.com/sap/support/notes/1962806","1962806")</f>
        <v>1962806</v>
      </c>
      <c r="D2428">
        <v>1</v>
      </c>
      <c r="E2428" t="s">
        <v>5199</v>
      </c>
      <c r="F2428" t="s">
        <v>9</v>
      </c>
    </row>
    <row r="2429" spans="1:6" x14ac:dyDescent="0.3">
      <c r="A2429" t="s">
        <v>625</v>
      </c>
      <c r="B2429" t="s">
        <v>1253</v>
      </c>
      <c r="C2429" t="str">
        <f>HYPERLINK("http://service.sap.com/sap/support/notes/2045512","2045512")</f>
        <v>2045512</v>
      </c>
      <c r="D2429">
        <v>2</v>
      </c>
      <c r="E2429" t="s">
        <v>5200</v>
      </c>
      <c r="F2429" t="s">
        <v>9</v>
      </c>
    </row>
    <row r="2430" spans="1:6" x14ac:dyDescent="0.3">
      <c r="A2430" t="s">
        <v>625</v>
      </c>
      <c r="B2430" t="s">
        <v>1253</v>
      </c>
      <c r="C2430" t="str">
        <f>HYPERLINK("http://service.sap.com/sap/support/notes/2020459","2020459")</f>
        <v>2020459</v>
      </c>
      <c r="D2430">
        <v>4</v>
      </c>
      <c r="E2430" t="s">
        <v>5537</v>
      </c>
      <c r="F2430" t="s">
        <v>9</v>
      </c>
    </row>
    <row r="2431" spans="1:6" x14ac:dyDescent="0.3">
      <c r="A2431" t="s">
        <v>625</v>
      </c>
      <c r="B2431" t="s">
        <v>1253</v>
      </c>
      <c r="C2431" t="str">
        <f>HYPERLINK("http://service.sap.com/sap/support/notes/2035438","2035438")</f>
        <v>2035438</v>
      </c>
      <c r="D2431">
        <v>1</v>
      </c>
      <c r="E2431" t="s">
        <v>5538</v>
      </c>
      <c r="F2431" t="s">
        <v>9</v>
      </c>
    </row>
    <row r="2432" spans="1:6" x14ac:dyDescent="0.3">
      <c r="A2432" t="s">
        <v>625</v>
      </c>
      <c r="B2432" t="s">
        <v>1253</v>
      </c>
      <c r="C2432" t="str">
        <f>HYPERLINK("http://service.sap.com/sap/support/notes/2058836","2058836")</f>
        <v>2058836</v>
      </c>
      <c r="D2432">
        <v>1</v>
      </c>
      <c r="E2432" t="s">
        <v>5539</v>
      </c>
      <c r="F2432" t="s">
        <v>9</v>
      </c>
    </row>
    <row r="2433" spans="1:6" x14ac:dyDescent="0.3">
      <c r="A2433" t="s">
        <v>625</v>
      </c>
      <c r="B2433" t="s">
        <v>1253</v>
      </c>
      <c r="C2433" t="str">
        <f>HYPERLINK("http://service.sap.com/sap/support/notes/2060386","2060386")</f>
        <v>2060386</v>
      </c>
      <c r="D2433">
        <v>1</v>
      </c>
      <c r="E2433" t="s">
        <v>5540</v>
      </c>
      <c r="F2433" t="s">
        <v>9</v>
      </c>
    </row>
    <row r="2434" spans="1:6" x14ac:dyDescent="0.3">
      <c r="A2434" t="s">
        <v>625</v>
      </c>
      <c r="B2434" t="s">
        <v>1253</v>
      </c>
      <c r="C2434" t="str">
        <f>HYPERLINK("http://service.sap.com/sap/support/notes/2061549","2061549")</f>
        <v>2061549</v>
      </c>
      <c r="D2434">
        <v>1</v>
      </c>
      <c r="E2434" t="s">
        <v>5541</v>
      </c>
      <c r="F2434" t="s">
        <v>9</v>
      </c>
    </row>
    <row r="2435" spans="1:6" x14ac:dyDescent="0.3">
      <c r="A2435" t="s">
        <v>625</v>
      </c>
      <c r="B2435" t="s">
        <v>1253</v>
      </c>
      <c r="C2435" t="str">
        <f>HYPERLINK("http://service.sap.com/sap/support/notes/2064971","2064971")</f>
        <v>2064971</v>
      </c>
      <c r="D2435">
        <v>1</v>
      </c>
      <c r="E2435" t="s">
        <v>5542</v>
      </c>
      <c r="F2435" t="s">
        <v>9</v>
      </c>
    </row>
    <row r="2436" spans="1:6" x14ac:dyDescent="0.3">
      <c r="A2436" t="s">
        <v>625</v>
      </c>
      <c r="B2436" t="s">
        <v>1253</v>
      </c>
      <c r="C2436" t="str">
        <f>HYPERLINK("http://service.sap.com/sap/support/notes/2065572","2065572")</f>
        <v>2065572</v>
      </c>
      <c r="D2436">
        <v>1</v>
      </c>
      <c r="E2436" t="s">
        <v>5543</v>
      </c>
      <c r="F2436" t="s">
        <v>9</v>
      </c>
    </row>
    <row r="2437" spans="1:6" x14ac:dyDescent="0.3">
      <c r="A2437" t="s">
        <v>1258</v>
      </c>
      <c r="B2437" t="s">
        <v>1259</v>
      </c>
      <c r="C2437" t="str">
        <f>HYPERLINK("http://service.sap.com/sap/support/notes/1912225","1912225")</f>
        <v>1912225</v>
      </c>
      <c r="D2437">
        <v>3</v>
      </c>
      <c r="E2437" t="s">
        <v>1260</v>
      </c>
      <c r="F2437" t="s">
        <v>9</v>
      </c>
    </row>
    <row r="2438" spans="1:6" x14ac:dyDescent="0.3">
      <c r="A2438" t="s">
        <v>1258</v>
      </c>
      <c r="B2438" t="s">
        <v>1259</v>
      </c>
      <c r="C2438" t="str">
        <f>HYPERLINK("http://service.sap.com/sap/support/notes/1918676","1918676")</f>
        <v>1918676</v>
      </c>
      <c r="D2438">
        <v>2</v>
      </c>
      <c r="E2438" t="s">
        <v>1261</v>
      </c>
      <c r="F2438" t="s">
        <v>9</v>
      </c>
    </row>
    <row r="2439" spans="1:6" x14ac:dyDescent="0.3">
      <c r="A2439" t="s">
        <v>1258</v>
      </c>
      <c r="B2439" t="s">
        <v>1259</v>
      </c>
      <c r="C2439" t="str">
        <f>HYPERLINK("http://service.sap.com/sap/support/notes/1926338","1926338")</f>
        <v>1926338</v>
      </c>
      <c r="D2439">
        <v>1</v>
      </c>
      <c r="E2439" t="s">
        <v>1262</v>
      </c>
      <c r="F2439" t="s">
        <v>9</v>
      </c>
    </row>
    <row r="2440" spans="1:6" x14ac:dyDescent="0.3">
      <c r="A2440" t="s">
        <v>1258</v>
      </c>
      <c r="B2440" t="s">
        <v>1259</v>
      </c>
      <c r="C2440" t="str">
        <f>HYPERLINK("http://service.sap.com/sap/support/notes/1933565","1933565")</f>
        <v>1933565</v>
      </c>
      <c r="D2440">
        <v>1</v>
      </c>
      <c r="E2440" t="s">
        <v>1263</v>
      </c>
      <c r="F2440" t="s">
        <v>16</v>
      </c>
    </row>
    <row r="2441" spans="1:6" x14ac:dyDescent="0.3">
      <c r="A2441" t="s">
        <v>1258</v>
      </c>
      <c r="B2441" t="s">
        <v>1259</v>
      </c>
      <c r="C2441" t="str">
        <f>HYPERLINK("http://service.sap.com/sap/support/notes/1934586","1934586")</f>
        <v>1934586</v>
      </c>
      <c r="D2441">
        <v>1</v>
      </c>
      <c r="E2441" t="s">
        <v>1264</v>
      </c>
      <c r="F2441" t="s">
        <v>9</v>
      </c>
    </row>
    <row r="2442" spans="1:6" x14ac:dyDescent="0.3">
      <c r="A2442" t="s">
        <v>1258</v>
      </c>
      <c r="B2442" t="s">
        <v>1259</v>
      </c>
      <c r="C2442" t="str">
        <f>HYPERLINK("http://service.sap.com/sap/support/notes/1937938","1937938")</f>
        <v>1937938</v>
      </c>
      <c r="D2442">
        <v>1</v>
      </c>
      <c r="E2442" t="s">
        <v>1265</v>
      </c>
      <c r="F2442" t="s">
        <v>9</v>
      </c>
    </row>
    <row r="2443" spans="1:6" x14ac:dyDescent="0.3">
      <c r="A2443" t="s">
        <v>1258</v>
      </c>
      <c r="B2443" t="s">
        <v>1259</v>
      </c>
      <c r="C2443" t="str">
        <f>HYPERLINK("http://service.sap.com/sap/support/notes/1941288","1941288")</f>
        <v>1941288</v>
      </c>
      <c r="D2443">
        <v>2</v>
      </c>
      <c r="E2443" t="s">
        <v>1266</v>
      </c>
      <c r="F2443" t="s">
        <v>9</v>
      </c>
    </row>
    <row r="2444" spans="1:6" x14ac:dyDescent="0.3">
      <c r="A2444" t="s">
        <v>1258</v>
      </c>
      <c r="B2444" t="s">
        <v>1259</v>
      </c>
      <c r="C2444" t="str">
        <f>HYPERLINK("http://service.sap.com/sap/support/notes/1945146","1945146")</f>
        <v>1945146</v>
      </c>
      <c r="D2444">
        <v>1</v>
      </c>
      <c r="E2444" t="s">
        <v>1424</v>
      </c>
      <c r="F2444" t="s">
        <v>9</v>
      </c>
    </row>
    <row r="2445" spans="1:6" x14ac:dyDescent="0.3">
      <c r="A2445" t="s">
        <v>1258</v>
      </c>
      <c r="B2445" t="s">
        <v>1259</v>
      </c>
      <c r="C2445" t="str">
        <f>HYPERLINK("http://service.sap.com/sap/support/notes/1951531","1951531")</f>
        <v>1951531</v>
      </c>
      <c r="D2445">
        <v>2</v>
      </c>
      <c r="E2445" t="s">
        <v>1703</v>
      </c>
      <c r="F2445" t="s">
        <v>9</v>
      </c>
    </row>
    <row r="2446" spans="1:6" x14ac:dyDescent="0.3">
      <c r="A2446" t="s">
        <v>1258</v>
      </c>
      <c r="B2446" t="s">
        <v>1259</v>
      </c>
      <c r="C2446" t="str">
        <f>HYPERLINK("http://service.sap.com/sap/support/notes/1954158","1954158")</f>
        <v>1954158</v>
      </c>
      <c r="D2446">
        <v>1</v>
      </c>
      <c r="E2446" t="s">
        <v>1704</v>
      </c>
      <c r="F2446" t="s">
        <v>9</v>
      </c>
    </row>
    <row r="2447" spans="1:6" x14ac:dyDescent="0.3">
      <c r="A2447" t="s">
        <v>1258</v>
      </c>
      <c r="B2447" t="s">
        <v>1259</v>
      </c>
      <c r="C2447" t="str">
        <f>HYPERLINK("http://service.sap.com/sap/support/notes/1958277","1958277")</f>
        <v>1958277</v>
      </c>
      <c r="D2447">
        <v>1</v>
      </c>
      <c r="E2447" t="s">
        <v>1705</v>
      </c>
      <c r="F2447" t="s">
        <v>9</v>
      </c>
    </row>
    <row r="2448" spans="1:6" x14ac:dyDescent="0.3">
      <c r="A2448" t="s">
        <v>1258</v>
      </c>
      <c r="B2448" t="s">
        <v>1259</v>
      </c>
      <c r="C2448" t="str">
        <f>HYPERLINK("http://service.sap.com/sap/support/notes/1965239","1965239")</f>
        <v>1965239</v>
      </c>
      <c r="D2448">
        <v>1</v>
      </c>
      <c r="E2448" t="s">
        <v>2184</v>
      </c>
      <c r="F2448" t="s">
        <v>9</v>
      </c>
    </row>
    <row r="2449" spans="1:6" x14ac:dyDescent="0.3">
      <c r="A2449" t="s">
        <v>1258</v>
      </c>
      <c r="B2449" t="s">
        <v>1259</v>
      </c>
      <c r="C2449" t="str">
        <f>HYPERLINK("http://service.sap.com/sap/support/notes/1968830","1968830")</f>
        <v>1968830</v>
      </c>
      <c r="D2449">
        <v>1</v>
      </c>
      <c r="E2449" t="s">
        <v>2185</v>
      </c>
      <c r="F2449" t="s">
        <v>9</v>
      </c>
    </row>
    <row r="2450" spans="1:6" x14ac:dyDescent="0.3">
      <c r="A2450" t="s">
        <v>1258</v>
      </c>
      <c r="B2450" t="s">
        <v>1259</v>
      </c>
      <c r="C2450" t="str">
        <f>HYPERLINK("http://service.sap.com/sap/support/notes/1936210","1936210")</f>
        <v>1936210</v>
      </c>
      <c r="D2450">
        <v>8</v>
      </c>
      <c r="E2450" t="s">
        <v>2557</v>
      </c>
      <c r="F2450" t="s">
        <v>9</v>
      </c>
    </row>
    <row r="2451" spans="1:6" x14ac:dyDescent="0.3">
      <c r="A2451" t="s">
        <v>1258</v>
      </c>
      <c r="B2451" t="s">
        <v>1259</v>
      </c>
      <c r="C2451" t="str">
        <f>HYPERLINK("http://service.sap.com/sap/support/notes/1970300","1970300")</f>
        <v>1970300</v>
      </c>
      <c r="D2451">
        <v>3</v>
      </c>
      <c r="E2451" t="s">
        <v>2996</v>
      </c>
      <c r="F2451" t="s">
        <v>9</v>
      </c>
    </row>
    <row r="2452" spans="1:6" x14ac:dyDescent="0.3">
      <c r="A2452" t="s">
        <v>1258</v>
      </c>
      <c r="B2452" t="s">
        <v>1259</v>
      </c>
      <c r="C2452" t="str">
        <f>HYPERLINK("http://service.sap.com/sap/support/notes/1971696","1971696")</f>
        <v>1971696</v>
      </c>
      <c r="D2452">
        <v>1</v>
      </c>
      <c r="E2452" t="s">
        <v>2997</v>
      </c>
      <c r="F2452" t="s">
        <v>9</v>
      </c>
    </row>
    <row r="2453" spans="1:6" x14ac:dyDescent="0.3">
      <c r="A2453" t="s">
        <v>1258</v>
      </c>
      <c r="B2453" t="s">
        <v>1259</v>
      </c>
      <c r="C2453" t="str">
        <f>HYPERLINK("http://service.sap.com/sap/support/notes/1982501","1982501")</f>
        <v>1982501</v>
      </c>
      <c r="D2453">
        <v>2</v>
      </c>
      <c r="E2453" t="s">
        <v>2998</v>
      </c>
      <c r="F2453" t="s">
        <v>9</v>
      </c>
    </row>
    <row r="2454" spans="1:6" x14ac:dyDescent="0.3">
      <c r="A2454" t="s">
        <v>1258</v>
      </c>
      <c r="B2454" t="s">
        <v>1259</v>
      </c>
      <c r="C2454" t="str">
        <f>HYPERLINK("http://service.sap.com/sap/support/notes/1987108","1987108")</f>
        <v>1987108</v>
      </c>
      <c r="D2454">
        <v>1</v>
      </c>
      <c r="E2454" t="s">
        <v>2999</v>
      </c>
      <c r="F2454" t="s">
        <v>9</v>
      </c>
    </row>
    <row r="2455" spans="1:6" x14ac:dyDescent="0.3">
      <c r="A2455" t="s">
        <v>1258</v>
      </c>
      <c r="B2455" t="s">
        <v>1259</v>
      </c>
      <c r="C2455" t="str">
        <f>HYPERLINK("http://service.sap.com/sap/support/notes/1988428","1988428")</f>
        <v>1988428</v>
      </c>
      <c r="D2455">
        <v>1</v>
      </c>
      <c r="E2455" t="s">
        <v>3000</v>
      </c>
      <c r="F2455" t="s">
        <v>9</v>
      </c>
    </row>
    <row r="2456" spans="1:6" x14ac:dyDescent="0.3">
      <c r="A2456" t="s">
        <v>1258</v>
      </c>
      <c r="B2456" t="s">
        <v>1259</v>
      </c>
      <c r="C2456" t="str">
        <f>HYPERLINK("http://service.sap.com/sap/support/notes/1960782","1960782")</f>
        <v>1960782</v>
      </c>
      <c r="D2456">
        <v>2</v>
      </c>
      <c r="E2456" t="s">
        <v>3663</v>
      </c>
      <c r="F2456" t="s">
        <v>9</v>
      </c>
    </row>
    <row r="2457" spans="1:6" x14ac:dyDescent="0.3">
      <c r="A2457" t="s">
        <v>1258</v>
      </c>
      <c r="B2457" t="s">
        <v>1259</v>
      </c>
      <c r="C2457" t="str">
        <f>HYPERLINK("http://service.sap.com/sap/support/notes/1992207","1992207")</f>
        <v>1992207</v>
      </c>
      <c r="D2457">
        <v>2</v>
      </c>
      <c r="E2457" t="s">
        <v>3664</v>
      </c>
      <c r="F2457" t="s">
        <v>9</v>
      </c>
    </row>
    <row r="2458" spans="1:6" x14ac:dyDescent="0.3">
      <c r="A2458" t="s">
        <v>1258</v>
      </c>
      <c r="B2458" t="s">
        <v>1259</v>
      </c>
      <c r="C2458" t="str">
        <f>HYPERLINK("http://service.sap.com/sap/support/notes/2002539","2002539")</f>
        <v>2002539</v>
      </c>
      <c r="D2458">
        <v>1</v>
      </c>
      <c r="E2458" t="s">
        <v>3665</v>
      </c>
      <c r="F2458" t="s">
        <v>9</v>
      </c>
    </row>
    <row r="2459" spans="1:6" x14ac:dyDescent="0.3">
      <c r="A2459" t="s">
        <v>1258</v>
      </c>
      <c r="B2459" t="s">
        <v>1259</v>
      </c>
      <c r="C2459" t="str">
        <f>HYPERLINK("http://service.sap.com/sap/support/notes/2005965","2005965")</f>
        <v>2005965</v>
      </c>
      <c r="D2459">
        <v>3</v>
      </c>
      <c r="E2459" t="s">
        <v>4173</v>
      </c>
      <c r="F2459" t="s">
        <v>9</v>
      </c>
    </row>
    <row r="2460" spans="1:6" x14ac:dyDescent="0.3">
      <c r="A2460" t="s">
        <v>1258</v>
      </c>
      <c r="B2460" t="s">
        <v>1259</v>
      </c>
      <c r="C2460" t="str">
        <f>HYPERLINK("http://service.sap.com/sap/support/notes/2017688","2017688")</f>
        <v>2017688</v>
      </c>
      <c r="D2460">
        <v>1</v>
      </c>
      <c r="E2460" t="s">
        <v>4174</v>
      </c>
      <c r="F2460" t="s">
        <v>9</v>
      </c>
    </row>
    <row r="2461" spans="1:6" x14ac:dyDescent="0.3">
      <c r="A2461" t="s">
        <v>1258</v>
      </c>
      <c r="B2461" t="s">
        <v>1259</v>
      </c>
      <c r="C2461" t="str">
        <f>HYPERLINK("http://service.sap.com/sap/support/notes/2014783","2014783")</f>
        <v>2014783</v>
      </c>
      <c r="D2461">
        <v>1</v>
      </c>
      <c r="E2461" t="s">
        <v>4517</v>
      </c>
      <c r="F2461" t="s">
        <v>9</v>
      </c>
    </row>
    <row r="2462" spans="1:6" x14ac:dyDescent="0.3">
      <c r="A2462" t="s">
        <v>1258</v>
      </c>
      <c r="B2462" t="s">
        <v>1259</v>
      </c>
      <c r="C2462" t="str">
        <f>HYPERLINK("http://service.sap.com/sap/support/notes/2040779","2040779")</f>
        <v>2040779</v>
      </c>
      <c r="D2462">
        <v>1</v>
      </c>
      <c r="E2462" t="s">
        <v>4828</v>
      </c>
      <c r="F2462" t="s">
        <v>9</v>
      </c>
    </row>
    <row r="2463" spans="1:6" x14ac:dyDescent="0.3">
      <c r="A2463" t="s">
        <v>1258</v>
      </c>
      <c r="B2463" t="s">
        <v>1259</v>
      </c>
      <c r="C2463" t="str">
        <f>HYPERLINK("http://service.sap.com/sap/support/notes/2044091","2044091")</f>
        <v>2044091</v>
      </c>
      <c r="D2463">
        <v>2</v>
      </c>
      <c r="E2463" t="s">
        <v>4829</v>
      </c>
      <c r="F2463" t="s">
        <v>9</v>
      </c>
    </row>
    <row r="2464" spans="1:6" x14ac:dyDescent="0.3">
      <c r="A2464" t="s">
        <v>1258</v>
      </c>
      <c r="B2464" t="s">
        <v>1259</v>
      </c>
      <c r="C2464" t="str">
        <f>HYPERLINK("http://service.sap.com/sap/support/notes/2049895","2049895")</f>
        <v>2049895</v>
      </c>
      <c r="D2464">
        <v>1</v>
      </c>
      <c r="E2464" t="s">
        <v>5201</v>
      </c>
      <c r="F2464" t="s">
        <v>9</v>
      </c>
    </row>
    <row r="2465" spans="1:6" x14ac:dyDescent="0.3">
      <c r="A2465" t="s">
        <v>1258</v>
      </c>
      <c r="B2465" t="s">
        <v>1259</v>
      </c>
      <c r="C2465" t="str">
        <f>HYPERLINK("http://service.sap.com/sap/support/notes/2051292","2051292")</f>
        <v>2051292</v>
      </c>
      <c r="D2465">
        <v>2</v>
      </c>
      <c r="E2465" t="s">
        <v>5202</v>
      </c>
      <c r="F2465" t="s">
        <v>9</v>
      </c>
    </row>
    <row r="2466" spans="1:6" x14ac:dyDescent="0.3">
      <c r="A2466" t="s">
        <v>1258</v>
      </c>
      <c r="B2466" t="s">
        <v>1259</v>
      </c>
      <c r="C2466" t="str">
        <f>HYPERLINK("http://service.sap.com/sap/support/notes/2045864","2045864")</f>
        <v>2045864</v>
      </c>
      <c r="D2466">
        <v>3</v>
      </c>
      <c r="E2466" t="s">
        <v>5544</v>
      </c>
      <c r="F2466" t="s">
        <v>9</v>
      </c>
    </row>
    <row r="2467" spans="1:6" x14ac:dyDescent="0.3">
      <c r="A2467" t="s">
        <v>1258</v>
      </c>
      <c r="B2467" t="s">
        <v>1259</v>
      </c>
      <c r="C2467" t="str">
        <f>HYPERLINK("http://service.sap.com/sap/support/notes/2059572","2059572")</f>
        <v>2059572</v>
      </c>
      <c r="D2467">
        <v>1</v>
      </c>
      <c r="E2467" t="s">
        <v>5545</v>
      </c>
      <c r="F2467" t="s">
        <v>9</v>
      </c>
    </row>
    <row r="2468" spans="1:6" x14ac:dyDescent="0.3">
      <c r="A2468" t="s">
        <v>1258</v>
      </c>
      <c r="B2468" t="s">
        <v>1259</v>
      </c>
      <c r="C2468" t="str">
        <f>HYPERLINK("http://service.sap.com/sap/support/notes/2067926","2067926")</f>
        <v>2067926</v>
      </c>
      <c r="D2468">
        <v>1</v>
      </c>
      <c r="E2468" t="s">
        <v>5546</v>
      </c>
      <c r="F2468" t="s">
        <v>9</v>
      </c>
    </row>
    <row r="2469" spans="1:6" x14ac:dyDescent="0.3">
      <c r="A2469" t="s">
        <v>1258</v>
      </c>
      <c r="B2469" t="s">
        <v>1259</v>
      </c>
      <c r="C2469" t="str">
        <f>HYPERLINK("http://service.sap.com/sap/support/notes/2069184","2069184")</f>
        <v>2069184</v>
      </c>
      <c r="D2469">
        <v>1</v>
      </c>
      <c r="E2469" t="s">
        <v>5547</v>
      </c>
      <c r="F2469" t="s">
        <v>9</v>
      </c>
    </row>
    <row r="2470" spans="1:6" x14ac:dyDescent="0.3">
      <c r="A2470" t="s">
        <v>637</v>
      </c>
      <c r="B2470" t="s">
        <v>638</v>
      </c>
      <c r="C2470" t="str">
        <f>HYPERLINK("http://service.sap.com/sap/support/notes/1909516","1909516")</f>
        <v>1909516</v>
      </c>
      <c r="D2470">
        <v>5</v>
      </c>
      <c r="E2470" t="s">
        <v>639</v>
      </c>
      <c r="F2470" t="s">
        <v>9</v>
      </c>
    </row>
    <row r="2471" spans="1:6" x14ac:dyDescent="0.3">
      <c r="A2471" t="s">
        <v>637</v>
      </c>
      <c r="B2471" t="s">
        <v>1267</v>
      </c>
      <c r="C2471" t="str">
        <f>HYPERLINK("http://service.sap.com/sap/support/notes/1909465","1909465")</f>
        <v>1909465</v>
      </c>
      <c r="D2471">
        <v>5</v>
      </c>
      <c r="E2471" t="s">
        <v>1268</v>
      </c>
      <c r="F2471" t="s">
        <v>9</v>
      </c>
    </row>
    <row r="2472" spans="1:6" x14ac:dyDescent="0.3">
      <c r="A2472" t="s">
        <v>637</v>
      </c>
      <c r="B2472" t="s">
        <v>1267</v>
      </c>
      <c r="C2472" t="str">
        <f>HYPERLINK("http://service.sap.com/sap/support/notes/1924193","1924193")</f>
        <v>1924193</v>
      </c>
      <c r="D2472">
        <v>3</v>
      </c>
      <c r="E2472" t="s">
        <v>1269</v>
      </c>
      <c r="F2472" t="s">
        <v>9</v>
      </c>
    </row>
    <row r="2473" spans="1:6" x14ac:dyDescent="0.3">
      <c r="A2473" t="s">
        <v>637</v>
      </c>
      <c r="B2473" t="s">
        <v>1267</v>
      </c>
      <c r="C2473" t="str">
        <f>HYPERLINK("http://service.sap.com/sap/support/notes/1930316","1930316")</f>
        <v>1930316</v>
      </c>
      <c r="D2473">
        <v>2</v>
      </c>
      <c r="E2473" t="s">
        <v>1270</v>
      </c>
      <c r="F2473" t="s">
        <v>9</v>
      </c>
    </row>
    <row r="2474" spans="1:6" x14ac:dyDescent="0.3">
      <c r="A2474" t="s">
        <v>637</v>
      </c>
      <c r="B2474" t="s">
        <v>1267</v>
      </c>
      <c r="C2474" t="str">
        <f>HYPERLINK("http://service.sap.com/sap/support/notes/1940156","1940156")</f>
        <v>1940156</v>
      </c>
      <c r="D2474">
        <v>1</v>
      </c>
      <c r="E2474" t="s">
        <v>1425</v>
      </c>
      <c r="F2474" t="s">
        <v>9</v>
      </c>
    </row>
    <row r="2475" spans="1:6" x14ac:dyDescent="0.3">
      <c r="A2475" t="s">
        <v>637</v>
      </c>
      <c r="B2475" t="s">
        <v>638</v>
      </c>
      <c r="C2475" t="str">
        <f>HYPERLINK("http://service.sap.com/sap/support/notes/1941431","1941431")</f>
        <v>1941431</v>
      </c>
      <c r="D2475">
        <v>1</v>
      </c>
      <c r="E2475" t="s">
        <v>1706</v>
      </c>
      <c r="F2475" t="s">
        <v>9</v>
      </c>
    </row>
    <row r="2476" spans="1:6" x14ac:dyDescent="0.3">
      <c r="A2476" t="s">
        <v>637</v>
      </c>
      <c r="B2476" t="s">
        <v>638</v>
      </c>
      <c r="C2476" t="str">
        <f>HYPERLINK("http://service.sap.com/sap/support/notes/1952319","1952319")</f>
        <v>1952319</v>
      </c>
      <c r="D2476">
        <v>1</v>
      </c>
      <c r="E2476" t="s">
        <v>1707</v>
      </c>
      <c r="F2476" t="s">
        <v>9</v>
      </c>
    </row>
    <row r="2477" spans="1:6" x14ac:dyDescent="0.3">
      <c r="A2477" t="s">
        <v>637</v>
      </c>
      <c r="B2477" t="s">
        <v>638</v>
      </c>
      <c r="C2477" t="str">
        <f>HYPERLINK("http://service.sap.com/sap/support/notes/1958792","1958792")</f>
        <v>1958792</v>
      </c>
      <c r="D2477">
        <v>1</v>
      </c>
      <c r="E2477" t="s">
        <v>1708</v>
      </c>
      <c r="F2477" t="s">
        <v>9</v>
      </c>
    </row>
    <row r="2478" spans="1:6" x14ac:dyDescent="0.3">
      <c r="A2478" t="s">
        <v>637</v>
      </c>
      <c r="B2478" t="s">
        <v>1267</v>
      </c>
      <c r="C2478" t="str">
        <f>HYPERLINK("http://service.sap.com/sap/support/notes/1958807","1958807")</f>
        <v>1958807</v>
      </c>
      <c r="D2478">
        <v>8</v>
      </c>
      <c r="E2478" t="s">
        <v>2186</v>
      </c>
      <c r="F2478" t="s">
        <v>9</v>
      </c>
    </row>
    <row r="2479" spans="1:6" x14ac:dyDescent="0.3">
      <c r="A2479" t="s">
        <v>637</v>
      </c>
      <c r="B2479" t="s">
        <v>1267</v>
      </c>
      <c r="C2479" t="str">
        <f>HYPERLINK("http://service.sap.com/sap/support/notes/1965825","1965825")</f>
        <v>1965825</v>
      </c>
      <c r="D2479">
        <v>3</v>
      </c>
      <c r="E2479" t="s">
        <v>2187</v>
      </c>
      <c r="F2479" t="s">
        <v>9</v>
      </c>
    </row>
    <row r="2480" spans="1:6" x14ac:dyDescent="0.3">
      <c r="A2480" t="s">
        <v>637</v>
      </c>
      <c r="B2480" t="s">
        <v>1267</v>
      </c>
      <c r="C2480" t="str">
        <f>HYPERLINK("http://service.sap.com/sap/support/notes/1967820","1967820")</f>
        <v>1967820</v>
      </c>
      <c r="D2480">
        <v>1</v>
      </c>
      <c r="E2480" t="s">
        <v>2188</v>
      </c>
      <c r="F2480" t="s">
        <v>9</v>
      </c>
    </row>
    <row r="2481" spans="1:6" x14ac:dyDescent="0.3">
      <c r="A2481" t="s">
        <v>637</v>
      </c>
      <c r="B2481" t="s">
        <v>1267</v>
      </c>
      <c r="C2481" t="str">
        <f>HYPERLINK("http://service.sap.com/sap/support/notes/1967450","1967450")</f>
        <v>1967450</v>
      </c>
      <c r="D2481">
        <v>8</v>
      </c>
      <c r="E2481" t="s">
        <v>2558</v>
      </c>
      <c r="F2481" t="s">
        <v>9</v>
      </c>
    </row>
    <row r="2482" spans="1:6" x14ac:dyDescent="0.3">
      <c r="A2482" t="s">
        <v>637</v>
      </c>
      <c r="B2482" t="s">
        <v>1267</v>
      </c>
      <c r="C2482" t="str">
        <f>HYPERLINK("http://service.sap.com/sap/support/notes/1978254","1978254")</f>
        <v>1978254</v>
      </c>
      <c r="D2482">
        <v>4</v>
      </c>
      <c r="E2482" t="s">
        <v>2559</v>
      </c>
      <c r="F2482" t="s">
        <v>9</v>
      </c>
    </row>
    <row r="2483" spans="1:6" x14ac:dyDescent="0.3">
      <c r="A2483" t="s">
        <v>637</v>
      </c>
      <c r="B2483" t="s">
        <v>638</v>
      </c>
      <c r="C2483" t="str">
        <f>HYPERLINK("http://service.sap.com/sap/support/notes/1987055","1987055")</f>
        <v>1987055</v>
      </c>
      <c r="D2483">
        <v>2</v>
      </c>
      <c r="E2483" t="s">
        <v>3001</v>
      </c>
      <c r="F2483" t="s">
        <v>9</v>
      </c>
    </row>
    <row r="2484" spans="1:6" x14ac:dyDescent="0.3">
      <c r="A2484" t="s">
        <v>637</v>
      </c>
      <c r="B2484" t="s">
        <v>638</v>
      </c>
      <c r="C2484" t="str">
        <f>HYPERLINK("http://service.sap.com/sap/support/notes/1990824","1990824")</f>
        <v>1990824</v>
      </c>
      <c r="D2484">
        <v>1</v>
      </c>
      <c r="E2484" t="s">
        <v>3002</v>
      </c>
      <c r="F2484" t="s">
        <v>9</v>
      </c>
    </row>
    <row r="2485" spans="1:6" x14ac:dyDescent="0.3">
      <c r="A2485" t="s">
        <v>637</v>
      </c>
      <c r="B2485" t="s">
        <v>638</v>
      </c>
      <c r="C2485" t="str">
        <f>HYPERLINK("http://service.sap.com/sap/support/notes/2007826","2007826")</f>
        <v>2007826</v>
      </c>
      <c r="D2485">
        <v>3</v>
      </c>
      <c r="E2485" t="s">
        <v>3666</v>
      </c>
      <c r="F2485" t="s">
        <v>9</v>
      </c>
    </row>
    <row r="2486" spans="1:6" x14ac:dyDescent="0.3">
      <c r="A2486" t="s">
        <v>637</v>
      </c>
      <c r="B2486" t="s">
        <v>1267</v>
      </c>
      <c r="C2486" t="str">
        <f>HYPERLINK("http://service.sap.com/sap/support/notes/2046860","2046860")</f>
        <v>2046860</v>
      </c>
      <c r="D2486">
        <v>1</v>
      </c>
      <c r="E2486" t="s">
        <v>5203</v>
      </c>
      <c r="F2486" t="s">
        <v>9</v>
      </c>
    </row>
    <row r="2487" spans="1:6" x14ac:dyDescent="0.3">
      <c r="A2487" t="s">
        <v>637</v>
      </c>
      <c r="B2487" t="s">
        <v>1267</v>
      </c>
      <c r="C2487" t="str">
        <f>HYPERLINK("http://service.sap.com/sap/support/notes/2049606","2049606")</f>
        <v>2049606</v>
      </c>
      <c r="D2487">
        <v>2</v>
      </c>
      <c r="E2487" t="s">
        <v>5204</v>
      </c>
      <c r="F2487" t="s">
        <v>9</v>
      </c>
    </row>
    <row r="2488" spans="1:6" x14ac:dyDescent="0.3">
      <c r="A2488" t="s">
        <v>637</v>
      </c>
      <c r="B2488" t="s">
        <v>1267</v>
      </c>
      <c r="C2488" t="str">
        <f>HYPERLINK("http://service.sap.com/sap/support/notes/2061902","2061902")</f>
        <v>2061902</v>
      </c>
      <c r="D2488">
        <v>8</v>
      </c>
      <c r="E2488" t="s">
        <v>5548</v>
      </c>
      <c r="F2488" t="s">
        <v>9</v>
      </c>
    </row>
    <row r="2489" spans="1:6" x14ac:dyDescent="0.3">
      <c r="A2489" t="s">
        <v>1271</v>
      </c>
      <c r="B2489" t="s">
        <v>1272</v>
      </c>
      <c r="C2489" t="str">
        <f>HYPERLINK("http://service.sap.com/sap/support/notes/1928253","1928253")</f>
        <v>1928253</v>
      </c>
      <c r="D2489">
        <v>1</v>
      </c>
      <c r="E2489" t="s">
        <v>1273</v>
      </c>
      <c r="F2489" t="s">
        <v>9</v>
      </c>
    </row>
    <row r="2490" spans="1:6" x14ac:dyDescent="0.3">
      <c r="A2490" t="s">
        <v>1271</v>
      </c>
      <c r="B2490" t="s">
        <v>1272</v>
      </c>
      <c r="C2490" t="str">
        <f>HYPERLINK("http://service.sap.com/sap/support/notes/1964378","1964378")</f>
        <v>1964378</v>
      </c>
      <c r="D2490">
        <v>1</v>
      </c>
      <c r="E2490" t="s">
        <v>2189</v>
      </c>
      <c r="F2490" t="s">
        <v>9</v>
      </c>
    </row>
    <row r="2491" spans="1:6" x14ac:dyDescent="0.3">
      <c r="A2491" t="s">
        <v>1271</v>
      </c>
      <c r="B2491" t="s">
        <v>1272</v>
      </c>
      <c r="C2491" t="str">
        <f>HYPERLINK("http://service.sap.com/sap/support/notes/1965309","1965309")</f>
        <v>1965309</v>
      </c>
      <c r="D2491">
        <v>1</v>
      </c>
      <c r="E2491" t="s">
        <v>2190</v>
      </c>
      <c r="F2491" t="s">
        <v>9</v>
      </c>
    </row>
    <row r="2492" spans="1:6" x14ac:dyDescent="0.3">
      <c r="A2492" t="s">
        <v>1271</v>
      </c>
      <c r="B2492" t="s">
        <v>1272</v>
      </c>
      <c r="C2492" t="str">
        <f>HYPERLINK("http://service.sap.com/sap/support/notes/1958343","1958343")</f>
        <v>1958343</v>
      </c>
      <c r="D2492">
        <v>3</v>
      </c>
      <c r="E2492" t="s">
        <v>3003</v>
      </c>
      <c r="F2492" t="s">
        <v>9</v>
      </c>
    </row>
    <row r="2493" spans="1:6" x14ac:dyDescent="0.3">
      <c r="A2493" t="s">
        <v>1271</v>
      </c>
      <c r="B2493" t="s">
        <v>1272</v>
      </c>
      <c r="C2493" t="str">
        <f>HYPERLINK("http://service.sap.com/sap/support/notes/1977001","1977001")</f>
        <v>1977001</v>
      </c>
      <c r="D2493">
        <v>2</v>
      </c>
      <c r="E2493" t="s">
        <v>3667</v>
      </c>
      <c r="F2493" t="s">
        <v>9</v>
      </c>
    </row>
    <row r="2494" spans="1:6" x14ac:dyDescent="0.3">
      <c r="A2494" t="s">
        <v>1271</v>
      </c>
      <c r="B2494" t="s">
        <v>1272</v>
      </c>
      <c r="C2494" t="str">
        <f>HYPERLINK("http://service.sap.com/sap/support/notes/2008049","2008049")</f>
        <v>2008049</v>
      </c>
      <c r="D2494">
        <v>2</v>
      </c>
      <c r="E2494" t="s">
        <v>4175</v>
      </c>
      <c r="F2494" t="s">
        <v>9</v>
      </c>
    </row>
    <row r="2495" spans="1:6" x14ac:dyDescent="0.3">
      <c r="A2495" t="s">
        <v>1271</v>
      </c>
      <c r="B2495" t="s">
        <v>1272</v>
      </c>
      <c r="C2495" t="str">
        <f>HYPERLINK("http://service.sap.com/sap/support/notes/2011609","2011609")</f>
        <v>2011609</v>
      </c>
      <c r="D2495">
        <v>2</v>
      </c>
      <c r="E2495" t="s">
        <v>4518</v>
      </c>
      <c r="F2495" t="s">
        <v>9</v>
      </c>
    </row>
    <row r="2496" spans="1:6" x14ac:dyDescent="0.3">
      <c r="A2496" t="s">
        <v>1271</v>
      </c>
      <c r="B2496" t="s">
        <v>1272</v>
      </c>
      <c r="C2496" t="str">
        <f>HYPERLINK("http://service.sap.com/sap/support/notes/2015460","2015460")</f>
        <v>2015460</v>
      </c>
      <c r="D2496">
        <v>2</v>
      </c>
      <c r="E2496" t="s">
        <v>4519</v>
      </c>
      <c r="F2496" t="s">
        <v>9</v>
      </c>
    </row>
    <row r="2497" spans="1:6" x14ac:dyDescent="0.3">
      <c r="A2497" t="s">
        <v>640</v>
      </c>
      <c r="B2497" t="s">
        <v>150</v>
      </c>
      <c r="C2497" t="str">
        <f>HYPERLINK("http://service.sap.com/sap/support/notes/1884357","1884357")</f>
        <v>1884357</v>
      </c>
      <c r="D2497">
        <v>2</v>
      </c>
      <c r="E2497" t="s">
        <v>641</v>
      </c>
      <c r="F2497" t="s">
        <v>28</v>
      </c>
    </row>
    <row r="2498" spans="1:6" x14ac:dyDescent="0.3">
      <c r="A2498" t="s">
        <v>642</v>
      </c>
      <c r="B2498" t="s">
        <v>154</v>
      </c>
      <c r="C2498" t="str">
        <f>HYPERLINK("http://service.sap.com/sap/support/notes/1017716","1017716")</f>
        <v>1017716</v>
      </c>
      <c r="D2498">
        <v>1</v>
      </c>
      <c r="E2498" t="s">
        <v>643</v>
      </c>
      <c r="F2498" t="s">
        <v>9</v>
      </c>
    </row>
    <row r="2499" spans="1:6" x14ac:dyDescent="0.3">
      <c r="A2499" t="s">
        <v>642</v>
      </c>
      <c r="B2499" t="s">
        <v>154</v>
      </c>
      <c r="C2499" t="str">
        <f>HYPERLINK("http://service.sap.com/sap/support/notes/1840903","1840903")</f>
        <v>1840903</v>
      </c>
      <c r="D2499">
        <v>6</v>
      </c>
      <c r="E2499" t="s">
        <v>644</v>
      </c>
      <c r="F2499" t="s">
        <v>9</v>
      </c>
    </row>
    <row r="2500" spans="1:6" x14ac:dyDescent="0.3">
      <c r="A2500" t="s">
        <v>642</v>
      </c>
      <c r="B2500" t="s">
        <v>154</v>
      </c>
      <c r="C2500" t="str">
        <f>HYPERLINK("http://service.sap.com/sap/support/notes/1847364","1847364")</f>
        <v>1847364</v>
      </c>
      <c r="D2500">
        <v>5</v>
      </c>
      <c r="E2500" t="s">
        <v>645</v>
      </c>
      <c r="F2500" t="s">
        <v>9</v>
      </c>
    </row>
    <row r="2501" spans="1:6" x14ac:dyDescent="0.3">
      <c r="A2501" t="s">
        <v>642</v>
      </c>
      <c r="B2501" t="s">
        <v>154</v>
      </c>
      <c r="C2501" t="str">
        <f>HYPERLINK("http://service.sap.com/sap/support/notes/1854662","1854662")</f>
        <v>1854662</v>
      </c>
      <c r="D2501">
        <v>3</v>
      </c>
      <c r="E2501" t="s">
        <v>646</v>
      </c>
      <c r="F2501" t="s">
        <v>9</v>
      </c>
    </row>
    <row r="2502" spans="1:6" x14ac:dyDescent="0.3">
      <c r="A2502" t="s">
        <v>642</v>
      </c>
      <c r="B2502" t="s">
        <v>154</v>
      </c>
      <c r="C2502" t="str">
        <f>HYPERLINK("http://service.sap.com/sap/support/notes/1875238","1875238")</f>
        <v>1875238</v>
      </c>
      <c r="D2502">
        <v>2</v>
      </c>
      <c r="E2502" t="s">
        <v>647</v>
      </c>
      <c r="F2502" t="s">
        <v>9</v>
      </c>
    </row>
    <row r="2503" spans="1:6" x14ac:dyDescent="0.3">
      <c r="A2503" t="s">
        <v>642</v>
      </c>
      <c r="B2503" t="s">
        <v>154</v>
      </c>
      <c r="C2503" t="str">
        <f>HYPERLINK("http://service.sap.com/sap/support/notes/1895683","1895683")</f>
        <v>1895683</v>
      </c>
      <c r="D2503">
        <v>1</v>
      </c>
      <c r="E2503" t="s">
        <v>648</v>
      </c>
      <c r="F2503" t="s">
        <v>9</v>
      </c>
    </row>
    <row r="2504" spans="1:6" x14ac:dyDescent="0.3">
      <c r="A2504" t="s">
        <v>642</v>
      </c>
      <c r="B2504" t="s">
        <v>154</v>
      </c>
      <c r="C2504" t="str">
        <f>HYPERLINK("http://service.sap.com/sap/support/notes/1901926","1901926")</f>
        <v>1901926</v>
      </c>
      <c r="D2504">
        <v>2</v>
      </c>
      <c r="E2504" t="s">
        <v>649</v>
      </c>
      <c r="F2504" t="s">
        <v>9</v>
      </c>
    </row>
    <row r="2505" spans="1:6" x14ac:dyDescent="0.3">
      <c r="A2505" t="s">
        <v>642</v>
      </c>
      <c r="B2505" t="s">
        <v>154</v>
      </c>
      <c r="C2505" t="str">
        <f>HYPERLINK("http://service.sap.com/sap/support/notes/1905289","1905289")</f>
        <v>1905289</v>
      </c>
      <c r="D2505">
        <v>3</v>
      </c>
      <c r="E2505" t="s">
        <v>650</v>
      </c>
      <c r="F2505" t="s">
        <v>9</v>
      </c>
    </row>
    <row r="2506" spans="1:6" x14ac:dyDescent="0.3">
      <c r="A2506" t="s">
        <v>642</v>
      </c>
      <c r="B2506" t="s">
        <v>154</v>
      </c>
      <c r="C2506" t="str">
        <f>HYPERLINK("http://service.sap.com/sap/support/notes/1911039","1911039")</f>
        <v>1911039</v>
      </c>
      <c r="D2506">
        <v>2</v>
      </c>
      <c r="E2506" t="s">
        <v>651</v>
      </c>
      <c r="F2506" t="s">
        <v>9</v>
      </c>
    </row>
    <row r="2507" spans="1:6" x14ac:dyDescent="0.3">
      <c r="A2507" t="s">
        <v>642</v>
      </c>
      <c r="B2507" t="s">
        <v>154</v>
      </c>
      <c r="C2507" t="str">
        <f>HYPERLINK("http://service.sap.com/sap/support/notes/1912839","1912839")</f>
        <v>1912839</v>
      </c>
      <c r="D2507">
        <v>2</v>
      </c>
      <c r="E2507" t="s">
        <v>652</v>
      </c>
      <c r="F2507" t="s">
        <v>9</v>
      </c>
    </row>
    <row r="2508" spans="1:6" x14ac:dyDescent="0.3">
      <c r="A2508" t="s">
        <v>642</v>
      </c>
      <c r="B2508" t="s">
        <v>154</v>
      </c>
      <c r="C2508" t="str">
        <f>HYPERLINK("http://service.sap.com/sap/support/notes/1912908","1912908")</f>
        <v>1912908</v>
      </c>
      <c r="D2508">
        <v>2</v>
      </c>
      <c r="E2508" t="s">
        <v>653</v>
      </c>
      <c r="F2508" t="s">
        <v>9</v>
      </c>
    </row>
    <row r="2509" spans="1:6" x14ac:dyDescent="0.3">
      <c r="A2509" t="s">
        <v>642</v>
      </c>
      <c r="B2509" t="s">
        <v>154</v>
      </c>
      <c r="C2509" t="str">
        <f>HYPERLINK("http://service.sap.com/sap/support/notes/1914847","1914847")</f>
        <v>1914847</v>
      </c>
      <c r="D2509">
        <v>7</v>
      </c>
      <c r="E2509" t="s">
        <v>654</v>
      </c>
      <c r="F2509" t="s">
        <v>9</v>
      </c>
    </row>
    <row r="2510" spans="1:6" x14ac:dyDescent="0.3">
      <c r="A2510" t="s">
        <v>642</v>
      </c>
      <c r="B2510" t="s">
        <v>154</v>
      </c>
      <c r="C2510" t="str">
        <f>HYPERLINK("http://service.sap.com/sap/support/notes/1915035","1915035")</f>
        <v>1915035</v>
      </c>
      <c r="D2510">
        <v>4</v>
      </c>
      <c r="E2510" t="s">
        <v>655</v>
      </c>
      <c r="F2510" t="s">
        <v>9</v>
      </c>
    </row>
    <row r="2511" spans="1:6" x14ac:dyDescent="0.3">
      <c r="A2511" t="s">
        <v>642</v>
      </c>
      <c r="B2511" t="s">
        <v>154</v>
      </c>
      <c r="C2511" t="str">
        <f>HYPERLINK("http://service.sap.com/sap/support/notes/1915755","1915755")</f>
        <v>1915755</v>
      </c>
      <c r="D2511">
        <v>2</v>
      </c>
      <c r="E2511" t="s">
        <v>656</v>
      </c>
      <c r="F2511" t="s">
        <v>9</v>
      </c>
    </row>
    <row r="2512" spans="1:6" x14ac:dyDescent="0.3">
      <c r="A2512" t="s">
        <v>642</v>
      </c>
      <c r="B2512" t="s">
        <v>154</v>
      </c>
      <c r="C2512" t="str">
        <f>HYPERLINK("http://service.sap.com/sap/support/notes/1916249","1916249")</f>
        <v>1916249</v>
      </c>
      <c r="D2512">
        <v>3</v>
      </c>
      <c r="E2512" t="s">
        <v>657</v>
      </c>
      <c r="F2512" t="s">
        <v>16</v>
      </c>
    </row>
    <row r="2513" spans="1:6" x14ac:dyDescent="0.3">
      <c r="A2513" t="s">
        <v>642</v>
      </c>
      <c r="B2513" t="s">
        <v>154</v>
      </c>
      <c r="C2513" t="str">
        <f>HYPERLINK("http://service.sap.com/sap/support/notes/1916330","1916330")</f>
        <v>1916330</v>
      </c>
      <c r="D2513">
        <v>2</v>
      </c>
      <c r="E2513" t="s">
        <v>658</v>
      </c>
      <c r="F2513" t="s">
        <v>9</v>
      </c>
    </row>
    <row r="2514" spans="1:6" x14ac:dyDescent="0.3">
      <c r="A2514" t="s">
        <v>642</v>
      </c>
      <c r="B2514" t="s">
        <v>154</v>
      </c>
      <c r="C2514" t="str">
        <f>HYPERLINK("http://service.sap.com/sap/support/notes/1917360","1917360")</f>
        <v>1917360</v>
      </c>
      <c r="D2514">
        <v>2</v>
      </c>
      <c r="E2514" t="s">
        <v>659</v>
      </c>
      <c r="F2514" t="s">
        <v>9</v>
      </c>
    </row>
    <row r="2515" spans="1:6" x14ac:dyDescent="0.3">
      <c r="A2515" t="s">
        <v>642</v>
      </c>
      <c r="B2515" t="s">
        <v>154</v>
      </c>
      <c r="C2515" t="str">
        <f>HYPERLINK("http://service.sap.com/sap/support/notes/1921183","1921183")</f>
        <v>1921183</v>
      </c>
      <c r="D2515">
        <v>2</v>
      </c>
      <c r="E2515" t="s">
        <v>660</v>
      </c>
      <c r="F2515" t="s">
        <v>9</v>
      </c>
    </row>
    <row r="2516" spans="1:6" x14ac:dyDescent="0.3">
      <c r="A2516" t="s">
        <v>642</v>
      </c>
      <c r="B2516" t="s">
        <v>154</v>
      </c>
      <c r="C2516" t="str">
        <f>HYPERLINK("http://service.sap.com/sap/support/notes/1923212","1923212")</f>
        <v>1923212</v>
      </c>
      <c r="D2516">
        <v>5</v>
      </c>
      <c r="E2516" t="s">
        <v>661</v>
      </c>
      <c r="F2516" t="s">
        <v>9</v>
      </c>
    </row>
    <row r="2517" spans="1:6" x14ac:dyDescent="0.3">
      <c r="A2517" t="s">
        <v>642</v>
      </c>
      <c r="B2517" t="s">
        <v>154</v>
      </c>
      <c r="C2517" t="str">
        <f>HYPERLINK("http://service.sap.com/sap/support/notes/1924556","1924556")</f>
        <v>1924556</v>
      </c>
      <c r="D2517">
        <v>2</v>
      </c>
      <c r="E2517" t="s">
        <v>662</v>
      </c>
      <c r="F2517" t="s">
        <v>9</v>
      </c>
    </row>
    <row r="2518" spans="1:6" x14ac:dyDescent="0.3">
      <c r="A2518" t="s">
        <v>642</v>
      </c>
      <c r="B2518" t="s">
        <v>154</v>
      </c>
      <c r="C2518" t="str">
        <f>HYPERLINK("http://service.sap.com/sap/support/notes/1924666","1924666")</f>
        <v>1924666</v>
      </c>
      <c r="D2518">
        <v>1</v>
      </c>
      <c r="E2518" t="s">
        <v>663</v>
      </c>
      <c r="F2518" t="s">
        <v>9</v>
      </c>
    </row>
    <row r="2519" spans="1:6" x14ac:dyDescent="0.3">
      <c r="A2519" t="s">
        <v>642</v>
      </c>
      <c r="B2519" t="s">
        <v>154</v>
      </c>
      <c r="C2519" t="str">
        <f>HYPERLINK("http://service.sap.com/sap/support/notes/1925767","1925767")</f>
        <v>1925767</v>
      </c>
      <c r="D2519">
        <v>1</v>
      </c>
      <c r="E2519" t="s">
        <v>664</v>
      </c>
      <c r="F2519" t="s">
        <v>9</v>
      </c>
    </row>
    <row r="2520" spans="1:6" x14ac:dyDescent="0.3">
      <c r="A2520" t="s">
        <v>642</v>
      </c>
      <c r="B2520" t="s">
        <v>154</v>
      </c>
      <c r="C2520" t="str">
        <f>HYPERLINK("http://service.sap.com/sap/support/notes/1926498","1926498")</f>
        <v>1926498</v>
      </c>
      <c r="D2520">
        <v>1</v>
      </c>
      <c r="E2520" t="s">
        <v>665</v>
      </c>
      <c r="F2520" t="s">
        <v>9</v>
      </c>
    </row>
    <row r="2521" spans="1:6" x14ac:dyDescent="0.3">
      <c r="A2521" t="s">
        <v>642</v>
      </c>
      <c r="B2521" t="s">
        <v>154</v>
      </c>
      <c r="C2521" t="str">
        <f>HYPERLINK("http://service.sap.com/sap/support/notes/1927117","1927117")</f>
        <v>1927117</v>
      </c>
      <c r="D2521">
        <v>2</v>
      </c>
      <c r="E2521" t="s">
        <v>666</v>
      </c>
      <c r="F2521" t="s">
        <v>28</v>
      </c>
    </row>
    <row r="2522" spans="1:6" x14ac:dyDescent="0.3">
      <c r="A2522" t="s">
        <v>642</v>
      </c>
      <c r="B2522" t="s">
        <v>154</v>
      </c>
      <c r="C2522" t="str">
        <f>HYPERLINK("http://service.sap.com/sap/support/notes/1927609","1927609")</f>
        <v>1927609</v>
      </c>
      <c r="D2522">
        <v>1</v>
      </c>
      <c r="E2522" t="s">
        <v>666</v>
      </c>
      <c r="F2522" t="s">
        <v>28</v>
      </c>
    </row>
    <row r="2523" spans="1:6" x14ac:dyDescent="0.3">
      <c r="A2523" t="s">
        <v>642</v>
      </c>
      <c r="B2523" t="s">
        <v>154</v>
      </c>
      <c r="C2523" t="str">
        <f>HYPERLINK("http://service.sap.com/sap/support/notes/1927845","1927845")</f>
        <v>1927845</v>
      </c>
      <c r="D2523">
        <v>2</v>
      </c>
      <c r="E2523" t="s">
        <v>667</v>
      </c>
      <c r="F2523" t="s">
        <v>16</v>
      </c>
    </row>
    <row r="2524" spans="1:6" x14ac:dyDescent="0.3">
      <c r="A2524" t="s">
        <v>642</v>
      </c>
      <c r="B2524" t="s">
        <v>154</v>
      </c>
      <c r="C2524" t="str">
        <f>HYPERLINK("http://service.sap.com/sap/support/notes/1929176","1929176")</f>
        <v>1929176</v>
      </c>
      <c r="D2524">
        <v>2</v>
      </c>
      <c r="E2524" t="s">
        <v>668</v>
      </c>
      <c r="F2524" t="s">
        <v>9</v>
      </c>
    </row>
    <row r="2525" spans="1:6" x14ac:dyDescent="0.3">
      <c r="A2525" t="s">
        <v>642</v>
      </c>
      <c r="B2525" t="s">
        <v>154</v>
      </c>
      <c r="C2525" t="str">
        <f>HYPERLINK("http://service.sap.com/sap/support/notes/1929864","1929864")</f>
        <v>1929864</v>
      </c>
      <c r="D2525">
        <v>1</v>
      </c>
      <c r="E2525" t="s">
        <v>669</v>
      </c>
      <c r="F2525" t="s">
        <v>16</v>
      </c>
    </row>
    <row r="2526" spans="1:6" x14ac:dyDescent="0.3">
      <c r="A2526" t="s">
        <v>642</v>
      </c>
      <c r="B2526" t="s">
        <v>154</v>
      </c>
      <c r="C2526" t="str">
        <f>HYPERLINK("http://service.sap.com/sap/support/notes/1929874","1929874")</f>
        <v>1929874</v>
      </c>
      <c r="D2526">
        <v>2</v>
      </c>
      <c r="E2526" t="s">
        <v>670</v>
      </c>
      <c r="F2526" t="s">
        <v>9</v>
      </c>
    </row>
    <row r="2527" spans="1:6" x14ac:dyDescent="0.3">
      <c r="A2527" t="s">
        <v>642</v>
      </c>
      <c r="B2527" t="s">
        <v>154</v>
      </c>
      <c r="C2527" t="str">
        <f>HYPERLINK("http://service.sap.com/sap/support/notes/1902503","1902503")</f>
        <v>1902503</v>
      </c>
      <c r="D2527">
        <v>3</v>
      </c>
      <c r="E2527" t="s">
        <v>1274</v>
      </c>
      <c r="F2527" t="s">
        <v>9</v>
      </c>
    </row>
    <row r="2528" spans="1:6" x14ac:dyDescent="0.3">
      <c r="A2528" t="s">
        <v>642</v>
      </c>
      <c r="B2528" t="s">
        <v>154</v>
      </c>
      <c r="C2528" t="str">
        <f>HYPERLINK("http://service.sap.com/sap/support/notes/1902851","1902851")</f>
        <v>1902851</v>
      </c>
      <c r="D2528">
        <v>5</v>
      </c>
      <c r="E2528" t="s">
        <v>1275</v>
      </c>
      <c r="F2528" t="s">
        <v>9</v>
      </c>
    </row>
    <row r="2529" spans="1:6" x14ac:dyDescent="0.3">
      <c r="A2529" t="s">
        <v>642</v>
      </c>
      <c r="B2529" t="s">
        <v>154</v>
      </c>
      <c r="C2529" t="str">
        <f>HYPERLINK("http://service.sap.com/sap/support/notes/1910046","1910046")</f>
        <v>1910046</v>
      </c>
      <c r="D2529">
        <v>3</v>
      </c>
      <c r="E2529" t="s">
        <v>1276</v>
      </c>
      <c r="F2529" t="s">
        <v>9</v>
      </c>
    </row>
    <row r="2530" spans="1:6" x14ac:dyDescent="0.3">
      <c r="A2530" t="s">
        <v>642</v>
      </c>
      <c r="B2530" t="s">
        <v>154</v>
      </c>
      <c r="C2530" t="str">
        <f>HYPERLINK("http://service.sap.com/sap/support/notes/1925903","1925903")</f>
        <v>1925903</v>
      </c>
      <c r="D2530">
        <v>2</v>
      </c>
      <c r="E2530" t="s">
        <v>1277</v>
      </c>
      <c r="F2530" t="s">
        <v>9</v>
      </c>
    </row>
    <row r="2531" spans="1:6" x14ac:dyDescent="0.3">
      <c r="A2531" t="s">
        <v>642</v>
      </c>
      <c r="B2531" t="s">
        <v>154</v>
      </c>
      <c r="C2531" t="str">
        <f>HYPERLINK("http://service.sap.com/sap/support/notes/1926298","1926298")</f>
        <v>1926298</v>
      </c>
      <c r="D2531">
        <v>9</v>
      </c>
      <c r="E2531" t="s">
        <v>1278</v>
      </c>
      <c r="F2531" t="s">
        <v>9</v>
      </c>
    </row>
    <row r="2532" spans="1:6" x14ac:dyDescent="0.3">
      <c r="A2532" t="s">
        <v>642</v>
      </c>
      <c r="B2532" t="s">
        <v>154</v>
      </c>
      <c r="C2532" t="str">
        <f>HYPERLINK("http://service.sap.com/sap/support/notes/1926975","1926975")</f>
        <v>1926975</v>
      </c>
      <c r="D2532">
        <v>2</v>
      </c>
      <c r="E2532" t="s">
        <v>1279</v>
      </c>
      <c r="F2532" t="s">
        <v>9</v>
      </c>
    </row>
    <row r="2533" spans="1:6" x14ac:dyDescent="0.3">
      <c r="A2533" t="s">
        <v>642</v>
      </c>
      <c r="B2533" t="s">
        <v>154</v>
      </c>
      <c r="C2533" t="str">
        <f>HYPERLINK("http://service.sap.com/sap/support/notes/1927845","1927845")</f>
        <v>1927845</v>
      </c>
      <c r="D2533">
        <v>2</v>
      </c>
      <c r="E2533" t="s">
        <v>667</v>
      </c>
      <c r="F2533" t="s">
        <v>16</v>
      </c>
    </row>
    <row r="2534" spans="1:6" x14ac:dyDescent="0.3">
      <c r="A2534" t="s">
        <v>642</v>
      </c>
      <c r="B2534" t="s">
        <v>154</v>
      </c>
      <c r="C2534" t="str">
        <f>HYPERLINK("http://service.sap.com/sap/support/notes/1929186","1929186")</f>
        <v>1929186</v>
      </c>
      <c r="D2534">
        <v>4</v>
      </c>
      <c r="E2534" t="s">
        <v>1280</v>
      </c>
      <c r="F2534" t="s">
        <v>9</v>
      </c>
    </row>
    <row r="2535" spans="1:6" x14ac:dyDescent="0.3">
      <c r="A2535" t="s">
        <v>642</v>
      </c>
      <c r="B2535" t="s">
        <v>154</v>
      </c>
      <c r="C2535" t="str">
        <f>HYPERLINK("http://service.sap.com/sap/support/notes/1933689","1933689")</f>
        <v>1933689</v>
      </c>
      <c r="D2535">
        <v>1</v>
      </c>
      <c r="E2535" t="s">
        <v>1281</v>
      </c>
      <c r="F2535" t="s">
        <v>9</v>
      </c>
    </row>
    <row r="2536" spans="1:6" x14ac:dyDescent="0.3">
      <c r="A2536" t="s">
        <v>642</v>
      </c>
      <c r="B2536" t="s">
        <v>154</v>
      </c>
      <c r="C2536" t="str">
        <f>HYPERLINK("http://service.sap.com/sap/support/notes/1933907","1933907")</f>
        <v>1933907</v>
      </c>
      <c r="D2536">
        <v>4</v>
      </c>
      <c r="E2536" t="s">
        <v>1282</v>
      </c>
      <c r="F2536" t="s">
        <v>9</v>
      </c>
    </row>
    <row r="2537" spans="1:6" x14ac:dyDescent="0.3">
      <c r="A2537" t="s">
        <v>642</v>
      </c>
      <c r="B2537" t="s">
        <v>154</v>
      </c>
      <c r="C2537" t="str">
        <f>HYPERLINK("http://service.sap.com/sap/support/notes/1934426","1934426")</f>
        <v>1934426</v>
      </c>
      <c r="D2537">
        <v>3</v>
      </c>
      <c r="E2537" t="s">
        <v>1283</v>
      </c>
      <c r="F2537" t="s">
        <v>9</v>
      </c>
    </row>
    <row r="2538" spans="1:6" x14ac:dyDescent="0.3">
      <c r="A2538" t="s">
        <v>642</v>
      </c>
      <c r="B2538" t="s">
        <v>154</v>
      </c>
      <c r="C2538" t="str">
        <f>HYPERLINK("http://service.sap.com/sap/support/notes/1934592","1934592")</f>
        <v>1934592</v>
      </c>
      <c r="D2538">
        <v>3</v>
      </c>
      <c r="E2538" t="s">
        <v>1284</v>
      </c>
      <c r="F2538" t="s">
        <v>9</v>
      </c>
    </row>
    <row r="2539" spans="1:6" x14ac:dyDescent="0.3">
      <c r="A2539" t="s">
        <v>642</v>
      </c>
      <c r="B2539" t="s">
        <v>154</v>
      </c>
      <c r="C2539" t="str">
        <f>HYPERLINK("http://service.sap.com/sap/support/notes/1935454","1935454")</f>
        <v>1935454</v>
      </c>
      <c r="D2539">
        <v>2</v>
      </c>
      <c r="E2539" t="s">
        <v>1285</v>
      </c>
      <c r="F2539" t="s">
        <v>9</v>
      </c>
    </row>
    <row r="2540" spans="1:6" x14ac:dyDescent="0.3">
      <c r="A2540" t="s">
        <v>642</v>
      </c>
      <c r="B2540" t="s">
        <v>154</v>
      </c>
      <c r="C2540" t="str">
        <f>HYPERLINK("http://service.sap.com/sap/support/notes/1936023","1936023")</f>
        <v>1936023</v>
      </c>
      <c r="D2540">
        <v>6</v>
      </c>
      <c r="E2540" t="s">
        <v>1286</v>
      </c>
      <c r="F2540" t="s">
        <v>9</v>
      </c>
    </row>
    <row r="2541" spans="1:6" x14ac:dyDescent="0.3">
      <c r="A2541" t="s">
        <v>642</v>
      </c>
      <c r="B2541" t="s">
        <v>154</v>
      </c>
      <c r="C2541" t="str">
        <f>HYPERLINK("http://service.sap.com/sap/support/notes/1938689","1938689")</f>
        <v>1938689</v>
      </c>
      <c r="D2541">
        <v>3</v>
      </c>
      <c r="E2541" t="s">
        <v>1287</v>
      </c>
      <c r="F2541" t="s">
        <v>9</v>
      </c>
    </row>
    <row r="2542" spans="1:6" x14ac:dyDescent="0.3">
      <c r="A2542" t="s">
        <v>642</v>
      </c>
      <c r="B2542" t="s">
        <v>154</v>
      </c>
      <c r="C2542" t="str">
        <f>HYPERLINK("http://service.sap.com/sap/support/notes/1940578","1940578")</f>
        <v>1940578</v>
      </c>
      <c r="D2542">
        <v>2</v>
      </c>
      <c r="E2542" t="s">
        <v>1288</v>
      </c>
      <c r="F2542" t="s">
        <v>9</v>
      </c>
    </row>
    <row r="2543" spans="1:6" x14ac:dyDescent="0.3">
      <c r="A2543" t="s">
        <v>642</v>
      </c>
      <c r="B2543" t="s">
        <v>154</v>
      </c>
      <c r="C2543" t="str">
        <f>HYPERLINK("http://service.sap.com/sap/support/notes/1017716","1017716")</f>
        <v>1017716</v>
      </c>
      <c r="D2543">
        <v>1</v>
      </c>
      <c r="E2543" t="s">
        <v>643</v>
      </c>
      <c r="F2543" t="s">
        <v>9</v>
      </c>
    </row>
    <row r="2544" spans="1:6" x14ac:dyDescent="0.3">
      <c r="A2544" t="s">
        <v>642</v>
      </c>
      <c r="B2544" t="s">
        <v>154</v>
      </c>
      <c r="C2544" t="str">
        <f>HYPERLINK("http://service.sap.com/sap/support/notes/1925639","1925639")</f>
        <v>1925639</v>
      </c>
      <c r="D2544">
        <v>4</v>
      </c>
      <c r="E2544" t="s">
        <v>1709</v>
      </c>
      <c r="F2544" t="s">
        <v>9</v>
      </c>
    </row>
    <row r="2545" spans="1:6" x14ac:dyDescent="0.3">
      <c r="A2545" t="s">
        <v>642</v>
      </c>
      <c r="B2545" t="s">
        <v>154</v>
      </c>
      <c r="C2545" t="str">
        <f>HYPERLINK("http://service.sap.com/sap/support/notes/1925640","1925640")</f>
        <v>1925640</v>
      </c>
      <c r="D2545">
        <v>6</v>
      </c>
      <c r="E2545" t="s">
        <v>1710</v>
      </c>
      <c r="F2545" t="s">
        <v>9</v>
      </c>
    </row>
    <row r="2546" spans="1:6" x14ac:dyDescent="0.3">
      <c r="A2546" t="s">
        <v>642</v>
      </c>
      <c r="B2546" t="s">
        <v>154</v>
      </c>
      <c r="C2546" t="str">
        <f>HYPERLINK("http://service.sap.com/sap/support/notes/1927679","1927679")</f>
        <v>1927679</v>
      </c>
      <c r="D2546">
        <v>2</v>
      </c>
      <c r="E2546" t="s">
        <v>1711</v>
      </c>
      <c r="F2546" t="s">
        <v>9</v>
      </c>
    </row>
    <row r="2547" spans="1:6" x14ac:dyDescent="0.3">
      <c r="A2547" t="s">
        <v>642</v>
      </c>
      <c r="B2547" t="s">
        <v>154</v>
      </c>
      <c r="C2547" t="str">
        <f>HYPERLINK("http://service.sap.com/sap/support/notes/1928405","1928405")</f>
        <v>1928405</v>
      </c>
      <c r="D2547">
        <v>12</v>
      </c>
      <c r="E2547" t="s">
        <v>1712</v>
      </c>
      <c r="F2547" t="s">
        <v>9</v>
      </c>
    </row>
    <row r="2548" spans="1:6" x14ac:dyDescent="0.3">
      <c r="A2548" t="s">
        <v>642</v>
      </c>
      <c r="B2548" t="s">
        <v>154</v>
      </c>
      <c r="C2548" t="str">
        <f>HYPERLINK("http://service.sap.com/sap/support/notes/1929925","1929925")</f>
        <v>1929925</v>
      </c>
      <c r="D2548">
        <v>4</v>
      </c>
      <c r="E2548" t="s">
        <v>1713</v>
      </c>
      <c r="F2548" t="s">
        <v>9</v>
      </c>
    </row>
    <row r="2549" spans="1:6" x14ac:dyDescent="0.3">
      <c r="A2549" t="s">
        <v>642</v>
      </c>
      <c r="B2549" t="s">
        <v>154</v>
      </c>
      <c r="C2549" t="str">
        <f>HYPERLINK("http://service.sap.com/sap/support/notes/1930890","1930890")</f>
        <v>1930890</v>
      </c>
      <c r="D2549">
        <v>3</v>
      </c>
      <c r="E2549" t="s">
        <v>1714</v>
      </c>
      <c r="F2549" t="s">
        <v>9</v>
      </c>
    </row>
    <row r="2550" spans="1:6" x14ac:dyDescent="0.3">
      <c r="A2550" t="s">
        <v>642</v>
      </c>
      <c r="B2550" t="s">
        <v>154</v>
      </c>
      <c r="C2550" t="str">
        <f>HYPERLINK("http://service.sap.com/sap/support/notes/1932372","1932372")</f>
        <v>1932372</v>
      </c>
      <c r="D2550">
        <v>6</v>
      </c>
      <c r="E2550" t="s">
        <v>1715</v>
      </c>
      <c r="F2550" t="s">
        <v>9</v>
      </c>
    </row>
    <row r="2551" spans="1:6" x14ac:dyDescent="0.3">
      <c r="A2551" t="s">
        <v>642</v>
      </c>
      <c r="B2551" t="s">
        <v>154</v>
      </c>
      <c r="C2551" t="str">
        <f>HYPERLINK("http://service.sap.com/sap/support/notes/1934420","1934420")</f>
        <v>1934420</v>
      </c>
      <c r="D2551">
        <v>3</v>
      </c>
      <c r="E2551" t="s">
        <v>1716</v>
      </c>
      <c r="F2551" t="s">
        <v>9</v>
      </c>
    </row>
    <row r="2552" spans="1:6" x14ac:dyDescent="0.3">
      <c r="A2552" t="s">
        <v>642</v>
      </c>
      <c r="B2552" t="s">
        <v>154</v>
      </c>
      <c r="C2552" t="str">
        <f>HYPERLINK("http://service.sap.com/sap/support/notes/1935786","1935786")</f>
        <v>1935786</v>
      </c>
      <c r="D2552">
        <v>9</v>
      </c>
      <c r="E2552" t="s">
        <v>1717</v>
      </c>
      <c r="F2552" t="s">
        <v>9</v>
      </c>
    </row>
    <row r="2553" spans="1:6" x14ac:dyDescent="0.3">
      <c r="A2553" t="s">
        <v>642</v>
      </c>
      <c r="B2553" t="s">
        <v>154</v>
      </c>
      <c r="C2553" t="str">
        <f>HYPERLINK("http://service.sap.com/sap/support/notes/1937883","1937883")</f>
        <v>1937883</v>
      </c>
      <c r="D2553">
        <v>2</v>
      </c>
      <c r="E2553" t="s">
        <v>1718</v>
      </c>
      <c r="F2553" t="s">
        <v>9</v>
      </c>
    </row>
    <row r="2554" spans="1:6" x14ac:dyDescent="0.3">
      <c r="A2554" t="s">
        <v>642</v>
      </c>
      <c r="B2554" t="s">
        <v>154</v>
      </c>
      <c r="C2554" t="str">
        <f>HYPERLINK("http://service.sap.com/sap/support/notes/1939840","1939840")</f>
        <v>1939840</v>
      </c>
      <c r="D2554">
        <v>5</v>
      </c>
      <c r="E2554" t="s">
        <v>1719</v>
      </c>
      <c r="F2554" t="s">
        <v>28</v>
      </c>
    </row>
    <row r="2555" spans="1:6" x14ac:dyDescent="0.3">
      <c r="A2555" t="s">
        <v>642</v>
      </c>
      <c r="B2555" t="s">
        <v>154</v>
      </c>
      <c r="C2555" t="str">
        <f>HYPERLINK("http://service.sap.com/sap/support/notes/1939907","1939907")</f>
        <v>1939907</v>
      </c>
      <c r="D2555">
        <v>3</v>
      </c>
      <c r="E2555" t="s">
        <v>1720</v>
      </c>
      <c r="F2555" t="s">
        <v>9</v>
      </c>
    </row>
    <row r="2556" spans="1:6" x14ac:dyDescent="0.3">
      <c r="A2556" t="s">
        <v>642</v>
      </c>
      <c r="B2556" t="s">
        <v>154</v>
      </c>
      <c r="C2556" t="str">
        <f>HYPERLINK("http://service.sap.com/sap/support/notes/1940832","1940832")</f>
        <v>1940832</v>
      </c>
      <c r="D2556">
        <v>5</v>
      </c>
      <c r="E2556" t="s">
        <v>1721</v>
      </c>
      <c r="F2556" t="s">
        <v>9</v>
      </c>
    </row>
    <row r="2557" spans="1:6" x14ac:dyDescent="0.3">
      <c r="A2557" t="s">
        <v>642</v>
      </c>
      <c r="B2557" t="s">
        <v>154</v>
      </c>
      <c r="C2557" t="str">
        <f>HYPERLINK("http://service.sap.com/sap/support/notes/1940895","1940895")</f>
        <v>1940895</v>
      </c>
      <c r="D2557">
        <v>4</v>
      </c>
      <c r="E2557" t="s">
        <v>1722</v>
      </c>
      <c r="F2557" t="s">
        <v>9</v>
      </c>
    </row>
    <row r="2558" spans="1:6" x14ac:dyDescent="0.3">
      <c r="A2558" t="s">
        <v>642</v>
      </c>
      <c r="B2558" t="s">
        <v>154</v>
      </c>
      <c r="C2558" t="str">
        <f>HYPERLINK("http://service.sap.com/sap/support/notes/1942258","1942258")</f>
        <v>1942258</v>
      </c>
      <c r="D2558">
        <v>2</v>
      </c>
      <c r="E2558" t="s">
        <v>1723</v>
      </c>
      <c r="F2558" t="s">
        <v>9</v>
      </c>
    </row>
    <row r="2559" spans="1:6" x14ac:dyDescent="0.3">
      <c r="A2559" t="s">
        <v>642</v>
      </c>
      <c r="B2559" t="s">
        <v>154</v>
      </c>
      <c r="C2559" t="str">
        <f>HYPERLINK("http://service.sap.com/sap/support/notes/1942269","1942269")</f>
        <v>1942269</v>
      </c>
      <c r="D2559">
        <v>5</v>
      </c>
      <c r="E2559" t="s">
        <v>1724</v>
      </c>
      <c r="F2559" t="s">
        <v>9</v>
      </c>
    </row>
    <row r="2560" spans="1:6" x14ac:dyDescent="0.3">
      <c r="A2560" t="s">
        <v>642</v>
      </c>
      <c r="B2560" t="s">
        <v>154</v>
      </c>
      <c r="C2560" t="str">
        <f>HYPERLINK("http://service.sap.com/sap/support/notes/1943443","1943443")</f>
        <v>1943443</v>
      </c>
      <c r="D2560">
        <v>3</v>
      </c>
      <c r="E2560" t="s">
        <v>1725</v>
      </c>
      <c r="F2560" t="s">
        <v>9</v>
      </c>
    </row>
    <row r="2561" spans="1:6" x14ac:dyDescent="0.3">
      <c r="A2561" t="s">
        <v>642</v>
      </c>
      <c r="B2561" t="s">
        <v>154</v>
      </c>
      <c r="C2561" t="str">
        <f>HYPERLINK("http://service.sap.com/sap/support/notes/1944175","1944175")</f>
        <v>1944175</v>
      </c>
      <c r="D2561">
        <v>3</v>
      </c>
      <c r="E2561" t="s">
        <v>1726</v>
      </c>
      <c r="F2561" t="s">
        <v>9</v>
      </c>
    </row>
    <row r="2562" spans="1:6" x14ac:dyDescent="0.3">
      <c r="A2562" t="s">
        <v>642</v>
      </c>
      <c r="B2562" t="s">
        <v>154</v>
      </c>
      <c r="C2562" t="str">
        <f>HYPERLINK("http://service.sap.com/sap/support/notes/1946210","1946210")</f>
        <v>1946210</v>
      </c>
      <c r="D2562">
        <v>8</v>
      </c>
      <c r="E2562" t="s">
        <v>1727</v>
      </c>
      <c r="F2562" t="s">
        <v>9</v>
      </c>
    </row>
    <row r="2563" spans="1:6" x14ac:dyDescent="0.3">
      <c r="A2563" t="s">
        <v>642</v>
      </c>
      <c r="B2563" t="s">
        <v>154</v>
      </c>
      <c r="C2563" t="str">
        <f>HYPERLINK("http://service.sap.com/sap/support/notes/1946902","1946902")</f>
        <v>1946902</v>
      </c>
      <c r="D2563">
        <v>2</v>
      </c>
      <c r="E2563" t="s">
        <v>1728</v>
      </c>
      <c r="F2563" t="s">
        <v>9</v>
      </c>
    </row>
    <row r="2564" spans="1:6" x14ac:dyDescent="0.3">
      <c r="A2564" t="s">
        <v>642</v>
      </c>
      <c r="B2564" t="s">
        <v>154</v>
      </c>
      <c r="C2564" t="str">
        <f>HYPERLINK("http://service.sap.com/sap/support/notes/1947057","1947057")</f>
        <v>1947057</v>
      </c>
      <c r="D2564">
        <v>5</v>
      </c>
      <c r="E2564" t="s">
        <v>1729</v>
      </c>
      <c r="F2564" t="s">
        <v>9</v>
      </c>
    </row>
    <row r="2565" spans="1:6" x14ac:dyDescent="0.3">
      <c r="A2565" t="s">
        <v>642</v>
      </c>
      <c r="B2565" t="s">
        <v>154</v>
      </c>
      <c r="C2565" t="str">
        <f>HYPERLINK("http://service.sap.com/sap/support/notes/1947674","1947674")</f>
        <v>1947674</v>
      </c>
      <c r="D2565">
        <v>3</v>
      </c>
      <c r="E2565" t="s">
        <v>1730</v>
      </c>
      <c r="F2565" t="s">
        <v>9</v>
      </c>
    </row>
    <row r="2566" spans="1:6" x14ac:dyDescent="0.3">
      <c r="A2566" t="s">
        <v>642</v>
      </c>
      <c r="B2566" t="s">
        <v>154</v>
      </c>
      <c r="C2566" t="str">
        <f>HYPERLINK("http://service.sap.com/sap/support/notes/1947737","1947737")</f>
        <v>1947737</v>
      </c>
      <c r="D2566">
        <v>3</v>
      </c>
      <c r="E2566" t="s">
        <v>1731</v>
      </c>
      <c r="F2566" t="s">
        <v>9</v>
      </c>
    </row>
    <row r="2567" spans="1:6" x14ac:dyDescent="0.3">
      <c r="A2567" t="s">
        <v>642</v>
      </c>
      <c r="B2567" t="s">
        <v>154</v>
      </c>
      <c r="C2567" t="str">
        <f>HYPERLINK("http://service.sap.com/sap/support/notes/1947748","1947748")</f>
        <v>1947748</v>
      </c>
      <c r="D2567">
        <v>3</v>
      </c>
      <c r="E2567" t="s">
        <v>1732</v>
      </c>
      <c r="F2567" t="s">
        <v>9</v>
      </c>
    </row>
    <row r="2568" spans="1:6" x14ac:dyDescent="0.3">
      <c r="A2568" t="s">
        <v>642</v>
      </c>
      <c r="B2568" t="s">
        <v>154</v>
      </c>
      <c r="C2568" t="str">
        <f>HYPERLINK("http://service.sap.com/sap/support/notes/1950229","1950229")</f>
        <v>1950229</v>
      </c>
      <c r="D2568">
        <v>4</v>
      </c>
      <c r="E2568" t="s">
        <v>1733</v>
      </c>
      <c r="F2568" t="s">
        <v>9</v>
      </c>
    </row>
    <row r="2569" spans="1:6" x14ac:dyDescent="0.3">
      <c r="A2569" t="s">
        <v>642</v>
      </c>
      <c r="B2569" t="s">
        <v>154</v>
      </c>
      <c r="C2569" t="str">
        <f>HYPERLINK("http://service.sap.com/sap/support/notes/1950713","1950713")</f>
        <v>1950713</v>
      </c>
      <c r="D2569">
        <v>4</v>
      </c>
      <c r="E2569" t="s">
        <v>1734</v>
      </c>
      <c r="F2569" t="s">
        <v>9</v>
      </c>
    </row>
    <row r="2570" spans="1:6" x14ac:dyDescent="0.3">
      <c r="A2570" t="s">
        <v>642</v>
      </c>
      <c r="B2570" t="s">
        <v>154</v>
      </c>
      <c r="C2570" t="str">
        <f>HYPERLINK("http://service.sap.com/sap/support/notes/1951620","1951620")</f>
        <v>1951620</v>
      </c>
      <c r="D2570">
        <v>3</v>
      </c>
      <c r="E2570" t="s">
        <v>1735</v>
      </c>
      <c r="F2570" t="s">
        <v>9</v>
      </c>
    </row>
    <row r="2571" spans="1:6" x14ac:dyDescent="0.3">
      <c r="A2571" t="s">
        <v>642</v>
      </c>
      <c r="B2571" t="s">
        <v>154</v>
      </c>
      <c r="C2571" t="str">
        <f>HYPERLINK("http://service.sap.com/sap/support/notes/1952331","1952331")</f>
        <v>1952331</v>
      </c>
      <c r="D2571">
        <v>4</v>
      </c>
      <c r="E2571" t="s">
        <v>1736</v>
      </c>
      <c r="F2571" t="s">
        <v>16</v>
      </c>
    </row>
    <row r="2572" spans="1:6" x14ac:dyDescent="0.3">
      <c r="A2572" t="s">
        <v>642</v>
      </c>
      <c r="B2572" t="s">
        <v>154</v>
      </c>
      <c r="C2572" t="str">
        <f>HYPERLINK("http://service.sap.com/sap/support/notes/1952340","1952340")</f>
        <v>1952340</v>
      </c>
      <c r="D2572">
        <v>1</v>
      </c>
      <c r="E2572" t="s">
        <v>1737</v>
      </c>
      <c r="F2572" t="s">
        <v>9</v>
      </c>
    </row>
    <row r="2573" spans="1:6" x14ac:dyDescent="0.3">
      <c r="A2573" t="s">
        <v>642</v>
      </c>
      <c r="B2573" t="s">
        <v>154</v>
      </c>
      <c r="C2573" t="str">
        <f>HYPERLINK("http://service.sap.com/sap/support/notes/1954952","1954952")</f>
        <v>1954952</v>
      </c>
      <c r="D2573">
        <v>3</v>
      </c>
      <c r="E2573" t="s">
        <v>1738</v>
      </c>
      <c r="F2573" t="s">
        <v>9</v>
      </c>
    </row>
    <row r="2574" spans="1:6" x14ac:dyDescent="0.3">
      <c r="A2574" t="s">
        <v>642</v>
      </c>
      <c r="B2574" t="s">
        <v>154</v>
      </c>
      <c r="C2574" t="str">
        <f>HYPERLINK("http://service.sap.com/sap/support/notes/1955405","1955405")</f>
        <v>1955405</v>
      </c>
      <c r="D2574">
        <v>2</v>
      </c>
      <c r="E2574" t="s">
        <v>1739</v>
      </c>
      <c r="F2574" t="s">
        <v>9</v>
      </c>
    </row>
    <row r="2575" spans="1:6" x14ac:dyDescent="0.3">
      <c r="A2575" t="s">
        <v>642</v>
      </c>
      <c r="B2575" t="s">
        <v>154</v>
      </c>
      <c r="C2575" t="str">
        <f>HYPERLINK("http://service.sap.com/sap/support/notes/1955594","1955594")</f>
        <v>1955594</v>
      </c>
      <c r="D2575">
        <v>2</v>
      </c>
      <c r="E2575" t="s">
        <v>1740</v>
      </c>
      <c r="F2575" t="s">
        <v>9</v>
      </c>
    </row>
    <row r="2576" spans="1:6" x14ac:dyDescent="0.3">
      <c r="A2576" t="s">
        <v>642</v>
      </c>
      <c r="B2576" t="s">
        <v>154</v>
      </c>
      <c r="C2576" t="str">
        <f>HYPERLINK("http://service.sap.com/sap/support/notes/1957376","1957376")</f>
        <v>1957376</v>
      </c>
      <c r="D2576">
        <v>5</v>
      </c>
      <c r="E2576" t="s">
        <v>1741</v>
      </c>
      <c r="F2576" t="s">
        <v>9</v>
      </c>
    </row>
    <row r="2577" spans="1:6" x14ac:dyDescent="0.3">
      <c r="A2577" t="s">
        <v>642</v>
      </c>
      <c r="B2577" t="s">
        <v>154</v>
      </c>
      <c r="C2577" t="str">
        <f>HYPERLINK("http://service.sap.com/sap/support/notes/1958754","1958754")</f>
        <v>1958754</v>
      </c>
      <c r="D2577">
        <v>4</v>
      </c>
      <c r="E2577" t="s">
        <v>1742</v>
      </c>
      <c r="F2577" t="s">
        <v>9</v>
      </c>
    </row>
    <row r="2578" spans="1:6" x14ac:dyDescent="0.3">
      <c r="A2578" t="s">
        <v>642</v>
      </c>
      <c r="B2578" t="s">
        <v>154</v>
      </c>
      <c r="C2578" t="str">
        <f>HYPERLINK("http://service.sap.com/sap/support/notes/1958948","1958948")</f>
        <v>1958948</v>
      </c>
      <c r="D2578">
        <v>3</v>
      </c>
      <c r="E2578" t="s">
        <v>1743</v>
      </c>
      <c r="F2578" t="s">
        <v>9</v>
      </c>
    </row>
    <row r="2579" spans="1:6" x14ac:dyDescent="0.3">
      <c r="A2579" t="s">
        <v>642</v>
      </c>
      <c r="B2579" t="s">
        <v>154</v>
      </c>
      <c r="C2579" t="str">
        <f>HYPERLINK("http://service.sap.com/sap/support/notes/1959924","1959924")</f>
        <v>1959924</v>
      </c>
      <c r="D2579">
        <v>6</v>
      </c>
      <c r="E2579" t="s">
        <v>1744</v>
      </c>
      <c r="F2579" t="s">
        <v>9</v>
      </c>
    </row>
    <row r="2580" spans="1:6" x14ac:dyDescent="0.3">
      <c r="A2580" t="s">
        <v>642</v>
      </c>
      <c r="B2580" t="s">
        <v>154</v>
      </c>
      <c r="C2580" t="str">
        <f>HYPERLINK("http://service.sap.com/sap/support/notes/1853935","1853935")</f>
        <v>1853935</v>
      </c>
      <c r="D2580">
        <v>13</v>
      </c>
      <c r="E2580" t="s">
        <v>2191</v>
      </c>
      <c r="F2580" t="s">
        <v>9</v>
      </c>
    </row>
    <row r="2581" spans="1:6" x14ac:dyDescent="0.3">
      <c r="A2581" t="s">
        <v>642</v>
      </c>
      <c r="B2581" t="s">
        <v>154</v>
      </c>
      <c r="C2581" t="str">
        <f>HYPERLINK("http://service.sap.com/sap/support/notes/1946372","1946372")</f>
        <v>1946372</v>
      </c>
      <c r="D2581">
        <v>6</v>
      </c>
      <c r="E2581" t="s">
        <v>2192</v>
      </c>
      <c r="F2581" t="s">
        <v>9</v>
      </c>
    </row>
    <row r="2582" spans="1:6" x14ac:dyDescent="0.3">
      <c r="A2582" t="s">
        <v>642</v>
      </c>
      <c r="B2582" t="s">
        <v>154</v>
      </c>
      <c r="C2582" t="str">
        <f>HYPERLINK("http://service.sap.com/sap/support/notes/1954730","1954730")</f>
        <v>1954730</v>
      </c>
      <c r="D2582">
        <v>5</v>
      </c>
      <c r="E2582" t="s">
        <v>2193</v>
      </c>
      <c r="F2582" t="s">
        <v>9</v>
      </c>
    </row>
    <row r="2583" spans="1:6" x14ac:dyDescent="0.3">
      <c r="A2583" t="s">
        <v>642</v>
      </c>
      <c r="B2583" t="s">
        <v>154</v>
      </c>
      <c r="C2583" t="str">
        <f>HYPERLINK("http://service.sap.com/sap/support/notes/1958767","1958767")</f>
        <v>1958767</v>
      </c>
      <c r="D2583">
        <v>5</v>
      </c>
      <c r="E2583" t="s">
        <v>2194</v>
      </c>
      <c r="F2583" t="s">
        <v>9</v>
      </c>
    </row>
    <row r="2584" spans="1:6" x14ac:dyDescent="0.3">
      <c r="A2584" t="s">
        <v>642</v>
      </c>
      <c r="B2584" t="s">
        <v>154</v>
      </c>
      <c r="C2584" t="str">
        <f>HYPERLINK("http://service.sap.com/sap/support/notes/1958985","1958985")</f>
        <v>1958985</v>
      </c>
      <c r="D2584">
        <v>4</v>
      </c>
      <c r="E2584" t="s">
        <v>2195</v>
      </c>
      <c r="F2584" t="s">
        <v>9</v>
      </c>
    </row>
    <row r="2585" spans="1:6" x14ac:dyDescent="0.3">
      <c r="A2585" t="s">
        <v>642</v>
      </c>
      <c r="B2585" t="s">
        <v>154</v>
      </c>
      <c r="C2585" t="str">
        <f>HYPERLINK("http://service.sap.com/sap/support/notes/1961413","1961413")</f>
        <v>1961413</v>
      </c>
      <c r="D2585">
        <v>3</v>
      </c>
      <c r="E2585" t="s">
        <v>2196</v>
      </c>
      <c r="F2585" t="s">
        <v>9</v>
      </c>
    </row>
    <row r="2586" spans="1:6" x14ac:dyDescent="0.3">
      <c r="A2586" t="s">
        <v>642</v>
      </c>
      <c r="B2586" t="s">
        <v>154</v>
      </c>
      <c r="C2586" t="str">
        <f>HYPERLINK("http://service.sap.com/sap/support/notes/1961430","1961430")</f>
        <v>1961430</v>
      </c>
      <c r="D2586">
        <v>1</v>
      </c>
      <c r="E2586" t="s">
        <v>2197</v>
      </c>
      <c r="F2586" t="s">
        <v>9</v>
      </c>
    </row>
    <row r="2587" spans="1:6" x14ac:dyDescent="0.3">
      <c r="A2587" t="s">
        <v>642</v>
      </c>
      <c r="B2587" t="s">
        <v>154</v>
      </c>
      <c r="C2587" t="str">
        <f>HYPERLINK("http://service.sap.com/sap/support/notes/1961754","1961754")</f>
        <v>1961754</v>
      </c>
      <c r="D2587">
        <v>6</v>
      </c>
      <c r="E2587" t="s">
        <v>2198</v>
      </c>
      <c r="F2587" t="s">
        <v>9</v>
      </c>
    </row>
    <row r="2588" spans="1:6" x14ac:dyDescent="0.3">
      <c r="A2588" t="s">
        <v>642</v>
      </c>
      <c r="B2588" t="s">
        <v>154</v>
      </c>
      <c r="C2588" t="str">
        <f>HYPERLINK("http://service.sap.com/sap/support/notes/1961756","1961756")</f>
        <v>1961756</v>
      </c>
      <c r="D2588">
        <v>3</v>
      </c>
      <c r="E2588" t="s">
        <v>2199</v>
      </c>
      <c r="F2588" t="s">
        <v>9</v>
      </c>
    </row>
    <row r="2589" spans="1:6" x14ac:dyDescent="0.3">
      <c r="A2589" t="s">
        <v>642</v>
      </c>
      <c r="B2589" t="s">
        <v>154</v>
      </c>
      <c r="C2589" t="str">
        <f>HYPERLINK("http://service.sap.com/sap/support/notes/1962272","1962272")</f>
        <v>1962272</v>
      </c>
      <c r="D2589">
        <v>2</v>
      </c>
      <c r="E2589" t="s">
        <v>2200</v>
      </c>
      <c r="F2589" t="s">
        <v>9</v>
      </c>
    </row>
    <row r="2590" spans="1:6" x14ac:dyDescent="0.3">
      <c r="A2590" t="s">
        <v>642</v>
      </c>
      <c r="B2590" t="s">
        <v>154</v>
      </c>
      <c r="C2590" t="str">
        <f>HYPERLINK("http://service.sap.com/sap/support/notes/1962784","1962784")</f>
        <v>1962784</v>
      </c>
      <c r="D2590">
        <v>2</v>
      </c>
      <c r="E2590" t="s">
        <v>2201</v>
      </c>
      <c r="F2590" t="s">
        <v>9</v>
      </c>
    </row>
    <row r="2591" spans="1:6" x14ac:dyDescent="0.3">
      <c r="A2591" t="s">
        <v>642</v>
      </c>
      <c r="B2591" t="s">
        <v>154</v>
      </c>
      <c r="C2591" t="str">
        <f>HYPERLINK("http://service.sap.com/sap/support/notes/1962792","1962792")</f>
        <v>1962792</v>
      </c>
      <c r="D2591">
        <v>1</v>
      </c>
      <c r="E2591" t="s">
        <v>2202</v>
      </c>
      <c r="F2591" t="s">
        <v>9</v>
      </c>
    </row>
    <row r="2592" spans="1:6" x14ac:dyDescent="0.3">
      <c r="A2592" t="s">
        <v>642</v>
      </c>
      <c r="B2592" t="s">
        <v>154</v>
      </c>
      <c r="C2592" t="str">
        <f>HYPERLINK("http://service.sap.com/sap/support/notes/1963451","1963451")</f>
        <v>1963451</v>
      </c>
      <c r="D2592">
        <v>1</v>
      </c>
      <c r="E2592" t="s">
        <v>2203</v>
      </c>
      <c r="F2592" t="s">
        <v>9</v>
      </c>
    </row>
    <row r="2593" spans="1:6" x14ac:dyDescent="0.3">
      <c r="A2593" t="s">
        <v>642</v>
      </c>
      <c r="B2593" t="s">
        <v>154</v>
      </c>
      <c r="C2593" t="str">
        <f>HYPERLINK("http://service.sap.com/sap/support/notes/1964097","1964097")</f>
        <v>1964097</v>
      </c>
      <c r="D2593">
        <v>2</v>
      </c>
      <c r="E2593" t="s">
        <v>2204</v>
      </c>
      <c r="F2593" t="s">
        <v>9</v>
      </c>
    </row>
    <row r="2594" spans="1:6" x14ac:dyDescent="0.3">
      <c r="A2594" t="s">
        <v>642</v>
      </c>
      <c r="B2594" t="s">
        <v>154</v>
      </c>
      <c r="C2594" t="str">
        <f>HYPERLINK("http://service.sap.com/sap/support/notes/1964153","1964153")</f>
        <v>1964153</v>
      </c>
      <c r="D2594">
        <v>5</v>
      </c>
      <c r="E2594" t="s">
        <v>2205</v>
      </c>
      <c r="F2594" t="s">
        <v>9</v>
      </c>
    </row>
    <row r="2595" spans="1:6" x14ac:dyDescent="0.3">
      <c r="A2595" t="s">
        <v>642</v>
      </c>
      <c r="B2595" t="s">
        <v>154</v>
      </c>
      <c r="C2595" t="str">
        <f>HYPERLINK("http://service.sap.com/sap/support/notes/1964744","1964744")</f>
        <v>1964744</v>
      </c>
      <c r="D2595">
        <v>2</v>
      </c>
      <c r="E2595" t="s">
        <v>2206</v>
      </c>
      <c r="F2595" t="s">
        <v>9</v>
      </c>
    </row>
    <row r="2596" spans="1:6" x14ac:dyDescent="0.3">
      <c r="A2596" t="s">
        <v>642</v>
      </c>
      <c r="B2596" t="s">
        <v>154</v>
      </c>
      <c r="C2596" t="str">
        <f>HYPERLINK("http://service.sap.com/sap/support/notes/1965169","1965169")</f>
        <v>1965169</v>
      </c>
      <c r="D2596">
        <v>2</v>
      </c>
      <c r="E2596" t="s">
        <v>2207</v>
      </c>
      <c r="F2596" t="s">
        <v>9</v>
      </c>
    </row>
    <row r="2597" spans="1:6" x14ac:dyDescent="0.3">
      <c r="A2597" t="s">
        <v>642</v>
      </c>
      <c r="B2597" t="s">
        <v>154</v>
      </c>
      <c r="C2597" t="str">
        <f>HYPERLINK("http://service.sap.com/sap/support/notes/1966524","1966524")</f>
        <v>1966524</v>
      </c>
      <c r="D2597">
        <v>4</v>
      </c>
      <c r="E2597" t="s">
        <v>2208</v>
      </c>
      <c r="F2597" t="s">
        <v>9</v>
      </c>
    </row>
    <row r="2598" spans="1:6" x14ac:dyDescent="0.3">
      <c r="A2598" t="s">
        <v>642</v>
      </c>
      <c r="B2598" t="s">
        <v>154</v>
      </c>
      <c r="C2598" t="str">
        <f>HYPERLINK("http://service.sap.com/sap/support/notes/1966784","1966784")</f>
        <v>1966784</v>
      </c>
      <c r="D2598">
        <v>2</v>
      </c>
      <c r="E2598" t="s">
        <v>2209</v>
      </c>
      <c r="F2598" t="s">
        <v>9</v>
      </c>
    </row>
    <row r="2599" spans="1:6" x14ac:dyDescent="0.3">
      <c r="A2599" t="s">
        <v>642</v>
      </c>
      <c r="B2599" t="s">
        <v>154</v>
      </c>
      <c r="C2599" t="str">
        <f>HYPERLINK("http://service.sap.com/sap/support/notes/1969273","1969273")</f>
        <v>1969273</v>
      </c>
      <c r="D2599">
        <v>1</v>
      </c>
      <c r="E2599" t="s">
        <v>2210</v>
      </c>
      <c r="F2599" t="s">
        <v>9</v>
      </c>
    </row>
    <row r="2600" spans="1:6" x14ac:dyDescent="0.3">
      <c r="A2600" t="s">
        <v>642</v>
      </c>
      <c r="B2600" t="s">
        <v>154</v>
      </c>
      <c r="C2600" t="str">
        <f>HYPERLINK("http://service.sap.com/sap/support/notes/1933107","1933107")</f>
        <v>1933107</v>
      </c>
      <c r="D2600">
        <v>6</v>
      </c>
      <c r="E2600" t="s">
        <v>2560</v>
      </c>
      <c r="F2600" t="s">
        <v>9</v>
      </c>
    </row>
    <row r="2601" spans="1:6" x14ac:dyDescent="0.3">
      <c r="A2601" t="s">
        <v>642</v>
      </c>
      <c r="B2601" t="s">
        <v>154</v>
      </c>
      <c r="C2601" t="str">
        <f>HYPERLINK("http://service.sap.com/sap/support/notes/1965225","1965225")</f>
        <v>1965225</v>
      </c>
      <c r="D2601">
        <v>7</v>
      </c>
      <c r="E2601" t="s">
        <v>2561</v>
      </c>
      <c r="F2601" t="s">
        <v>9</v>
      </c>
    </row>
    <row r="2602" spans="1:6" x14ac:dyDescent="0.3">
      <c r="A2602" t="s">
        <v>642</v>
      </c>
      <c r="B2602" t="s">
        <v>154</v>
      </c>
      <c r="C2602" t="str">
        <f>HYPERLINK("http://service.sap.com/sap/support/notes/1971089","1971089")</f>
        <v>1971089</v>
      </c>
      <c r="D2602">
        <v>4</v>
      </c>
      <c r="E2602" t="s">
        <v>2562</v>
      </c>
      <c r="F2602" t="s">
        <v>9</v>
      </c>
    </row>
    <row r="2603" spans="1:6" x14ac:dyDescent="0.3">
      <c r="A2603" t="s">
        <v>642</v>
      </c>
      <c r="B2603" t="s">
        <v>154</v>
      </c>
      <c r="C2603" t="str">
        <f>HYPERLINK("http://service.sap.com/sap/support/notes/1972346","1972346")</f>
        <v>1972346</v>
      </c>
      <c r="D2603">
        <v>6</v>
      </c>
      <c r="E2603" t="s">
        <v>2563</v>
      </c>
      <c r="F2603" t="s">
        <v>9</v>
      </c>
    </row>
    <row r="2604" spans="1:6" x14ac:dyDescent="0.3">
      <c r="A2604" t="s">
        <v>642</v>
      </c>
      <c r="B2604" t="s">
        <v>154</v>
      </c>
      <c r="C2604" t="str">
        <f>HYPERLINK("http://service.sap.com/sap/support/notes/1974653","1974653")</f>
        <v>1974653</v>
      </c>
      <c r="D2604">
        <v>12</v>
      </c>
      <c r="E2604" t="s">
        <v>2564</v>
      </c>
      <c r="F2604" t="s">
        <v>9</v>
      </c>
    </row>
    <row r="2605" spans="1:6" x14ac:dyDescent="0.3">
      <c r="A2605" t="s">
        <v>642</v>
      </c>
      <c r="B2605" t="s">
        <v>154</v>
      </c>
      <c r="C2605" t="str">
        <f>HYPERLINK("http://service.sap.com/sap/support/notes/1975813","1975813")</f>
        <v>1975813</v>
      </c>
      <c r="D2605">
        <v>2</v>
      </c>
      <c r="E2605" t="s">
        <v>2565</v>
      </c>
      <c r="F2605" t="s">
        <v>9</v>
      </c>
    </row>
    <row r="2606" spans="1:6" x14ac:dyDescent="0.3">
      <c r="A2606" t="s">
        <v>642</v>
      </c>
      <c r="B2606" t="s">
        <v>154</v>
      </c>
      <c r="C2606" t="str">
        <f>HYPERLINK("http://service.sap.com/sap/support/notes/1980178","1980178")</f>
        <v>1980178</v>
      </c>
      <c r="D2606">
        <v>2</v>
      </c>
      <c r="E2606" t="s">
        <v>2566</v>
      </c>
      <c r="F2606" t="s">
        <v>9</v>
      </c>
    </row>
    <row r="2607" spans="1:6" x14ac:dyDescent="0.3">
      <c r="A2607" t="s">
        <v>642</v>
      </c>
      <c r="B2607" t="s">
        <v>154</v>
      </c>
      <c r="C2607" t="str">
        <f>HYPERLINK("http://service.sap.com/sap/support/notes/1981875","1981875")</f>
        <v>1981875</v>
      </c>
      <c r="D2607">
        <v>4</v>
      </c>
      <c r="E2607" t="s">
        <v>2567</v>
      </c>
      <c r="F2607" t="s">
        <v>9</v>
      </c>
    </row>
    <row r="2608" spans="1:6" x14ac:dyDescent="0.3">
      <c r="A2608" t="s">
        <v>642</v>
      </c>
      <c r="B2608" t="s">
        <v>154</v>
      </c>
      <c r="C2608" t="str">
        <f>HYPERLINK("http://service.sap.com/sap/support/notes/1017716","1017716")</f>
        <v>1017716</v>
      </c>
      <c r="D2608">
        <v>1</v>
      </c>
      <c r="E2608" t="s">
        <v>643</v>
      </c>
      <c r="F2608" t="s">
        <v>9</v>
      </c>
    </row>
    <row r="2609" spans="1:6" x14ac:dyDescent="0.3">
      <c r="A2609" t="s">
        <v>642</v>
      </c>
      <c r="B2609" t="s">
        <v>154</v>
      </c>
      <c r="C2609" t="str">
        <f>HYPERLINK("http://service.sap.com/sap/support/notes/1904742","1904742")</f>
        <v>1904742</v>
      </c>
      <c r="D2609">
        <v>3</v>
      </c>
      <c r="E2609" t="s">
        <v>3004</v>
      </c>
      <c r="F2609" t="s">
        <v>9</v>
      </c>
    </row>
    <row r="2610" spans="1:6" x14ac:dyDescent="0.3">
      <c r="A2610" t="s">
        <v>642</v>
      </c>
      <c r="B2610" t="s">
        <v>154</v>
      </c>
      <c r="C2610" t="str">
        <f>HYPERLINK("http://service.sap.com/sap/support/notes/1958049","1958049")</f>
        <v>1958049</v>
      </c>
      <c r="D2610">
        <v>6</v>
      </c>
      <c r="E2610" t="s">
        <v>3005</v>
      </c>
      <c r="F2610" t="s">
        <v>9</v>
      </c>
    </row>
    <row r="2611" spans="1:6" x14ac:dyDescent="0.3">
      <c r="A2611" t="s">
        <v>642</v>
      </c>
      <c r="B2611" t="s">
        <v>154</v>
      </c>
      <c r="C2611" t="str">
        <f>HYPERLINK("http://service.sap.com/sap/support/notes/1959446","1959446")</f>
        <v>1959446</v>
      </c>
      <c r="D2611">
        <v>8</v>
      </c>
      <c r="E2611" t="s">
        <v>3006</v>
      </c>
      <c r="F2611" t="s">
        <v>9</v>
      </c>
    </row>
    <row r="2612" spans="1:6" x14ac:dyDescent="0.3">
      <c r="A2612" t="s">
        <v>642</v>
      </c>
      <c r="B2612" t="s">
        <v>154</v>
      </c>
      <c r="C2612" t="str">
        <f>HYPERLINK("http://service.sap.com/sap/support/notes/1959837","1959837")</f>
        <v>1959837</v>
      </c>
      <c r="D2612">
        <v>7</v>
      </c>
      <c r="E2612" t="s">
        <v>3007</v>
      </c>
      <c r="F2612" t="s">
        <v>28</v>
      </c>
    </row>
    <row r="2613" spans="1:6" x14ac:dyDescent="0.3">
      <c r="A2613" t="s">
        <v>642</v>
      </c>
      <c r="B2613" t="s">
        <v>154</v>
      </c>
      <c r="C2613" t="str">
        <f>HYPERLINK("http://service.sap.com/sap/support/notes/1960110","1960110")</f>
        <v>1960110</v>
      </c>
      <c r="D2613">
        <v>7</v>
      </c>
      <c r="E2613" t="s">
        <v>3008</v>
      </c>
      <c r="F2613" t="s">
        <v>9</v>
      </c>
    </row>
    <row r="2614" spans="1:6" x14ac:dyDescent="0.3">
      <c r="A2614" t="s">
        <v>642</v>
      </c>
      <c r="B2614" t="s">
        <v>154</v>
      </c>
      <c r="C2614" t="str">
        <f>HYPERLINK("http://service.sap.com/sap/support/notes/1961039","1961039")</f>
        <v>1961039</v>
      </c>
      <c r="D2614">
        <v>6</v>
      </c>
      <c r="E2614" t="s">
        <v>3009</v>
      </c>
      <c r="F2614" t="s">
        <v>16</v>
      </c>
    </row>
    <row r="2615" spans="1:6" x14ac:dyDescent="0.3">
      <c r="A2615" t="s">
        <v>642</v>
      </c>
      <c r="B2615" t="s">
        <v>154</v>
      </c>
      <c r="C2615" t="str">
        <f>HYPERLINK("http://service.sap.com/sap/support/notes/1961366","1961366")</f>
        <v>1961366</v>
      </c>
      <c r="D2615">
        <v>8</v>
      </c>
      <c r="E2615" t="s">
        <v>3010</v>
      </c>
      <c r="F2615" t="s">
        <v>9</v>
      </c>
    </row>
    <row r="2616" spans="1:6" x14ac:dyDescent="0.3">
      <c r="A2616" t="s">
        <v>642</v>
      </c>
      <c r="B2616" t="s">
        <v>154</v>
      </c>
      <c r="C2616" t="str">
        <f>HYPERLINK("http://service.sap.com/sap/support/notes/1961761","1961761")</f>
        <v>1961761</v>
      </c>
      <c r="D2616">
        <v>3</v>
      </c>
      <c r="E2616" t="s">
        <v>3011</v>
      </c>
      <c r="F2616" t="s">
        <v>9</v>
      </c>
    </row>
    <row r="2617" spans="1:6" x14ac:dyDescent="0.3">
      <c r="A2617" t="s">
        <v>642</v>
      </c>
      <c r="B2617" t="s">
        <v>154</v>
      </c>
      <c r="C2617" t="str">
        <f>HYPERLINK("http://service.sap.com/sap/support/notes/1965182","1965182")</f>
        <v>1965182</v>
      </c>
      <c r="D2617">
        <v>4</v>
      </c>
      <c r="E2617" t="s">
        <v>3012</v>
      </c>
      <c r="F2617" t="s">
        <v>9</v>
      </c>
    </row>
    <row r="2618" spans="1:6" x14ac:dyDescent="0.3">
      <c r="A2618" t="s">
        <v>642</v>
      </c>
      <c r="B2618" t="s">
        <v>154</v>
      </c>
      <c r="C2618" t="str">
        <f>HYPERLINK("http://service.sap.com/sap/support/notes/1965196","1965196")</f>
        <v>1965196</v>
      </c>
      <c r="D2618">
        <v>6</v>
      </c>
      <c r="E2618" t="s">
        <v>3013</v>
      </c>
      <c r="F2618" t="s">
        <v>9</v>
      </c>
    </row>
    <row r="2619" spans="1:6" x14ac:dyDescent="0.3">
      <c r="A2619" t="s">
        <v>642</v>
      </c>
      <c r="B2619" t="s">
        <v>154</v>
      </c>
      <c r="C2619" t="str">
        <f>HYPERLINK("http://service.sap.com/sap/support/notes/1967339","1967339")</f>
        <v>1967339</v>
      </c>
      <c r="D2619">
        <v>5</v>
      </c>
      <c r="E2619" t="s">
        <v>3014</v>
      </c>
      <c r="F2619" t="s">
        <v>9</v>
      </c>
    </row>
    <row r="2620" spans="1:6" x14ac:dyDescent="0.3">
      <c r="A2620" t="s">
        <v>642</v>
      </c>
      <c r="B2620" t="s">
        <v>154</v>
      </c>
      <c r="C2620" t="str">
        <f>HYPERLINK("http://service.sap.com/sap/support/notes/1969200","1969200")</f>
        <v>1969200</v>
      </c>
      <c r="D2620">
        <v>4</v>
      </c>
      <c r="E2620" t="s">
        <v>3015</v>
      </c>
      <c r="F2620" t="s">
        <v>9</v>
      </c>
    </row>
    <row r="2621" spans="1:6" x14ac:dyDescent="0.3">
      <c r="A2621" t="s">
        <v>642</v>
      </c>
      <c r="B2621" t="s">
        <v>154</v>
      </c>
      <c r="C2621" t="str">
        <f>HYPERLINK("http://service.sap.com/sap/support/notes/1974502","1974502")</f>
        <v>1974502</v>
      </c>
      <c r="D2621">
        <v>2</v>
      </c>
      <c r="E2621" t="s">
        <v>3016</v>
      </c>
      <c r="F2621" t="s">
        <v>9</v>
      </c>
    </row>
    <row r="2622" spans="1:6" x14ac:dyDescent="0.3">
      <c r="A2622" t="s">
        <v>642</v>
      </c>
      <c r="B2622" t="s">
        <v>154</v>
      </c>
      <c r="C2622" t="str">
        <f>HYPERLINK("http://service.sap.com/sap/support/notes/1974666","1974666")</f>
        <v>1974666</v>
      </c>
      <c r="D2622">
        <v>8</v>
      </c>
      <c r="E2622" t="s">
        <v>3017</v>
      </c>
      <c r="F2622" t="s">
        <v>28</v>
      </c>
    </row>
    <row r="2623" spans="1:6" x14ac:dyDescent="0.3">
      <c r="A2623" t="s">
        <v>642</v>
      </c>
      <c r="B2623" t="s">
        <v>154</v>
      </c>
      <c r="C2623" t="str">
        <f>HYPERLINK("http://service.sap.com/sap/support/notes/1980070","1980070")</f>
        <v>1980070</v>
      </c>
      <c r="D2623">
        <v>5</v>
      </c>
      <c r="E2623" t="s">
        <v>3018</v>
      </c>
      <c r="F2623" t="s">
        <v>9</v>
      </c>
    </row>
    <row r="2624" spans="1:6" x14ac:dyDescent="0.3">
      <c r="A2624" t="s">
        <v>642</v>
      </c>
      <c r="B2624" t="s">
        <v>154</v>
      </c>
      <c r="C2624" t="str">
        <f>HYPERLINK("http://service.sap.com/sap/support/notes/1980645","1980645")</f>
        <v>1980645</v>
      </c>
      <c r="D2624">
        <v>2</v>
      </c>
      <c r="E2624" t="s">
        <v>3019</v>
      </c>
      <c r="F2624" t="s">
        <v>9</v>
      </c>
    </row>
    <row r="2625" spans="1:6" x14ac:dyDescent="0.3">
      <c r="A2625" t="s">
        <v>642</v>
      </c>
      <c r="B2625" t="s">
        <v>154</v>
      </c>
      <c r="C2625" t="str">
        <f>HYPERLINK("http://service.sap.com/sap/support/notes/1982047","1982047")</f>
        <v>1982047</v>
      </c>
      <c r="D2625">
        <v>5</v>
      </c>
      <c r="E2625" t="s">
        <v>3020</v>
      </c>
      <c r="F2625" t="s">
        <v>9</v>
      </c>
    </row>
    <row r="2626" spans="1:6" x14ac:dyDescent="0.3">
      <c r="A2626" t="s">
        <v>642</v>
      </c>
      <c r="B2626" t="s">
        <v>154</v>
      </c>
      <c r="C2626" t="str">
        <f>HYPERLINK("http://service.sap.com/sap/support/notes/1984669","1984669")</f>
        <v>1984669</v>
      </c>
      <c r="D2626">
        <v>2</v>
      </c>
      <c r="E2626" t="s">
        <v>3021</v>
      </c>
      <c r="F2626" t="s">
        <v>9</v>
      </c>
    </row>
    <row r="2627" spans="1:6" x14ac:dyDescent="0.3">
      <c r="A2627" t="s">
        <v>642</v>
      </c>
      <c r="B2627" t="s">
        <v>154</v>
      </c>
      <c r="C2627" t="str">
        <f>HYPERLINK("http://service.sap.com/sap/support/notes/1988949","1988949")</f>
        <v>1988949</v>
      </c>
      <c r="D2627">
        <v>2</v>
      </c>
      <c r="E2627" t="s">
        <v>3022</v>
      </c>
      <c r="F2627" t="s">
        <v>9</v>
      </c>
    </row>
    <row r="2628" spans="1:6" x14ac:dyDescent="0.3">
      <c r="A2628" t="s">
        <v>642</v>
      </c>
      <c r="B2628" t="s">
        <v>154</v>
      </c>
      <c r="C2628" t="str">
        <f>HYPERLINK("http://service.sap.com/sap/support/notes/1989083","1989083")</f>
        <v>1989083</v>
      </c>
      <c r="D2628">
        <v>2</v>
      </c>
      <c r="E2628" t="s">
        <v>3023</v>
      </c>
      <c r="F2628" t="s">
        <v>9</v>
      </c>
    </row>
    <row r="2629" spans="1:6" x14ac:dyDescent="0.3">
      <c r="A2629" t="s">
        <v>642</v>
      </c>
      <c r="B2629" t="s">
        <v>154</v>
      </c>
      <c r="C2629" t="str">
        <f>HYPERLINK("http://service.sap.com/sap/support/notes/1989124","1989124")</f>
        <v>1989124</v>
      </c>
      <c r="D2629">
        <v>3</v>
      </c>
      <c r="E2629" t="s">
        <v>3024</v>
      </c>
      <c r="F2629" t="s">
        <v>9</v>
      </c>
    </row>
    <row r="2630" spans="1:6" x14ac:dyDescent="0.3">
      <c r="A2630" t="s">
        <v>642</v>
      </c>
      <c r="B2630" t="s">
        <v>154</v>
      </c>
      <c r="C2630" t="str">
        <f>HYPERLINK("http://service.sap.com/sap/support/notes/1989636","1989636")</f>
        <v>1989636</v>
      </c>
      <c r="D2630">
        <v>2</v>
      </c>
      <c r="E2630" t="s">
        <v>3025</v>
      </c>
      <c r="F2630" t="s">
        <v>9</v>
      </c>
    </row>
    <row r="2631" spans="1:6" x14ac:dyDescent="0.3">
      <c r="A2631" t="s">
        <v>642</v>
      </c>
      <c r="B2631" t="s">
        <v>154</v>
      </c>
      <c r="C2631" t="str">
        <f>HYPERLINK("http://service.sap.com/sap/support/notes/1990296","1990296")</f>
        <v>1990296</v>
      </c>
      <c r="D2631">
        <v>2</v>
      </c>
      <c r="E2631" t="s">
        <v>3026</v>
      </c>
      <c r="F2631" t="s">
        <v>9</v>
      </c>
    </row>
    <row r="2632" spans="1:6" x14ac:dyDescent="0.3">
      <c r="A2632" t="s">
        <v>642</v>
      </c>
      <c r="B2632" t="s">
        <v>154</v>
      </c>
      <c r="C2632" t="str">
        <f>HYPERLINK("http://service.sap.com/sap/support/notes/1991428","1991428")</f>
        <v>1991428</v>
      </c>
      <c r="D2632">
        <v>3</v>
      </c>
      <c r="E2632" t="s">
        <v>3027</v>
      </c>
      <c r="F2632" t="s">
        <v>28</v>
      </c>
    </row>
    <row r="2633" spans="1:6" x14ac:dyDescent="0.3">
      <c r="A2633" t="s">
        <v>642</v>
      </c>
      <c r="B2633" t="s">
        <v>154</v>
      </c>
      <c r="C2633" t="str">
        <f>HYPERLINK("http://service.sap.com/sap/support/notes/1017716","1017716")</f>
        <v>1017716</v>
      </c>
      <c r="D2633">
        <v>1</v>
      </c>
      <c r="E2633" t="s">
        <v>643</v>
      </c>
      <c r="F2633" t="s">
        <v>9</v>
      </c>
    </row>
    <row r="2634" spans="1:6" x14ac:dyDescent="0.3">
      <c r="A2634" t="s">
        <v>642</v>
      </c>
      <c r="B2634" t="s">
        <v>154</v>
      </c>
      <c r="C2634" t="str">
        <f>HYPERLINK("http://service.sap.com/sap/support/notes/1917521","1917521")</f>
        <v>1917521</v>
      </c>
      <c r="D2634">
        <v>4</v>
      </c>
      <c r="E2634" t="s">
        <v>3668</v>
      </c>
      <c r="F2634" t="s">
        <v>9</v>
      </c>
    </row>
    <row r="2635" spans="1:6" x14ac:dyDescent="0.3">
      <c r="A2635" t="s">
        <v>642</v>
      </c>
      <c r="B2635" t="s">
        <v>154</v>
      </c>
      <c r="C2635" t="str">
        <f>HYPERLINK("http://service.sap.com/sap/support/notes/1952270","1952270")</f>
        <v>1952270</v>
      </c>
      <c r="D2635">
        <v>3</v>
      </c>
      <c r="E2635" t="s">
        <v>3669</v>
      </c>
      <c r="F2635" t="s">
        <v>9</v>
      </c>
    </row>
    <row r="2636" spans="1:6" x14ac:dyDescent="0.3">
      <c r="A2636" t="s">
        <v>642</v>
      </c>
      <c r="B2636" t="s">
        <v>154</v>
      </c>
      <c r="C2636" t="str">
        <f>HYPERLINK("http://service.sap.com/sap/support/notes/1962626","1962626")</f>
        <v>1962626</v>
      </c>
      <c r="D2636">
        <v>12</v>
      </c>
      <c r="E2636" t="s">
        <v>3670</v>
      </c>
      <c r="F2636" t="s">
        <v>9</v>
      </c>
    </row>
    <row r="2637" spans="1:6" x14ac:dyDescent="0.3">
      <c r="A2637" t="s">
        <v>642</v>
      </c>
      <c r="B2637" t="s">
        <v>154</v>
      </c>
      <c r="C2637" t="str">
        <f>HYPERLINK("http://service.sap.com/sap/support/notes/1966451","1966451")</f>
        <v>1966451</v>
      </c>
      <c r="D2637">
        <v>15</v>
      </c>
      <c r="E2637" t="s">
        <v>3671</v>
      </c>
      <c r="F2637" t="s">
        <v>9</v>
      </c>
    </row>
    <row r="2638" spans="1:6" x14ac:dyDescent="0.3">
      <c r="A2638" t="s">
        <v>642</v>
      </c>
      <c r="B2638" t="s">
        <v>154</v>
      </c>
      <c r="C2638" t="str">
        <f>HYPERLINK("http://service.sap.com/sap/support/notes/1974666","1974666")</f>
        <v>1974666</v>
      </c>
      <c r="D2638">
        <v>8</v>
      </c>
      <c r="E2638" t="s">
        <v>3017</v>
      </c>
      <c r="F2638" t="s">
        <v>28</v>
      </c>
    </row>
    <row r="2639" spans="1:6" x14ac:dyDescent="0.3">
      <c r="A2639" t="s">
        <v>642</v>
      </c>
      <c r="B2639" t="s">
        <v>154</v>
      </c>
      <c r="C2639" t="str">
        <f>HYPERLINK("http://service.sap.com/sap/support/notes/1977763","1977763")</f>
        <v>1977763</v>
      </c>
      <c r="D2639">
        <v>5</v>
      </c>
      <c r="E2639" t="s">
        <v>3672</v>
      </c>
      <c r="F2639" t="s">
        <v>9</v>
      </c>
    </row>
    <row r="2640" spans="1:6" x14ac:dyDescent="0.3">
      <c r="A2640" t="s">
        <v>642</v>
      </c>
      <c r="B2640" t="s">
        <v>154</v>
      </c>
      <c r="C2640" t="str">
        <f>HYPERLINK("http://service.sap.com/sap/support/notes/1980550","1980550")</f>
        <v>1980550</v>
      </c>
      <c r="D2640">
        <v>4</v>
      </c>
      <c r="E2640" t="s">
        <v>3673</v>
      </c>
      <c r="F2640" t="s">
        <v>9</v>
      </c>
    </row>
    <row r="2641" spans="1:6" x14ac:dyDescent="0.3">
      <c r="A2641" t="s">
        <v>642</v>
      </c>
      <c r="B2641" t="s">
        <v>154</v>
      </c>
      <c r="C2641" t="str">
        <f>HYPERLINK("http://service.sap.com/sap/support/notes/1982417","1982417")</f>
        <v>1982417</v>
      </c>
      <c r="D2641">
        <v>6</v>
      </c>
      <c r="E2641" t="s">
        <v>3674</v>
      </c>
      <c r="F2641" t="s">
        <v>9</v>
      </c>
    </row>
    <row r="2642" spans="1:6" x14ac:dyDescent="0.3">
      <c r="A2642" t="s">
        <v>642</v>
      </c>
      <c r="B2642" t="s">
        <v>154</v>
      </c>
      <c r="C2642" t="str">
        <f>HYPERLINK("http://service.sap.com/sap/support/notes/1988621","1988621")</f>
        <v>1988621</v>
      </c>
      <c r="D2642">
        <v>2</v>
      </c>
      <c r="E2642" t="s">
        <v>3675</v>
      </c>
      <c r="F2642" t="s">
        <v>9</v>
      </c>
    </row>
    <row r="2643" spans="1:6" x14ac:dyDescent="0.3">
      <c r="A2643" t="s">
        <v>642</v>
      </c>
      <c r="B2643" t="s">
        <v>154</v>
      </c>
      <c r="C2643" t="str">
        <f>HYPERLINK("http://service.sap.com/sap/support/notes/1989507","1989507")</f>
        <v>1989507</v>
      </c>
      <c r="D2643">
        <v>6</v>
      </c>
      <c r="E2643" t="s">
        <v>3676</v>
      </c>
      <c r="F2643" t="s">
        <v>9</v>
      </c>
    </row>
    <row r="2644" spans="1:6" x14ac:dyDescent="0.3">
      <c r="A2644" t="s">
        <v>642</v>
      </c>
      <c r="B2644" t="s">
        <v>154</v>
      </c>
      <c r="C2644" t="str">
        <f>HYPERLINK("http://service.sap.com/sap/support/notes/1990863","1990863")</f>
        <v>1990863</v>
      </c>
      <c r="D2644">
        <v>4</v>
      </c>
      <c r="E2644" t="s">
        <v>3677</v>
      </c>
      <c r="F2644" t="s">
        <v>9</v>
      </c>
    </row>
    <row r="2645" spans="1:6" x14ac:dyDescent="0.3">
      <c r="A2645" t="s">
        <v>642</v>
      </c>
      <c r="B2645" t="s">
        <v>154</v>
      </c>
      <c r="C2645" t="str">
        <f>HYPERLINK("http://service.sap.com/sap/support/notes/1991692","1991692")</f>
        <v>1991692</v>
      </c>
      <c r="D2645">
        <v>2</v>
      </c>
      <c r="E2645" t="s">
        <v>3678</v>
      </c>
      <c r="F2645" t="s">
        <v>9</v>
      </c>
    </row>
    <row r="2646" spans="1:6" x14ac:dyDescent="0.3">
      <c r="A2646" t="s">
        <v>642</v>
      </c>
      <c r="B2646" t="s">
        <v>154</v>
      </c>
      <c r="C2646" t="str">
        <f>HYPERLINK("http://service.sap.com/sap/support/notes/1991722","1991722")</f>
        <v>1991722</v>
      </c>
      <c r="D2646">
        <v>5</v>
      </c>
      <c r="E2646" t="s">
        <v>3679</v>
      </c>
      <c r="F2646" t="s">
        <v>9</v>
      </c>
    </row>
    <row r="2647" spans="1:6" x14ac:dyDescent="0.3">
      <c r="A2647" t="s">
        <v>642</v>
      </c>
      <c r="B2647" t="s">
        <v>154</v>
      </c>
      <c r="C2647" t="str">
        <f>HYPERLINK("http://service.sap.com/sap/support/notes/1992629","1992629")</f>
        <v>1992629</v>
      </c>
      <c r="D2647">
        <v>12</v>
      </c>
      <c r="E2647" t="s">
        <v>3680</v>
      </c>
      <c r="F2647" t="s">
        <v>9</v>
      </c>
    </row>
    <row r="2648" spans="1:6" x14ac:dyDescent="0.3">
      <c r="A2648" t="s">
        <v>642</v>
      </c>
      <c r="B2648" t="s">
        <v>154</v>
      </c>
      <c r="C2648" t="str">
        <f>HYPERLINK("http://service.sap.com/sap/support/notes/1993954","1993954")</f>
        <v>1993954</v>
      </c>
      <c r="D2648">
        <v>3</v>
      </c>
      <c r="E2648" t="s">
        <v>3681</v>
      </c>
      <c r="F2648" t="s">
        <v>9</v>
      </c>
    </row>
    <row r="2649" spans="1:6" x14ac:dyDescent="0.3">
      <c r="A2649" t="s">
        <v>642</v>
      </c>
      <c r="B2649" t="s">
        <v>154</v>
      </c>
      <c r="C2649" t="str">
        <f>HYPERLINK("http://service.sap.com/sap/support/notes/1995372","1995372")</f>
        <v>1995372</v>
      </c>
      <c r="D2649">
        <v>3</v>
      </c>
      <c r="E2649" t="s">
        <v>3682</v>
      </c>
      <c r="F2649" t="s">
        <v>9</v>
      </c>
    </row>
    <row r="2650" spans="1:6" x14ac:dyDescent="0.3">
      <c r="A2650" t="s">
        <v>642</v>
      </c>
      <c r="B2650" t="s">
        <v>154</v>
      </c>
      <c r="C2650" t="str">
        <f>HYPERLINK("http://service.sap.com/sap/support/notes/1995451","1995451")</f>
        <v>1995451</v>
      </c>
      <c r="D2650">
        <v>3</v>
      </c>
      <c r="E2650" t="s">
        <v>3683</v>
      </c>
      <c r="F2650" t="s">
        <v>9</v>
      </c>
    </row>
    <row r="2651" spans="1:6" x14ac:dyDescent="0.3">
      <c r="A2651" t="s">
        <v>642</v>
      </c>
      <c r="B2651" t="s">
        <v>154</v>
      </c>
      <c r="C2651" t="str">
        <f>HYPERLINK("http://service.sap.com/sap/support/notes/1996012","1996012")</f>
        <v>1996012</v>
      </c>
      <c r="D2651">
        <v>3</v>
      </c>
      <c r="E2651" t="s">
        <v>3684</v>
      </c>
      <c r="F2651" t="s">
        <v>9</v>
      </c>
    </row>
    <row r="2652" spans="1:6" x14ac:dyDescent="0.3">
      <c r="A2652" t="s">
        <v>642</v>
      </c>
      <c r="B2652" t="s">
        <v>154</v>
      </c>
      <c r="C2652" t="str">
        <f>HYPERLINK("http://service.sap.com/sap/support/notes/1996713","1996713")</f>
        <v>1996713</v>
      </c>
      <c r="D2652">
        <v>5</v>
      </c>
      <c r="E2652" t="s">
        <v>3685</v>
      </c>
      <c r="F2652" t="s">
        <v>9</v>
      </c>
    </row>
    <row r="2653" spans="1:6" x14ac:dyDescent="0.3">
      <c r="A2653" t="s">
        <v>642</v>
      </c>
      <c r="B2653" t="s">
        <v>154</v>
      </c>
      <c r="C2653" t="str">
        <f>HYPERLINK("http://service.sap.com/sap/support/notes/1998565","1998565")</f>
        <v>1998565</v>
      </c>
      <c r="D2653">
        <v>2</v>
      </c>
      <c r="E2653" t="s">
        <v>3686</v>
      </c>
      <c r="F2653" t="s">
        <v>9</v>
      </c>
    </row>
    <row r="2654" spans="1:6" x14ac:dyDescent="0.3">
      <c r="A2654" t="s">
        <v>642</v>
      </c>
      <c r="B2654" t="s">
        <v>154</v>
      </c>
      <c r="C2654" t="str">
        <f>HYPERLINK("http://service.sap.com/sap/support/notes/2004719","2004719")</f>
        <v>2004719</v>
      </c>
      <c r="D2654">
        <v>2</v>
      </c>
      <c r="E2654" t="s">
        <v>3687</v>
      </c>
      <c r="F2654" t="s">
        <v>9</v>
      </c>
    </row>
    <row r="2655" spans="1:6" x14ac:dyDescent="0.3">
      <c r="A2655" t="s">
        <v>642</v>
      </c>
      <c r="B2655" t="s">
        <v>154</v>
      </c>
      <c r="C2655" t="str">
        <f>HYPERLINK("http://service.sap.com/sap/support/notes/2006082","2006082")</f>
        <v>2006082</v>
      </c>
      <c r="D2655">
        <v>3</v>
      </c>
      <c r="E2655" t="s">
        <v>3688</v>
      </c>
      <c r="F2655" t="s">
        <v>9</v>
      </c>
    </row>
    <row r="2656" spans="1:6" x14ac:dyDescent="0.3">
      <c r="A2656" t="s">
        <v>642</v>
      </c>
      <c r="B2656" t="s">
        <v>154</v>
      </c>
      <c r="C2656" t="str">
        <f>HYPERLINK("http://service.sap.com/sap/support/notes/2007050","2007050")</f>
        <v>2007050</v>
      </c>
      <c r="D2656">
        <v>1</v>
      </c>
      <c r="E2656" t="s">
        <v>3689</v>
      </c>
      <c r="F2656" t="s">
        <v>9</v>
      </c>
    </row>
    <row r="2657" spans="1:6" x14ac:dyDescent="0.3">
      <c r="A2657" t="s">
        <v>642</v>
      </c>
      <c r="B2657" t="s">
        <v>154</v>
      </c>
      <c r="C2657" t="str">
        <f>HYPERLINK("http://service.sap.com/sap/support/notes/2008251","2008251")</f>
        <v>2008251</v>
      </c>
      <c r="D2657">
        <v>3</v>
      </c>
      <c r="E2657" t="s">
        <v>3690</v>
      </c>
      <c r="F2657" t="s">
        <v>16</v>
      </c>
    </row>
    <row r="2658" spans="1:6" x14ac:dyDescent="0.3">
      <c r="A2658" t="s">
        <v>642</v>
      </c>
      <c r="B2658" t="s">
        <v>154</v>
      </c>
      <c r="C2658" t="str">
        <f>HYPERLINK("http://service.sap.com/sap/support/notes/1879406","1879406")</f>
        <v>1879406</v>
      </c>
      <c r="D2658">
        <v>4</v>
      </c>
      <c r="E2658" t="s">
        <v>4176</v>
      </c>
      <c r="F2658" t="s">
        <v>9</v>
      </c>
    </row>
    <row r="2659" spans="1:6" x14ac:dyDescent="0.3">
      <c r="A2659" t="s">
        <v>642</v>
      </c>
      <c r="B2659" t="s">
        <v>154</v>
      </c>
      <c r="C2659" t="str">
        <f>HYPERLINK("http://service.sap.com/sap/support/notes/1950182","1950182")</f>
        <v>1950182</v>
      </c>
      <c r="D2659">
        <v>5</v>
      </c>
      <c r="E2659" t="s">
        <v>4177</v>
      </c>
      <c r="F2659" t="s">
        <v>9</v>
      </c>
    </row>
    <row r="2660" spans="1:6" x14ac:dyDescent="0.3">
      <c r="A2660" t="s">
        <v>642</v>
      </c>
      <c r="B2660" t="s">
        <v>154</v>
      </c>
      <c r="C2660" t="str">
        <f>HYPERLINK("http://service.sap.com/sap/support/notes/1982422","1982422")</f>
        <v>1982422</v>
      </c>
      <c r="D2660">
        <v>4</v>
      </c>
      <c r="E2660" t="s">
        <v>4178</v>
      </c>
      <c r="F2660" t="s">
        <v>9</v>
      </c>
    </row>
    <row r="2661" spans="1:6" x14ac:dyDescent="0.3">
      <c r="A2661" t="s">
        <v>642</v>
      </c>
      <c r="B2661" t="s">
        <v>154</v>
      </c>
      <c r="C2661" t="str">
        <f>HYPERLINK("http://service.sap.com/sap/support/notes/1982438","1982438")</f>
        <v>1982438</v>
      </c>
      <c r="D2661">
        <v>5</v>
      </c>
      <c r="E2661" t="s">
        <v>4179</v>
      </c>
      <c r="F2661" t="s">
        <v>9</v>
      </c>
    </row>
    <row r="2662" spans="1:6" x14ac:dyDescent="0.3">
      <c r="A2662" t="s">
        <v>642</v>
      </c>
      <c r="B2662" t="s">
        <v>154</v>
      </c>
      <c r="C2662" t="str">
        <f>HYPERLINK("http://service.sap.com/sap/support/notes/1989702","1989702")</f>
        <v>1989702</v>
      </c>
      <c r="D2662">
        <v>3</v>
      </c>
      <c r="E2662" t="s">
        <v>4180</v>
      </c>
      <c r="F2662" t="s">
        <v>9</v>
      </c>
    </row>
    <row r="2663" spans="1:6" x14ac:dyDescent="0.3">
      <c r="A2663" t="s">
        <v>642</v>
      </c>
      <c r="B2663" t="s">
        <v>154</v>
      </c>
      <c r="C2663" t="str">
        <f>HYPERLINK("http://service.sap.com/sap/support/notes/1991101","1991101")</f>
        <v>1991101</v>
      </c>
      <c r="D2663">
        <v>4</v>
      </c>
      <c r="E2663" t="s">
        <v>4181</v>
      </c>
      <c r="F2663" t="s">
        <v>9</v>
      </c>
    </row>
    <row r="2664" spans="1:6" x14ac:dyDescent="0.3">
      <c r="A2664" t="s">
        <v>642</v>
      </c>
      <c r="B2664" t="s">
        <v>154</v>
      </c>
      <c r="C2664" t="str">
        <f>HYPERLINK("http://service.sap.com/sap/support/notes/1992808","1992808")</f>
        <v>1992808</v>
      </c>
      <c r="D2664">
        <v>5</v>
      </c>
      <c r="E2664" t="s">
        <v>4182</v>
      </c>
      <c r="F2664" t="s">
        <v>16</v>
      </c>
    </row>
    <row r="2665" spans="1:6" x14ac:dyDescent="0.3">
      <c r="A2665" t="s">
        <v>642</v>
      </c>
      <c r="B2665" t="s">
        <v>154</v>
      </c>
      <c r="C2665" t="str">
        <f>HYPERLINK("http://service.sap.com/sap/support/notes/1995373","1995373")</f>
        <v>1995373</v>
      </c>
      <c r="D2665">
        <v>8</v>
      </c>
      <c r="E2665" t="s">
        <v>4183</v>
      </c>
      <c r="F2665" t="s">
        <v>9</v>
      </c>
    </row>
    <row r="2666" spans="1:6" x14ac:dyDescent="0.3">
      <c r="A2666" t="s">
        <v>642</v>
      </c>
      <c r="B2666" t="s">
        <v>154</v>
      </c>
      <c r="C2666" t="str">
        <f>HYPERLINK("http://service.sap.com/sap/support/notes/1996003","1996003")</f>
        <v>1996003</v>
      </c>
      <c r="D2666">
        <v>4</v>
      </c>
      <c r="E2666" t="s">
        <v>4184</v>
      </c>
      <c r="F2666" t="s">
        <v>9</v>
      </c>
    </row>
    <row r="2667" spans="1:6" x14ac:dyDescent="0.3">
      <c r="A2667" t="s">
        <v>642</v>
      </c>
      <c r="B2667" t="s">
        <v>154</v>
      </c>
      <c r="C2667" t="str">
        <f>HYPERLINK("http://service.sap.com/sap/support/notes/2001621","2001621")</f>
        <v>2001621</v>
      </c>
      <c r="D2667">
        <v>20</v>
      </c>
      <c r="E2667" t="s">
        <v>4185</v>
      </c>
      <c r="F2667" t="s">
        <v>9</v>
      </c>
    </row>
    <row r="2668" spans="1:6" x14ac:dyDescent="0.3">
      <c r="A2668" t="s">
        <v>642</v>
      </c>
      <c r="B2668" t="s">
        <v>154</v>
      </c>
      <c r="C2668" t="str">
        <f>HYPERLINK("http://service.sap.com/sap/support/notes/2001722","2001722")</f>
        <v>2001722</v>
      </c>
      <c r="D2668">
        <v>8</v>
      </c>
      <c r="E2668" t="s">
        <v>4186</v>
      </c>
      <c r="F2668" t="s">
        <v>9</v>
      </c>
    </row>
    <row r="2669" spans="1:6" x14ac:dyDescent="0.3">
      <c r="A2669" t="s">
        <v>642</v>
      </c>
      <c r="B2669" t="s">
        <v>154</v>
      </c>
      <c r="C2669" t="str">
        <f>HYPERLINK("http://service.sap.com/sap/support/notes/2002258","2002258")</f>
        <v>2002258</v>
      </c>
      <c r="D2669">
        <v>3</v>
      </c>
      <c r="E2669" t="s">
        <v>4187</v>
      </c>
      <c r="F2669" t="s">
        <v>9</v>
      </c>
    </row>
    <row r="2670" spans="1:6" x14ac:dyDescent="0.3">
      <c r="A2670" t="s">
        <v>642</v>
      </c>
      <c r="B2670" t="s">
        <v>154</v>
      </c>
      <c r="C2670" t="str">
        <f>HYPERLINK("http://service.sap.com/sap/support/notes/2002922","2002922")</f>
        <v>2002922</v>
      </c>
      <c r="D2670">
        <v>3</v>
      </c>
      <c r="E2670" t="s">
        <v>4188</v>
      </c>
      <c r="F2670" t="s">
        <v>9</v>
      </c>
    </row>
    <row r="2671" spans="1:6" x14ac:dyDescent="0.3">
      <c r="A2671" t="s">
        <v>642</v>
      </c>
      <c r="B2671" t="s">
        <v>154</v>
      </c>
      <c r="C2671" t="str">
        <f>HYPERLINK("http://service.sap.com/sap/support/notes/2004811","2004811")</f>
        <v>2004811</v>
      </c>
      <c r="D2671">
        <v>10</v>
      </c>
      <c r="E2671" t="s">
        <v>4189</v>
      </c>
      <c r="F2671" t="s">
        <v>9</v>
      </c>
    </row>
    <row r="2672" spans="1:6" x14ac:dyDescent="0.3">
      <c r="A2672" t="s">
        <v>642</v>
      </c>
      <c r="B2672" t="s">
        <v>154</v>
      </c>
      <c r="C2672" t="str">
        <f>HYPERLINK("http://service.sap.com/sap/support/notes/2006008","2006008")</f>
        <v>2006008</v>
      </c>
      <c r="D2672">
        <v>5</v>
      </c>
      <c r="E2672" t="s">
        <v>4190</v>
      </c>
      <c r="F2672" t="s">
        <v>9</v>
      </c>
    </row>
    <row r="2673" spans="1:6" x14ac:dyDescent="0.3">
      <c r="A2673" t="s">
        <v>642</v>
      </c>
      <c r="B2673" t="s">
        <v>154</v>
      </c>
      <c r="C2673" t="str">
        <f>HYPERLINK("http://service.sap.com/sap/support/notes/2008169","2008169")</f>
        <v>2008169</v>
      </c>
      <c r="D2673">
        <v>2</v>
      </c>
      <c r="E2673" t="s">
        <v>4191</v>
      </c>
      <c r="F2673" t="s">
        <v>9</v>
      </c>
    </row>
    <row r="2674" spans="1:6" x14ac:dyDescent="0.3">
      <c r="A2674" t="s">
        <v>642</v>
      </c>
      <c r="B2674" t="s">
        <v>154</v>
      </c>
      <c r="C2674" t="str">
        <f>HYPERLINK("http://service.sap.com/sap/support/notes/2008272","2008272")</f>
        <v>2008272</v>
      </c>
      <c r="D2674">
        <v>3</v>
      </c>
      <c r="E2674" t="s">
        <v>4192</v>
      </c>
      <c r="F2674" t="s">
        <v>9</v>
      </c>
    </row>
    <row r="2675" spans="1:6" x14ac:dyDescent="0.3">
      <c r="A2675" t="s">
        <v>642</v>
      </c>
      <c r="B2675" t="s">
        <v>154</v>
      </c>
      <c r="C2675" t="str">
        <f>HYPERLINK("http://service.sap.com/sap/support/notes/2009522","2009522")</f>
        <v>2009522</v>
      </c>
      <c r="D2675">
        <v>3</v>
      </c>
      <c r="E2675" t="s">
        <v>4193</v>
      </c>
      <c r="F2675" t="s">
        <v>16</v>
      </c>
    </row>
    <row r="2676" spans="1:6" x14ac:dyDescent="0.3">
      <c r="A2676" t="s">
        <v>642</v>
      </c>
      <c r="B2676" t="s">
        <v>154</v>
      </c>
      <c r="C2676" t="str">
        <f>HYPERLINK("http://service.sap.com/sap/support/notes/2011185","2011185")</f>
        <v>2011185</v>
      </c>
      <c r="D2676">
        <v>5</v>
      </c>
      <c r="E2676" t="s">
        <v>4194</v>
      </c>
      <c r="F2676" t="s">
        <v>28</v>
      </c>
    </row>
    <row r="2677" spans="1:6" x14ac:dyDescent="0.3">
      <c r="A2677" t="s">
        <v>642</v>
      </c>
      <c r="B2677" t="s">
        <v>154</v>
      </c>
      <c r="C2677" t="str">
        <f>HYPERLINK("http://service.sap.com/sap/support/notes/2012643","2012643")</f>
        <v>2012643</v>
      </c>
      <c r="D2677">
        <v>2</v>
      </c>
      <c r="E2677" t="s">
        <v>4195</v>
      </c>
      <c r="F2677" t="s">
        <v>9</v>
      </c>
    </row>
    <row r="2678" spans="1:6" x14ac:dyDescent="0.3">
      <c r="A2678" t="s">
        <v>642</v>
      </c>
      <c r="B2678" t="s">
        <v>154</v>
      </c>
      <c r="C2678" t="str">
        <f>HYPERLINK("http://service.sap.com/sap/support/notes/2016668","2016668")</f>
        <v>2016668</v>
      </c>
      <c r="D2678">
        <v>2</v>
      </c>
      <c r="E2678" t="s">
        <v>4196</v>
      </c>
      <c r="F2678" t="s">
        <v>9</v>
      </c>
    </row>
    <row r="2679" spans="1:6" x14ac:dyDescent="0.3">
      <c r="A2679" t="s">
        <v>642</v>
      </c>
      <c r="B2679" t="s">
        <v>154</v>
      </c>
      <c r="C2679" t="str">
        <f>HYPERLINK("http://service.sap.com/sap/support/notes/2019922","2019922")</f>
        <v>2019922</v>
      </c>
      <c r="D2679">
        <v>4</v>
      </c>
      <c r="E2679" t="s">
        <v>4197</v>
      </c>
      <c r="F2679" t="s">
        <v>9</v>
      </c>
    </row>
    <row r="2680" spans="1:6" x14ac:dyDescent="0.3">
      <c r="A2680" t="s">
        <v>642</v>
      </c>
      <c r="B2680" t="s">
        <v>154</v>
      </c>
      <c r="C2680" t="str">
        <f>HYPERLINK("http://service.sap.com/sap/support/notes/1990267","1990267")</f>
        <v>1990267</v>
      </c>
      <c r="D2680">
        <v>4</v>
      </c>
      <c r="E2680" t="s">
        <v>4520</v>
      </c>
      <c r="F2680" t="s">
        <v>9</v>
      </c>
    </row>
    <row r="2681" spans="1:6" x14ac:dyDescent="0.3">
      <c r="A2681" t="s">
        <v>642</v>
      </c>
      <c r="B2681" t="s">
        <v>154</v>
      </c>
      <c r="C2681" t="str">
        <f>HYPERLINK("http://service.sap.com/sap/support/notes/2005469","2005469")</f>
        <v>2005469</v>
      </c>
      <c r="D2681">
        <v>3</v>
      </c>
      <c r="E2681" t="s">
        <v>4521</v>
      </c>
      <c r="F2681" t="s">
        <v>9</v>
      </c>
    </row>
    <row r="2682" spans="1:6" x14ac:dyDescent="0.3">
      <c r="A2682" t="s">
        <v>642</v>
      </c>
      <c r="B2682" t="s">
        <v>154</v>
      </c>
      <c r="C2682" t="str">
        <f>HYPERLINK("http://service.sap.com/sap/support/notes/2006606","2006606")</f>
        <v>2006606</v>
      </c>
      <c r="D2682">
        <v>2</v>
      </c>
      <c r="E2682" t="s">
        <v>4522</v>
      </c>
      <c r="F2682" t="s">
        <v>9</v>
      </c>
    </row>
    <row r="2683" spans="1:6" x14ac:dyDescent="0.3">
      <c r="A2683" t="s">
        <v>642</v>
      </c>
      <c r="B2683" t="s">
        <v>154</v>
      </c>
      <c r="C2683" t="str">
        <f>HYPERLINK("http://service.sap.com/sap/support/notes/2008786","2008786")</f>
        <v>2008786</v>
      </c>
      <c r="D2683">
        <v>2</v>
      </c>
      <c r="E2683" t="s">
        <v>4523</v>
      </c>
      <c r="F2683" t="s">
        <v>9</v>
      </c>
    </row>
    <row r="2684" spans="1:6" x14ac:dyDescent="0.3">
      <c r="A2684" t="s">
        <v>642</v>
      </c>
      <c r="B2684" t="s">
        <v>154</v>
      </c>
      <c r="C2684" t="str">
        <f>HYPERLINK("http://service.sap.com/sap/support/notes/2014818","2014818")</f>
        <v>2014818</v>
      </c>
      <c r="D2684">
        <v>15</v>
      </c>
      <c r="E2684" t="s">
        <v>4524</v>
      </c>
      <c r="F2684" t="s">
        <v>9</v>
      </c>
    </row>
    <row r="2685" spans="1:6" x14ac:dyDescent="0.3">
      <c r="A2685" t="s">
        <v>642</v>
      </c>
      <c r="B2685" t="s">
        <v>154</v>
      </c>
      <c r="C2685" t="str">
        <f>HYPERLINK("http://service.sap.com/sap/support/notes/2018044","2018044")</f>
        <v>2018044</v>
      </c>
      <c r="D2685">
        <v>4</v>
      </c>
      <c r="E2685" t="s">
        <v>4525</v>
      </c>
      <c r="F2685" t="s">
        <v>9</v>
      </c>
    </row>
    <row r="2686" spans="1:6" x14ac:dyDescent="0.3">
      <c r="A2686" t="s">
        <v>642</v>
      </c>
      <c r="B2686" t="s">
        <v>154</v>
      </c>
      <c r="C2686" t="str">
        <f>HYPERLINK("http://service.sap.com/sap/support/notes/2019206","2019206")</f>
        <v>2019206</v>
      </c>
      <c r="D2686">
        <v>2</v>
      </c>
      <c r="E2686" t="s">
        <v>4526</v>
      </c>
      <c r="F2686" t="s">
        <v>9</v>
      </c>
    </row>
    <row r="2687" spans="1:6" x14ac:dyDescent="0.3">
      <c r="A2687" t="s">
        <v>642</v>
      </c>
      <c r="B2687" t="s">
        <v>154</v>
      </c>
      <c r="C2687" t="str">
        <f>HYPERLINK("http://service.sap.com/sap/support/notes/2021203","2021203")</f>
        <v>2021203</v>
      </c>
      <c r="D2687">
        <v>8</v>
      </c>
      <c r="E2687" t="s">
        <v>4527</v>
      </c>
      <c r="F2687" t="s">
        <v>9</v>
      </c>
    </row>
    <row r="2688" spans="1:6" x14ac:dyDescent="0.3">
      <c r="A2688" t="s">
        <v>642</v>
      </c>
      <c r="B2688" t="s">
        <v>154</v>
      </c>
      <c r="C2688" t="str">
        <f>HYPERLINK("http://service.sap.com/sap/support/notes/2021210","2021210")</f>
        <v>2021210</v>
      </c>
      <c r="D2688">
        <v>2</v>
      </c>
      <c r="E2688" t="s">
        <v>4528</v>
      </c>
      <c r="F2688" t="s">
        <v>9</v>
      </c>
    </row>
    <row r="2689" spans="1:6" x14ac:dyDescent="0.3">
      <c r="A2689" t="s">
        <v>642</v>
      </c>
      <c r="B2689" t="s">
        <v>154</v>
      </c>
      <c r="C2689" t="str">
        <f>HYPERLINK("http://service.sap.com/sap/support/notes/2021318","2021318")</f>
        <v>2021318</v>
      </c>
      <c r="D2689">
        <v>2</v>
      </c>
      <c r="E2689" t="s">
        <v>4529</v>
      </c>
      <c r="F2689" t="s">
        <v>9</v>
      </c>
    </row>
    <row r="2690" spans="1:6" x14ac:dyDescent="0.3">
      <c r="A2690" t="s">
        <v>642</v>
      </c>
      <c r="B2690" t="s">
        <v>154</v>
      </c>
      <c r="C2690" t="str">
        <f>HYPERLINK("http://service.sap.com/sap/support/notes/2021856","2021856")</f>
        <v>2021856</v>
      </c>
      <c r="D2690">
        <v>2</v>
      </c>
      <c r="E2690" t="s">
        <v>4530</v>
      </c>
      <c r="F2690" t="s">
        <v>9</v>
      </c>
    </row>
    <row r="2691" spans="1:6" x14ac:dyDescent="0.3">
      <c r="A2691" t="s">
        <v>642</v>
      </c>
      <c r="B2691" t="s">
        <v>154</v>
      </c>
      <c r="C2691" t="str">
        <f>HYPERLINK("http://service.sap.com/sap/support/notes/2022514","2022514")</f>
        <v>2022514</v>
      </c>
      <c r="D2691">
        <v>2</v>
      </c>
      <c r="E2691" t="s">
        <v>4531</v>
      </c>
      <c r="F2691" t="s">
        <v>9</v>
      </c>
    </row>
    <row r="2692" spans="1:6" x14ac:dyDescent="0.3">
      <c r="A2692" t="s">
        <v>642</v>
      </c>
      <c r="B2692" t="s">
        <v>154</v>
      </c>
      <c r="C2692" t="str">
        <f>HYPERLINK("http://service.sap.com/sap/support/notes/2027979","2027979")</f>
        <v>2027979</v>
      </c>
      <c r="D2692">
        <v>1</v>
      </c>
      <c r="E2692" t="s">
        <v>4532</v>
      </c>
      <c r="F2692" t="s">
        <v>16</v>
      </c>
    </row>
    <row r="2693" spans="1:6" x14ac:dyDescent="0.3">
      <c r="A2693" t="s">
        <v>642</v>
      </c>
      <c r="B2693" t="s">
        <v>154</v>
      </c>
      <c r="C2693" t="str">
        <f>HYPERLINK("http://service.sap.com/sap/support/notes/2030016","2030016")</f>
        <v>2030016</v>
      </c>
      <c r="D2693">
        <v>2</v>
      </c>
      <c r="E2693" t="s">
        <v>4533</v>
      </c>
      <c r="F2693" t="s">
        <v>9</v>
      </c>
    </row>
    <row r="2694" spans="1:6" x14ac:dyDescent="0.3">
      <c r="A2694" t="s">
        <v>642</v>
      </c>
      <c r="B2694" t="s">
        <v>154</v>
      </c>
      <c r="C2694" t="str">
        <f>HYPERLINK("http://service.sap.com/sap/support/notes/2031630","2031630")</f>
        <v>2031630</v>
      </c>
      <c r="D2694">
        <v>2</v>
      </c>
      <c r="E2694" t="s">
        <v>4534</v>
      </c>
      <c r="F2694" t="s">
        <v>9</v>
      </c>
    </row>
    <row r="2695" spans="1:6" x14ac:dyDescent="0.3">
      <c r="A2695" t="s">
        <v>642</v>
      </c>
      <c r="B2695" t="s">
        <v>154</v>
      </c>
      <c r="C2695" t="str">
        <f>HYPERLINK("http://service.sap.com/sap/support/notes/2000444","2000444")</f>
        <v>2000444</v>
      </c>
      <c r="D2695">
        <v>2</v>
      </c>
      <c r="E2695" t="s">
        <v>4830</v>
      </c>
      <c r="F2695" t="s">
        <v>9</v>
      </c>
    </row>
    <row r="2696" spans="1:6" x14ac:dyDescent="0.3">
      <c r="A2696" t="s">
        <v>642</v>
      </c>
      <c r="B2696" t="s">
        <v>154</v>
      </c>
      <c r="C2696" t="str">
        <f>HYPERLINK("http://service.sap.com/sap/support/notes/2005468","2005468")</f>
        <v>2005468</v>
      </c>
      <c r="D2696">
        <v>15</v>
      </c>
      <c r="E2696" t="s">
        <v>4831</v>
      </c>
      <c r="F2696" t="s">
        <v>28</v>
      </c>
    </row>
    <row r="2697" spans="1:6" x14ac:dyDescent="0.3">
      <c r="A2697" t="s">
        <v>642</v>
      </c>
      <c r="B2697" t="s">
        <v>154</v>
      </c>
      <c r="C2697" t="str">
        <f>HYPERLINK("http://service.sap.com/sap/support/notes/2008846","2008846")</f>
        <v>2008846</v>
      </c>
      <c r="D2697">
        <v>4</v>
      </c>
      <c r="E2697" t="s">
        <v>4832</v>
      </c>
      <c r="F2697" t="s">
        <v>9</v>
      </c>
    </row>
    <row r="2698" spans="1:6" x14ac:dyDescent="0.3">
      <c r="A2698" t="s">
        <v>642</v>
      </c>
      <c r="B2698" t="s">
        <v>154</v>
      </c>
      <c r="C2698" t="str">
        <f>HYPERLINK("http://service.sap.com/sap/support/notes/2012464","2012464")</f>
        <v>2012464</v>
      </c>
      <c r="D2698">
        <v>2</v>
      </c>
      <c r="E2698" t="s">
        <v>4833</v>
      </c>
      <c r="F2698" t="s">
        <v>9</v>
      </c>
    </row>
    <row r="2699" spans="1:6" x14ac:dyDescent="0.3">
      <c r="A2699" t="s">
        <v>642</v>
      </c>
      <c r="B2699" t="s">
        <v>154</v>
      </c>
      <c r="C2699" t="str">
        <f>HYPERLINK("http://service.sap.com/sap/support/notes/2012605","2012605")</f>
        <v>2012605</v>
      </c>
      <c r="D2699">
        <v>5</v>
      </c>
      <c r="E2699" t="s">
        <v>4834</v>
      </c>
      <c r="F2699" t="s">
        <v>9</v>
      </c>
    </row>
    <row r="2700" spans="1:6" x14ac:dyDescent="0.3">
      <c r="A2700" t="s">
        <v>642</v>
      </c>
      <c r="B2700" t="s">
        <v>154</v>
      </c>
      <c r="C2700" t="str">
        <f>HYPERLINK("http://service.sap.com/sap/support/notes/2014180","2014180")</f>
        <v>2014180</v>
      </c>
      <c r="D2700">
        <v>7</v>
      </c>
      <c r="E2700" t="s">
        <v>4835</v>
      </c>
      <c r="F2700" t="s">
        <v>9</v>
      </c>
    </row>
    <row r="2701" spans="1:6" x14ac:dyDescent="0.3">
      <c r="A2701" t="s">
        <v>642</v>
      </c>
      <c r="B2701" t="s">
        <v>154</v>
      </c>
      <c r="C2701" t="str">
        <f>HYPERLINK("http://service.sap.com/sap/support/notes/2015058","2015058")</f>
        <v>2015058</v>
      </c>
      <c r="D2701">
        <v>2</v>
      </c>
      <c r="E2701" t="s">
        <v>4836</v>
      </c>
      <c r="F2701" t="s">
        <v>9</v>
      </c>
    </row>
    <row r="2702" spans="1:6" x14ac:dyDescent="0.3">
      <c r="A2702" t="s">
        <v>642</v>
      </c>
      <c r="B2702" t="s">
        <v>154</v>
      </c>
      <c r="C2702" t="str">
        <f>HYPERLINK("http://service.sap.com/sap/support/notes/2023770","2023770")</f>
        <v>2023770</v>
      </c>
      <c r="D2702">
        <v>5</v>
      </c>
      <c r="E2702" t="s">
        <v>4837</v>
      </c>
      <c r="F2702" t="s">
        <v>9</v>
      </c>
    </row>
    <row r="2703" spans="1:6" x14ac:dyDescent="0.3">
      <c r="A2703" t="s">
        <v>642</v>
      </c>
      <c r="B2703" t="s">
        <v>154</v>
      </c>
      <c r="C2703" t="str">
        <f>HYPERLINK("http://service.sap.com/sap/support/notes/2027948","2027948")</f>
        <v>2027948</v>
      </c>
      <c r="D2703">
        <v>10</v>
      </c>
      <c r="E2703" t="s">
        <v>4838</v>
      </c>
      <c r="F2703" t="s">
        <v>9</v>
      </c>
    </row>
    <row r="2704" spans="1:6" x14ac:dyDescent="0.3">
      <c r="A2704" t="s">
        <v>642</v>
      </c>
      <c r="B2704" t="s">
        <v>154</v>
      </c>
      <c r="C2704" t="str">
        <f>HYPERLINK("http://service.sap.com/sap/support/notes/2028318","2028318")</f>
        <v>2028318</v>
      </c>
      <c r="D2704">
        <v>3</v>
      </c>
      <c r="E2704" t="s">
        <v>4839</v>
      </c>
      <c r="F2704" t="s">
        <v>9</v>
      </c>
    </row>
    <row r="2705" spans="1:6" x14ac:dyDescent="0.3">
      <c r="A2705" t="s">
        <v>642</v>
      </c>
      <c r="B2705" t="s">
        <v>154</v>
      </c>
      <c r="C2705" t="str">
        <f>HYPERLINK("http://service.sap.com/sap/support/notes/2037578","2037578")</f>
        <v>2037578</v>
      </c>
      <c r="D2705">
        <v>2</v>
      </c>
      <c r="E2705" t="s">
        <v>4840</v>
      </c>
      <c r="F2705" t="s">
        <v>9</v>
      </c>
    </row>
    <row r="2706" spans="1:6" x14ac:dyDescent="0.3">
      <c r="A2706" t="s">
        <v>642</v>
      </c>
      <c r="B2706" t="s">
        <v>154</v>
      </c>
      <c r="C2706" t="str">
        <f>HYPERLINK("http://service.sap.com/sap/support/notes/2038102","2038102")</f>
        <v>2038102</v>
      </c>
      <c r="D2706">
        <v>3</v>
      </c>
      <c r="E2706" t="s">
        <v>4841</v>
      </c>
      <c r="F2706" t="s">
        <v>9</v>
      </c>
    </row>
    <row r="2707" spans="1:6" x14ac:dyDescent="0.3">
      <c r="A2707" t="s">
        <v>642</v>
      </c>
      <c r="B2707" t="s">
        <v>154</v>
      </c>
      <c r="C2707" t="str">
        <f>HYPERLINK("http://service.sap.com/sap/support/notes/2039217","2039217")</f>
        <v>2039217</v>
      </c>
      <c r="D2707">
        <v>6</v>
      </c>
      <c r="E2707" t="s">
        <v>4842</v>
      </c>
      <c r="F2707" t="s">
        <v>9</v>
      </c>
    </row>
    <row r="2708" spans="1:6" x14ac:dyDescent="0.3">
      <c r="A2708" t="s">
        <v>642</v>
      </c>
      <c r="B2708" t="s">
        <v>154</v>
      </c>
      <c r="C2708" t="str">
        <f>HYPERLINK("http://service.sap.com/sap/support/notes/2039236","2039236")</f>
        <v>2039236</v>
      </c>
      <c r="D2708">
        <v>2</v>
      </c>
      <c r="E2708" t="s">
        <v>4843</v>
      </c>
      <c r="F2708" t="s">
        <v>9</v>
      </c>
    </row>
    <row r="2709" spans="1:6" x14ac:dyDescent="0.3">
      <c r="A2709" t="s">
        <v>642</v>
      </c>
      <c r="B2709" t="s">
        <v>154</v>
      </c>
      <c r="C2709" t="str">
        <f>HYPERLINK("http://service.sap.com/sap/support/notes/2039854","2039854")</f>
        <v>2039854</v>
      </c>
      <c r="D2709">
        <v>3</v>
      </c>
      <c r="E2709" t="s">
        <v>4844</v>
      </c>
      <c r="F2709" t="s">
        <v>9</v>
      </c>
    </row>
    <row r="2710" spans="1:6" x14ac:dyDescent="0.3">
      <c r="A2710" t="s">
        <v>642</v>
      </c>
      <c r="B2710" t="s">
        <v>154</v>
      </c>
      <c r="C2710" t="str">
        <f>HYPERLINK("http://service.sap.com/sap/support/notes/2041510","2041510")</f>
        <v>2041510</v>
      </c>
      <c r="D2710">
        <v>2</v>
      </c>
      <c r="E2710" t="s">
        <v>4845</v>
      </c>
      <c r="F2710" t="s">
        <v>9</v>
      </c>
    </row>
    <row r="2711" spans="1:6" x14ac:dyDescent="0.3">
      <c r="A2711" t="s">
        <v>642</v>
      </c>
      <c r="B2711" t="s">
        <v>154</v>
      </c>
      <c r="C2711" t="str">
        <f>HYPERLINK("http://service.sap.com/sap/support/notes/2027875","2027875")</f>
        <v>2027875</v>
      </c>
      <c r="D2711">
        <v>3</v>
      </c>
      <c r="E2711" t="s">
        <v>5205</v>
      </c>
      <c r="F2711" t="s">
        <v>9</v>
      </c>
    </row>
    <row r="2712" spans="1:6" x14ac:dyDescent="0.3">
      <c r="A2712" t="s">
        <v>642</v>
      </c>
      <c r="B2712" t="s">
        <v>154</v>
      </c>
      <c r="C2712" t="str">
        <f>HYPERLINK("http://service.sap.com/sap/support/notes/2029449","2029449")</f>
        <v>2029449</v>
      </c>
      <c r="D2712">
        <v>3</v>
      </c>
      <c r="E2712" t="s">
        <v>5206</v>
      </c>
      <c r="F2712" t="s">
        <v>9</v>
      </c>
    </row>
    <row r="2713" spans="1:6" x14ac:dyDescent="0.3">
      <c r="A2713" t="s">
        <v>642</v>
      </c>
      <c r="B2713" t="s">
        <v>154</v>
      </c>
      <c r="C2713" t="str">
        <f>HYPERLINK("http://service.sap.com/sap/support/notes/2031678","2031678")</f>
        <v>2031678</v>
      </c>
      <c r="D2713">
        <v>2</v>
      </c>
      <c r="E2713" t="s">
        <v>5207</v>
      </c>
      <c r="F2713" t="s">
        <v>9</v>
      </c>
    </row>
    <row r="2714" spans="1:6" x14ac:dyDescent="0.3">
      <c r="A2714" t="s">
        <v>642</v>
      </c>
      <c r="B2714" t="s">
        <v>154</v>
      </c>
      <c r="C2714" t="str">
        <f>HYPERLINK("http://service.sap.com/sap/support/notes/2034294","2034294")</f>
        <v>2034294</v>
      </c>
      <c r="D2714">
        <v>2</v>
      </c>
      <c r="E2714" t="s">
        <v>5208</v>
      </c>
      <c r="F2714" t="s">
        <v>9</v>
      </c>
    </row>
    <row r="2715" spans="1:6" x14ac:dyDescent="0.3">
      <c r="A2715" t="s">
        <v>642</v>
      </c>
      <c r="B2715" t="s">
        <v>154</v>
      </c>
      <c r="C2715" t="str">
        <f>HYPERLINK("http://service.sap.com/sap/support/notes/2035537","2035537")</f>
        <v>2035537</v>
      </c>
      <c r="D2715">
        <v>2</v>
      </c>
      <c r="E2715" t="s">
        <v>5209</v>
      </c>
      <c r="F2715" t="s">
        <v>9</v>
      </c>
    </row>
    <row r="2716" spans="1:6" x14ac:dyDescent="0.3">
      <c r="A2716" t="s">
        <v>642</v>
      </c>
      <c r="B2716" t="s">
        <v>154</v>
      </c>
      <c r="C2716" t="str">
        <f>HYPERLINK("http://service.sap.com/sap/support/notes/2036007","2036007")</f>
        <v>2036007</v>
      </c>
      <c r="D2716">
        <v>5</v>
      </c>
      <c r="E2716" t="s">
        <v>5210</v>
      </c>
      <c r="F2716" t="s">
        <v>9</v>
      </c>
    </row>
    <row r="2717" spans="1:6" x14ac:dyDescent="0.3">
      <c r="A2717" t="s">
        <v>642</v>
      </c>
      <c r="B2717" t="s">
        <v>154</v>
      </c>
      <c r="C2717" t="str">
        <f>HYPERLINK("http://service.sap.com/sap/support/notes/2036591","2036591")</f>
        <v>2036591</v>
      </c>
      <c r="D2717">
        <v>4</v>
      </c>
      <c r="E2717" t="s">
        <v>5211</v>
      </c>
      <c r="F2717" t="s">
        <v>9</v>
      </c>
    </row>
    <row r="2718" spans="1:6" x14ac:dyDescent="0.3">
      <c r="A2718" t="s">
        <v>642</v>
      </c>
      <c r="B2718" t="s">
        <v>154</v>
      </c>
      <c r="C2718" t="str">
        <f>HYPERLINK("http://service.sap.com/sap/support/notes/2036603","2036603")</f>
        <v>2036603</v>
      </c>
      <c r="D2718">
        <v>2</v>
      </c>
      <c r="E2718" t="s">
        <v>5212</v>
      </c>
      <c r="F2718" t="s">
        <v>9</v>
      </c>
    </row>
    <row r="2719" spans="1:6" x14ac:dyDescent="0.3">
      <c r="A2719" t="s">
        <v>642</v>
      </c>
      <c r="B2719" t="s">
        <v>154</v>
      </c>
      <c r="C2719" t="str">
        <f>HYPERLINK("http://service.sap.com/sap/support/notes/2040376","2040376")</f>
        <v>2040376</v>
      </c>
      <c r="D2719">
        <v>2</v>
      </c>
      <c r="E2719" t="s">
        <v>5213</v>
      </c>
      <c r="F2719" t="s">
        <v>9</v>
      </c>
    </row>
    <row r="2720" spans="1:6" x14ac:dyDescent="0.3">
      <c r="A2720" t="s">
        <v>642</v>
      </c>
      <c r="B2720" t="s">
        <v>154</v>
      </c>
      <c r="C2720" t="str">
        <f>HYPERLINK("http://service.sap.com/sap/support/notes/2040389","2040389")</f>
        <v>2040389</v>
      </c>
      <c r="D2720">
        <v>2</v>
      </c>
      <c r="E2720" t="s">
        <v>5214</v>
      </c>
      <c r="F2720" t="s">
        <v>9</v>
      </c>
    </row>
    <row r="2721" spans="1:6" x14ac:dyDescent="0.3">
      <c r="A2721" t="s">
        <v>642</v>
      </c>
      <c r="B2721" t="s">
        <v>154</v>
      </c>
      <c r="C2721" t="str">
        <f>HYPERLINK("http://service.sap.com/sap/support/notes/2040988","2040988")</f>
        <v>2040988</v>
      </c>
      <c r="D2721">
        <v>2</v>
      </c>
      <c r="E2721" t="s">
        <v>5215</v>
      </c>
      <c r="F2721" t="s">
        <v>9</v>
      </c>
    </row>
    <row r="2722" spans="1:6" x14ac:dyDescent="0.3">
      <c r="A2722" t="s">
        <v>642</v>
      </c>
      <c r="B2722" t="s">
        <v>154</v>
      </c>
      <c r="C2722" t="str">
        <f>HYPERLINK("http://service.sap.com/sap/support/notes/2041970","2041970")</f>
        <v>2041970</v>
      </c>
      <c r="D2722">
        <v>2</v>
      </c>
      <c r="E2722" t="s">
        <v>5216</v>
      </c>
      <c r="F2722" t="s">
        <v>9</v>
      </c>
    </row>
    <row r="2723" spans="1:6" x14ac:dyDescent="0.3">
      <c r="A2723" t="s">
        <v>642</v>
      </c>
      <c r="B2723" t="s">
        <v>154</v>
      </c>
      <c r="C2723" t="str">
        <f>HYPERLINK("http://service.sap.com/sap/support/notes/2044088","2044088")</f>
        <v>2044088</v>
      </c>
      <c r="D2723">
        <v>2</v>
      </c>
      <c r="E2723" t="s">
        <v>5217</v>
      </c>
      <c r="F2723" t="s">
        <v>9</v>
      </c>
    </row>
    <row r="2724" spans="1:6" x14ac:dyDescent="0.3">
      <c r="A2724" t="s">
        <v>642</v>
      </c>
      <c r="B2724" t="s">
        <v>154</v>
      </c>
      <c r="C2724" t="str">
        <f>HYPERLINK("http://service.sap.com/sap/support/notes/2044092","2044092")</f>
        <v>2044092</v>
      </c>
      <c r="D2724">
        <v>4</v>
      </c>
      <c r="E2724" t="s">
        <v>5218</v>
      </c>
      <c r="F2724" t="s">
        <v>9</v>
      </c>
    </row>
    <row r="2725" spans="1:6" x14ac:dyDescent="0.3">
      <c r="A2725" t="s">
        <v>642</v>
      </c>
      <c r="B2725" t="s">
        <v>154</v>
      </c>
      <c r="C2725" t="str">
        <f>HYPERLINK("http://service.sap.com/sap/support/notes/2045752","2045752")</f>
        <v>2045752</v>
      </c>
      <c r="D2725">
        <v>3</v>
      </c>
      <c r="E2725" t="s">
        <v>5219</v>
      </c>
      <c r="F2725" t="s">
        <v>9</v>
      </c>
    </row>
    <row r="2726" spans="1:6" x14ac:dyDescent="0.3">
      <c r="A2726" t="s">
        <v>642</v>
      </c>
      <c r="B2726" t="s">
        <v>154</v>
      </c>
      <c r="C2726" t="str">
        <f>HYPERLINK("http://service.sap.com/sap/support/notes/2045937","2045937")</f>
        <v>2045937</v>
      </c>
      <c r="D2726">
        <v>9</v>
      </c>
      <c r="E2726" t="s">
        <v>5220</v>
      </c>
      <c r="F2726" t="s">
        <v>9</v>
      </c>
    </row>
    <row r="2727" spans="1:6" x14ac:dyDescent="0.3">
      <c r="A2727" t="s">
        <v>642</v>
      </c>
      <c r="B2727" t="s">
        <v>154</v>
      </c>
      <c r="C2727" t="str">
        <f>HYPERLINK("http://service.sap.com/sap/support/notes/2046514","2046514")</f>
        <v>2046514</v>
      </c>
      <c r="D2727">
        <v>2</v>
      </c>
      <c r="E2727" t="s">
        <v>5221</v>
      </c>
      <c r="F2727" t="s">
        <v>9</v>
      </c>
    </row>
    <row r="2728" spans="1:6" x14ac:dyDescent="0.3">
      <c r="A2728" t="s">
        <v>642</v>
      </c>
      <c r="B2728" t="s">
        <v>154</v>
      </c>
      <c r="C2728" t="str">
        <f>HYPERLINK("http://service.sap.com/sap/support/notes/2048140","2048140")</f>
        <v>2048140</v>
      </c>
      <c r="D2728">
        <v>3</v>
      </c>
      <c r="E2728" t="s">
        <v>5222</v>
      </c>
      <c r="F2728" t="s">
        <v>16</v>
      </c>
    </row>
    <row r="2729" spans="1:6" x14ac:dyDescent="0.3">
      <c r="A2729" t="s">
        <v>642</v>
      </c>
      <c r="B2729" t="s">
        <v>154</v>
      </c>
      <c r="C2729" t="str">
        <f>HYPERLINK("http://service.sap.com/sap/support/notes/2048733","2048733")</f>
        <v>2048733</v>
      </c>
      <c r="D2729">
        <v>2</v>
      </c>
      <c r="E2729" t="s">
        <v>5223</v>
      </c>
      <c r="F2729" t="s">
        <v>9</v>
      </c>
    </row>
    <row r="2730" spans="1:6" x14ac:dyDescent="0.3">
      <c r="A2730" t="s">
        <v>642</v>
      </c>
      <c r="B2730" t="s">
        <v>154</v>
      </c>
      <c r="C2730" t="str">
        <f>HYPERLINK("http://service.sap.com/sap/support/notes/2049742","2049742")</f>
        <v>2049742</v>
      </c>
      <c r="D2730">
        <v>5</v>
      </c>
      <c r="E2730" t="s">
        <v>5224</v>
      </c>
      <c r="F2730" t="s">
        <v>9</v>
      </c>
    </row>
    <row r="2731" spans="1:6" x14ac:dyDescent="0.3">
      <c r="A2731" t="s">
        <v>642</v>
      </c>
      <c r="B2731" t="s">
        <v>154</v>
      </c>
      <c r="C2731" t="str">
        <f>HYPERLINK("http://service.sap.com/sap/support/notes/2053575","2053575")</f>
        <v>2053575</v>
      </c>
      <c r="D2731">
        <v>9</v>
      </c>
      <c r="E2731" t="s">
        <v>5225</v>
      </c>
      <c r="F2731" t="s">
        <v>9</v>
      </c>
    </row>
    <row r="2732" spans="1:6" x14ac:dyDescent="0.3">
      <c r="A2732" t="s">
        <v>642</v>
      </c>
      <c r="B2732" t="s">
        <v>154</v>
      </c>
      <c r="C2732" t="str">
        <f>HYPERLINK("http://service.sap.com/sap/support/notes/2053666","2053666")</f>
        <v>2053666</v>
      </c>
      <c r="D2732">
        <v>2</v>
      </c>
      <c r="E2732" t="s">
        <v>5226</v>
      </c>
      <c r="F2732" t="s">
        <v>9</v>
      </c>
    </row>
    <row r="2733" spans="1:6" x14ac:dyDescent="0.3">
      <c r="A2733" t="s">
        <v>642</v>
      </c>
      <c r="B2733" t="s">
        <v>154</v>
      </c>
      <c r="C2733" t="str">
        <f>HYPERLINK("http://service.sap.com/sap/support/notes/2054669","2054669")</f>
        <v>2054669</v>
      </c>
      <c r="D2733">
        <v>1</v>
      </c>
      <c r="E2733" t="s">
        <v>5227</v>
      </c>
      <c r="F2733" t="s">
        <v>16</v>
      </c>
    </row>
    <row r="2734" spans="1:6" x14ac:dyDescent="0.3">
      <c r="A2734" t="s">
        <v>642</v>
      </c>
      <c r="B2734" t="s">
        <v>154</v>
      </c>
      <c r="C2734" t="str">
        <f>HYPERLINK("http://service.sap.com/sap/support/notes/2055124","2055124")</f>
        <v>2055124</v>
      </c>
      <c r="D2734">
        <v>4</v>
      </c>
      <c r="E2734" t="s">
        <v>5228</v>
      </c>
      <c r="F2734" t="s">
        <v>9</v>
      </c>
    </row>
    <row r="2735" spans="1:6" x14ac:dyDescent="0.3">
      <c r="A2735" t="s">
        <v>642</v>
      </c>
      <c r="B2735" t="s">
        <v>154</v>
      </c>
      <c r="C2735" t="str">
        <f>HYPERLINK("http://service.sap.com/sap/support/notes/2056205","2056205")</f>
        <v>2056205</v>
      </c>
      <c r="D2735">
        <v>3</v>
      </c>
      <c r="E2735" t="s">
        <v>5229</v>
      </c>
      <c r="F2735" t="s">
        <v>9</v>
      </c>
    </row>
    <row r="2736" spans="1:6" x14ac:dyDescent="0.3">
      <c r="A2736" t="s">
        <v>642</v>
      </c>
      <c r="B2736" t="s">
        <v>154</v>
      </c>
      <c r="C2736" t="str">
        <f>HYPERLINK("http://service.sap.com/sap/support/notes/2056261","2056261")</f>
        <v>2056261</v>
      </c>
      <c r="D2736">
        <v>1</v>
      </c>
      <c r="E2736" t="s">
        <v>5230</v>
      </c>
      <c r="F2736" t="s">
        <v>9</v>
      </c>
    </row>
    <row r="2737" spans="1:6" x14ac:dyDescent="0.3">
      <c r="A2737" t="s">
        <v>642</v>
      </c>
      <c r="B2737" t="s">
        <v>154</v>
      </c>
      <c r="C2737" t="str">
        <f>HYPERLINK("http://service.sap.com/sap/support/notes/2057944","2057944")</f>
        <v>2057944</v>
      </c>
      <c r="D2737">
        <v>1</v>
      </c>
      <c r="E2737" t="s">
        <v>5231</v>
      </c>
      <c r="F2737" t="s">
        <v>9</v>
      </c>
    </row>
    <row r="2738" spans="1:6" x14ac:dyDescent="0.3">
      <c r="A2738" t="s">
        <v>642</v>
      </c>
      <c r="B2738" t="s">
        <v>154</v>
      </c>
      <c r="C2738" t="str">
        <f>HYPERLINK("http://service.sap.com/sap/support/notes/2027914","2027914")</f>
        <v>2027914</v>
      </c>
      <c r="D2738">
        <v>5</v>
      </c>
      <c r="E2738" t="s">
        <v>5549</v>
      </c>
      <c r="F2738" t="s">
        <v>9</v>
      </c>
    </row>
    <row r="2739" spans="1:6" x14ac:dyDescent="0.3">
      <c r="A2739" t="s">
        <v>642</v>
      </c>
      <c r="B2739" t="s">
        <v>154</v>
      </c>
      <c r="C2739" t="str">
        <f>HYPERLINK("http://service.sap.com/sap/support/notes/2034957","2034957")</f>
        <v>2034957</v>
      </c>
      <c r="D2739">
        <v>3</v>
      </c>
      <c r="E2739" t="s">
        <v>5550</v>
      </c>
      <c r="F2739" t="s">
        <v>9</v>
      </c>
    </row>
    <row r="2740" spans="1:6" x14ac:dyDescent="0.3">
      <c r="A2740" t="s">
        <v>642</v>
      </c>
      <c r="B2740" t="s">
        <v>154</v>
      </c>
      <c r="C2740" t="str">
        <f>HYPERLINK("http://service.sap.com/sap/support/notes/2036560","2036560")</f>
        <v>2036560</v>
      </c>
      <c r="D2740">
        <v>6</v>
      </c>
      <c r="E2740" t="s">
        <v>5551</v>
      </c>
      <c r="F2740" t="s">
        <v>9</v>
      </c>
    </row>
    <row r="2741" spans="1:6" x14ac:dyDescent="0.3">
      <c r="A2741" t="s">
        <v>642</v>
      </c>
      <c r="B2741" t="s">
        <v>154</v>
      </c>
      <c r="C2741" t="str">
        <f>HYPERLINK("http://service.sap.com/sap/support/notes/2040945","2040945")</f>
        <v>2040945</v>
      </c>
      <c r="D2741">
        <v>4</v>
      </c>
      <c r="E2741" t="s">
        <v>5552</v>
      </c>
      <c r="F2741" t="s">
        <v>9</v>
      </c>
    </row>
    <row r="2742" spans="1:6" x14ac:dyDescent="0.3">
      <c r="A2742" t="s">
        <v>642</v>
      </c>
      <c r="B2742" t="s">
        <v>154</v>
      </c>
      <c r="C2742" t="str">
        <f>HYPERLINK("http://service.sap.com/sap/support/notes/2044167","2044167")</f>
        <v>2044167</v>
      </c>
      <c r="D2742">
        <v>4</v>
      </c>
      <c r="E2742" t="s">
        <v>5553</v>
      </c>
      <c r="F2742" t="s">
        <v>9</v>
      </c>
    </row>
    <row r="2743" spans="1:6" x14ac:dyDescent="0.3">
      <c r="A2743" t="s">
        <v>642</v>
      </c>
      <c r="B2743" t="s">
        <v>154</v>
      </c>
      <c r="C2743" t="str">
        <f>HYPERLINK("http://service.sap.com/sap/support/notes/2044822","2044822")</f>
        <v>2044822</v>
      </c>
      <c r="D2743">
        <v>2</v>
      </c>
      <c r="E2743" t="s">
        <v>5554</v>
      </c>
      <c r="F2743" t="s">
        <v>9</v>
      </c>
    </row>
    <row r="2744" spans="1:6" x14ac:dyDescent="0.3">
      <c r="A2744" t="s">
        <v>642</v>
      </c>
      <c r="B2744" t="s">
        <v>154</v>
      </c>
      <c r="C2744" t="str">
        <f>HYPERLINK("http://service.sap.com/sap/support/notes/2045366","2045366")</f>
        <v>2045366</v>
      </c>
      <c r="D2744">
        <v>2</v>
      </c>
      <c r="E2744" t="s">
        <v>5555</v>
      </c>
      <c r="F2744" t="s">
        <v>9</v>
      </c>
    </row>
    <row r="2745" spans="1:6" x14ac:dyDescent="0.3">
      <c r="A2745" t="s">
        <v>642</v>
      </c>
      <c r="B2745" t="s">
        <v>154</v>
      </c>
      <c r="C2745" t="str">
        <f>HYPERLINK("http://service.sap.com/sap/support/notes/2047503","2047503")</f>
        <v>2047503</v>
      </c>
      <c r="D2745">
        <v>2</v>
      </c>
      <c r="E2745" t="s">
        <v>5556</v>
      </c>
      <c r="F2745" t="s">
        <v>9</v>
      </c>
    </row>
    <row r="2746" spans="1:6" x14ac:dyDescent="0.3">
      <c r="A2746" t="s">
        <v>642</v>
      </c>
      <c r="B2746" t="s">
        <v>154</v>
      </c>
      <c r="C2746" t="str">
        <f>HYPERLINK("http://service.sap.com/sap/support/notes/2048784","2048784")</f>
        <v>2048784</v>
      </c>
      <c r="D2746">
        <v>5</v>
      </c>
      <c r="E2746" t="s">
        <v>5557</v>
      </c>
      <c r="F2746" t="s">
        <v>9</v>
      </c>
    </row>
    <row r="2747" spans="1:6" x14ac:dyDescent="0.3">
      <c r="A2747" t="s">
        <v>642</v>
      </c>
      <c r="B2747" t="s">
        <v>154</v>
      </c>
      <c r="C2747" t="str">
        <f>HYPERLINK("http://service.sap.com/sap/support/notes/2053577","2053577")</f>
        <v>2053577</v>
      </c>
      <c r="D2747">
        <v>2</v>
      </c>
      <c r="E2747" t="s">
        <v>5558</v>
      </c>
      <c r="F2747" t="s">
        <v>9</v>
      </c>
    </row>
    <row r="2748" spans="1:6" x14ac:dyDescent="0.3">
      <c r="A2748" t="s">
        <v>642</v>
      </c>
      <c r="B2748" t="s">
        <v>154</v>
      </c>
      <c r="C2748" t="str">
        <f>HYPERLINK("http://service.sap.com/sap/support/notes/2055545","2055545")</f>
        <v>2055545</v>
      </c>
      <c r="D2748">
        <v>5</v>
      </c>
      <c r="E2748" t="s">
        <v>5559</v>
      </c>
      <c r="F2748" t="s">
        <v>9</v>
      </c>
    </row>
    <row r="2749" spans="1:6" x14ac:dyDescent="0.3">
      <c r="A2749" t="s">
        <v>642</v>
      </c>
      <c r="B2749" t="s">
        <v>154</v>
      </c>
      <c r="C2749" t="str">
        <f>HYPERLINK("http://service.sap.com/sap/support/notes/2056245","2056245")</f>
        <v>2056245</v>
      </c>
      <c r="D2749">
        <v>3</v>
      </c>
      <c r="E2749" t="s">
        <v>5560</v>
      </c>
      <c r="F2749" t="s">
        <v>9</v>
      </c>
    </row>
    <row r="2750" spans="1:6" x14ac:dyDescent="0.3">
      <c r="A2750" t="s">
        <v>642</v>
      </c>
      <c r="B2750" t="s">
        <v>154</v>
      </c>
      <c r="C2750" t="str">
        <f>HYPERLINK("http://service.sap.com/sap/support/notes/2057877","2057877")</f>
        <v>2057877</v>
      </c>
      <c r="D2750">
        <v>5</v>
      </c>
      <c r="E2750" t="s">
        <v>5561</v>
      </c>
      <c r="F2750" t="s">
        <v>9</v>
      </c>
    </row>
    <row r="2751" spans="1:6" x14ac:dyDescent="0.3">
      <c r="A2751" t="s">
        <v>642</v>
      </c>
      <c r="B2751" t="s">
        <v>154</v>
      </c>
      <c r="C2751" t="str">
        <f>HYPERLINK("http://service.sap.com/sap/support/notes/2058979","2058979")</f>
        <v>2058979</v>
      </c>
      <c r="D2751">
        <v>2</v>
      </c>
      <c r="E2751" t="s">
        <v>5562</v>
      </c>
      <c r="F2751" t="s">
        <v>9</v>
      </c>
    </row>
    <row r="2752" spans="1:6" x14ac:dyDescent="0.3">
      <c r="A2752" t="s">
        <v>642</v>
      </c>
      <c r="B2752" t="s">
        <v>154</v>
      </c>
      <c r="C2752" t="str">
        <f>HYPERLINK("http://service.sap.com/sap/support/notes/2062704","2062704")</f>
        <v>2062704</v>
      </c>
      <c r="D2752">
        <v>4</v>
      </c>
      <c r="E2752" t="s">
        <v>5563</v>
      </c>
      <c r="F2752" t="s">
        <v>9</v>
      </c>
    </row>
    <row r="2753" spans="1:6" x14ac:dyDescent="0.3">
      <c r="A2753" t="s">
        <v>642</v>
      </c>
      <c r="B2753" t="s">
        <v>154</v>
      </c>
      <c r="C2753" t="str">
        <f>HYPERLINK("http://service.sap.com/sap/support/notes/2064322","2064322")</f>
        <v>2064322</v>
      </c>
      <c r="D2753">
        <v>2</v>
      </c>
      <c r="E2753" t="s">
        <v>5564</v>
      </c>
      <c r="F2753" t="s">
        <v>9</v>
      </c>
    </row>
    <row r="2754" spans="1:6" x14ac:dyDescent="0.3">
      <c r="A2754" t="s">
        <v>642</v>
      </c>
      <c r="B2754" t="s">
        <v>154</v>
      </c>
      <c r="C2754" t="str">
        <f>HYPERLINK("http://service.sap.com/sap/support/notes/2064325","2064325")</f>
        <v>2064325</v>
      </c>
      <c r="D2754">
        <v>4</v>
      </c>
      <c r="E2754" t="s">
        <v>5565</v>
      </c>
      <c r="F2754" t="s">
        <v>9</v>
      </c>
    </row>
    <row r="2755" spans="1:6" x14ac:dyDescent="0.3">
      <c r="A2755" t="s">
        <v>642</v>
      </c>
      <c r="B2755" t="s">
        <v>154</v>
      </c>
      <c r="C2755" t="str">
        <f>HYPERLINK("http://service.sap.com/sap/support/notes/2064793","2064793")</f>
        <v>2064793</v>
      </c>
      <c r="D2755">
        <v>2</v>
      </c>
      <c r="E2755" t="s">
        <v>5566</v>
      </c>
      <c r="F2755" t="s">
        <v>9</v>
      </c>
    </row>
    <row r="2756" spans="1:6" x14ac:dyDescent="0.3">
      <c r="A2756" t="s">
        <v>671</v>
      </c>
      <c r="B2756" t="s">
        <v>157</v>
      </c>
      <c r="C2756" t="str">
        <f>HYPERLINK("http://service.sap.com/sap/support/notes/1878901","1878901")</f>
        <v>1878901</v>
      </c>
      <c r="D2756">
        <v>7</v>
      </c>
      <c r="E2756" t="s">
        <v>672</v>
      </c>
      <c r="F2756" t="s">
        <v>28</v>
      </c>
    </row>
    <row r="2757" spans="1:6" x14ac:dyDescent="0.3">
      <c r="A2757" t="s">
        <v>671</v>
      </c>
      <c r="B2757" t="s">
        <v>157</v>
      </c>
      <c r="C2757" t="str">
        <f>HYPERLINK("http://service.sap.com/sap/support/notes/1907714","1907714")</f>
        <v>1907714</v>
      </c>
      <c r="D2757">
        <v>1</v>
      </c>
      <c r="E2757" t="s">
        <v>673</v>
      </c>
      <c r="F2757" t="s">
        <v>9</v>
      </c>
    </row>
    <row r="2758" spans="1:6" x14ac:dyDescent="0.3">
      <c r="A2758" t="s">
        <v>671</v>
      </c>
      <c r="B2758" t="s">
        <v>157</v>
      </c>
      <c r="C2758" t="str">
        <f>HYPERLINK("http://service.sap.com/sap/support/notes/1919122","1919122")</f>
        <v>1919122</v>
      </c>
      <c r="D2758">
        <v>2</v>
      </c>
      <c r="E2758" t="s">
        <v>674</v>
      </c>
      <c r="F2758" t="s">
        <v>9</v>
      </c>
    </row>
    <row r="2759" spans="1:6" x14ac:dyDescent="0.3">
      <c r="A2759" t="s">
        <v>671</v>
      </c>
      <c r="B2759" t="s">
        <v>157</v>
      </c>
      <c r="C2759" t="str">
        <f>HYPERLINK("http://service.sap.com/sap/support/notes/1928701","1928701")</f>
        <v>1928701</v>
      </c>
      <c r="D2759">
        <v>2</v>
      </c>
      <c r="E2759" t="s">
        <v>675</v>
      </c>
      <c r="F2759" t="s">
        <v>9</v>
      </c>
    </row>
    <row r="2760" spans="1:6" x14ac:dyDescent="0.3">
      <c r="A2760" t="s">
        <v>671</v>
      </c>
      <c r="B2760" t="s">
        <v>157</v>
      </c>
      <c r="C2760" t="str">
        <f>HYPERLINK("http://service.sap.com/sap/support/notes/1930993","1930993")</f>
        <v>1930993</v>
      </c>
      <c r="D2760">
        <v>1</v>
      </c>
      <c r="E2760" t="s">
        <v>676</v>
      </c>
      <c r="F2760" t="s">
        <v>9</v>
      </c>
    </row>
    <row r="2761" spans="1:6" x14ac:dyDescent="0.3">
      <c r="A2761" t="s">
        <v>671</v>
      </c>
      <c r="B2761" t="s">
        <v>157</v>
      </c>
      <c r="C2761" t="str">
        <f>HYPERLINK("http://service.sap.com/sap/support/notes/1857720","1857720")</f>
        <v>1857720</v>
      </c>
      <c r="D2761">
        <v>9</v>
      </c>
      <c r="E2761" t="s">
        <v>1289</v>
      </c>
      <c r="F2761" t="s">
        <v>9</v>
      </c>
    </row>
    <row r="2762" spans="1:6" x14ac:dyDescent="0.3">
      <c r="A2762" t="s">
        <v>671</v>
      </c>
      <c r="B2762" t="s">
        <v>157</v>
      </c>
      <c r="C2762" t="str">
        <f>HYPERLINK("http://service.sap.com/sap/support/notes/1902703","1902703")</f>
        <v>1902703</v>
      </c>
      <c r="D2762">
        <v>2</v>
      </c>
      <c r="E2762" t="s">
        <v>1290</v>
      </c>
      <c r="F2762" t="s">
        <v>9</v>
      </c>
    </row>
    <row r="2763" spans="1:6" x14ac:dyDescent="0.3">
      <c r="A2763" t="s">
        <v>671</v>
      </c>
      <c r="B2763" t="s">
        <v>157</v>
      </c>
      <c r="C2763" t="str">
        <f>HYPERLINK("http://service.sap.com/sap/support/notes/1933516","1933516")</f>
        <v>1933516</v>
      </c>
      <c r="D2763">
        <v>2</v>
      </c>
      <c r="E2763" t="s">
        <v>1291</v>
      </c>
      <c r="F2763" t="s">
        <v>9</v>
      </c>
    </row>
    <row r="2764" spans="1:6" x14ac:dyDescent="0.3">
      <c r="A2764" t="s">
        <v>671</v>
      </c>
      <c r="B2764" t="s">
        <v>157</v>
      </c>
      <c r="C2764" t="str">
        <f>HYPERLINK("http://service.sap.com/sap/support/notes/1925427","1925427")</f>
        <v>1925427</v>
      </c>
      <c r="D2764">
        <v>2</v>
      </c>
      <c r="E2764" t="s">
        <v>1745</v>
      </c>
      <c r="F2764" t="s">
        <v>9</v>
      </c>
    </row>
    <row r="2765" spans="1:6" x14ac:dyDescent="0.3">
      <c r="A2765" t="s">
        <v>671</v>
      </c>
      <c r="B2765" t="s">
        <v>157</v>
      </c>
      <c r="C2765" t="str">
        <f>HYPERLINK("http://service.sap.com/sap/support/notes/1928164","1928164")</f>
        <v>1928164</v>
      </c>
      <c r="D2765">
        <v>2</v>
      </c>
      <c r="E2765" t="s">
        <v>1746</v>
      </c>
      <c r="F2765" t="s">
        <v>9</v>
      </c>
    </row>
    <row r="2766" spans="1:6" x14ac:dyDescent="0.3">
      <c r="A2766" t="s">
        <v>671</v>
      </c>
      <c r="B2766" t="s">
        <v>157</v>
      </c>
      <c r="C2766" t="str">
        <f>HYPERLINK("http://service.sap.com/sap/support/notes/1936021","1936021")</f>
        <v>1936021</v>
      </c>
      <c r="D2766">
        <v>1</v>
      </c>
      <c r="E2766" t="s">
        <v>1747</v>
      </c>
      <c r="F2766" t="s">
        <v>9</v>
      </c>
    </row>
    <row r="2767" spans="1:6" x14ac:dyDescent="0.3">
      <c r="A2767" t="s">
        <v>671</v>
      </c>
      <c r="B2767" t="s">
        <v>157</v>
      </c>
      <c r="C2767" t="str">
        <f>HYPERLINK("http://service.sap.com/sap/support/notes/1954564","1954564")</f>
        <v>1954564</v>
      </c>
      <c r="D2767">
        <v>2</v>
      </c>
      <c r="E2767" t="s">
        <v>1748</v>
      </c>
      <c r="F2767" t="s">
        <v>9</v>
      </c>
    </row>
    <row r="2768" spans="1:6" x14ac:dyDescent="0.3">
      <c r="A2768" t="s">
        <v>671</v>
      </c>
      <c r="B2768" t="s">
        <v>157</v>
      </c>
      <c r="C2768" t="str">
        <f>HYPERLINK("http://service.sap.com/sap/support/notes/1954741","1954741")</f>
        <v>1954741</v>
      </c>
      <c r="D2768">
        <v>1</v>
      </c>
      <c r="E2768" t="s">
        <v>1749</v>
      </c>
      <c r="F2768" t="s">
        <v>9</v>
      </c>
    </row>
    <row r="2769" spans="1:6" x14ac:dyDescent="0.3">
      <c r="A2769" t="s">
        <v>671</v>
      </c>
      <c r="B2769" t="s">
        <v>157</v>
      </c>
      <c r="C2769" t="str">
        <f>HYPERLINK("http://service.sap.com/sap/support/notes/1953395","1953395")</f>
        <v>1953395</v>
      </c>
      <c r="D2769">
        <v>1</v>
      </c>
      <c r="E2769" t="s">
        <v>2211</v>
      </c>
      <c r="F2769" t="s">
        <v>9</v>
      </c>
    </row>
    <row r="2770" spans="1:6" x14ac:dyDescent="0.3">
      <c r="A2770" t="s">
        <v>671</v>
      </c>
      <c r="B2770" t="s">
        <v>157</v>
      </c>
      <c r="C2770" t="str">
        <f>HYPERLINK("http://service.sap.com/sap/support/notes/1967133","1967133")</f>
        <v>1967133</v>
      </c>
      <c r="D2770">
        <v>1</v>
      </c>
      <c r="E2770" t="s">
        <v>2212</v>
      </c>
      <c r="F2770" t="s">
        <v>9</v>
      </c>
    </row>
    <row r="2771" spans="1:6" x14ac:dyDescent="0.3">
      <c r="A2771" t="s">
        <v>671</v>
      </c>
      <c r="B2771" t="s">
        <v>157</v>
      </c>
      <c r="C2771" t="str">
        <f>HYPERLINK("http://service.sap.com/sap/support/notes/1927360","1927360")</f>
        <v>1927360</v>
      </c>
      <c r="D2771">
        <v>4</v>
      </c>
      <c r="E2771" t="s">
        <v>2568</v>
      </c>
      <c r="F2771" t="s">
        <v>28</v>
      </c>
    </row>
    <row r="2772" spans="1:6" x14ac:dyDescent="0.3">
      <c r="A2772" t="s">
        <v>671</v>
      </c>
      <c r="B2772" t="s">
        <v>157</v>
      </c>
      <c r="C2772" t="str">
        <f>HYPERLINK("http://service.sap.com/sap/support/notes/1939660","1939660")</f>
        <v>1939660</v>
      </c>
      <c r="D2772">
        <v>4</v>
      </c>
      <c r="E2772" t="s">
        <v>2569</v>
      </c>
      <c r="F2772" t="s">
        <v>9</v>
      </c>
    </row>
    <row r="2773" spans="1:6" x14ac:dyDescent="0.3">
      <c r="A2773" t="s">
        <v>671</v>
      </c>
      <c r="B2773" t="s">
        <v>157</v>
      </c>
      <c r="C2773" t="str">
        <f>HYPERLINK("http://service.sap.com/sap/support/notes/1955979","1955979")</f>
        <v>1955979</v>
      </c>
      <c r="D2773">
        <v>3</v>
      </c>
      <c r="E2773" t="s">
        <v>2570</v>
      </c>
      <c r="F2773" t="s">
        <v>9</v>
      </c>
    </row>
    <row r="2774" spans="1:6" x14ac:dyDescent="0.3">
      <c r="A2774" t="s">
        <v>671</v>
      </c>
      <c r="B2774" t="s">
        <v>157</v>
      </c>
      <c r="C2774" t="str">
        <f>HYPERLINK("http://service.sap.com/sap/support/notes/1963305","1963305")</f>
        <v>1963305</v>
      </c>
      <c r="D2774">
        <v>2</v>
      </c>
      <c r="E2774" t="s">
        <v>2571</v>
      </c>
      <c r="F2774" t="s">
        <v>9</v>
      </c>
    </row>
    <row r="2775" spans="1:6" x14ac:dyDescent="0.3">
      <c r="A2775" t="s">
        <v>671</v>
      </c>
      <c r="B2775" t="s">
        <v>157</v>
      </c>
      <c r="C2775" t="str">
        <f>HYPERLINK("http://service.sap.com/sap/support/notes/1966515","1966515")</f>
        <v>1966515</v>
      </c>
      <c r="D2775">
        <v>3</v>
      </c>
      <c r="E2775" t="s">
        <v>2572</v>
      </c>
      <c r="F2775" t="s">
        <v>9</v>
      </c>
    </row>
    <row r="2776" spans="1:6" x14ac:dyDescent="0.3">
      <c r="A2776" t="s">
        <v>671</v>
      </c>
      <c r="B2776" t="s">
        <v>157</v>
      </c>
      <c r="C2776" t="str">
        <f>HYPERLINK("http://service.sap.com/sap/support/notes/1967491","1967491")</f>
        <v>1967491</v>
      </c>
      <c r="D2776">
        <v>3</v>
      </c>
      <c r="E2776" t="s">
        <v>2573</v>
      </c>
      <c r="F2776" t="s">
        <v>9</v>
      </c>
    </row>
    <row r="2777" spans="1:6" x14ac:dyDescent="0.3">
      <c r="A2777" t="s">
        <v>671</v>
      </c>
      <c r="B2777" t="s">
        <v>157</v>
      </c>
      <c r="C2777" t="str">
        <f>HYPERLINK("http://service.sap.com/sap/support/notes/1978749","1978749")</f>
        <v>1978749</v>
      </c>
      <c r="D2777">
        <v>2</v>
      </c>
      <c r="E2777" t="s">
        <v>2574</v>
      </c>
      <c r="F2777" t="s">
        <v>9</v>
      </c>
    </row>
    <row r="2778" spans="1:6" x14ac:dyDescent="0.3">
      <c r="A2778" t="s">
        <v>671</v>
      </c>
      <c r="B2778" t="s">
        <v>157</v>
      </c>
      <c r="C2778" t="str">
        <f>HYPERLINK("http://service.sap.com/sap/support/notes/1983978","1983978")</f>
        <v>1983978</v>
      </c>
      <c r="D2778">
        <v>2</v>
      </c>
      <c r="E2778" t="s">
        <v>3028</v>
      </c>
      <c r="F2778" t="s">
        <v>9</v>
      </c>
    </row>
    <row r="2779" spans="1:6" x14ac:dyDescent="0.3">
      <c r="A2779" t="s">
        <v>671</v>
      </c>
      <c r="B2779" t="s">
        <v>157</v>
      </c>
      <c r="C2779" t="str">
        <f>HYPERLINK("http://service.sap.com/sap/support/notes/1984718","1984718")</f>
        <v>1984718</v>
      </c>
      <c r="D2779">
        <v>1</v>
      </c>
      <c r="E2779" t="s">
        <v>3029</v>
      </c>
      <c r="F2779" t="s">
        <v>9</v>
      </c>
    </row>
    <row r="2780" spans="1:6" x14ac:dyDescent="0.3">
      <c r="A2780" t="s">
        <v>671</v>
      </c>
      <c r="B2780" t="s">
        <v>157</v>
      </c>
      <c r="C2780" t="str">
        <f>HYPERLINK("http://service.sap.com/sap/support/notes/1994844","1994844")</f>
        <v>1994844</v>
      </c>
      <c r="D2780">
        <v>1</v>
      </c>
      <c r="E2780" t="s">
        <v>3030</v>
      </c>
      <c r="F2780" t="s">
        <v>9</v>
      </c>
    </row>
    <row r="2781" spans="1:6" x14ac:dyDescent="0.3">
      <c r="A2781" t="s">
        <v>671</v>
      </c>
      <c r="B2781" t="s">
        <v>157</v>
      </c>
      <c r="C2781" t="str">
        <f>HYPERLINK("http://service.sap.com/sap/support/notes/1942693","1942693")</f>
        <v>1942693</v>
      </c>
      <c r="D2781">
        <v>3</v>
      </c>
      <c r="E2781" t="s">
        <v>3691</v>
      </c>
      <c r="F2781" t="s">
        <v>9</v>
      </c>
    </row>
    <row r="2782" spans="1:6" x14ac:dyDescent="0.3">
      <c r="A2782" t="s">
        <v>671</v>
      </c>
      <c r="B2782" t="s">
        <v>157</v>
      </c>
      <c r="C2782" t="str">
        <f>HYPERLINK("http://service.sap.com/sap/support/notes/1982902","1982902")</f>
        <v>1982902</v>
      </c>
      <c r="D2782">
        <v>4</v>
      </c>
      <c r="E2782" t="s">
        <v>4198</v>
      </c>
      <c r="F2782" t="s">
        <v>9</v>
      </c>
    </row>
    <row r="2783" spans="1:6" x14ac:dyDescent="0.3">
      <c r="A2783" t="s">
        <v>671</v>
      </c>
      <c r="B2783" t="s">
        <v>157</v>
      </c>
      <c r="C2783" t="str">
        <f>HYPERLINK("http://service.sap.com/sap/support/notes/2000530","2000530")</f>
        <v>2000530</v>
      </c>
      <c r="D2783">
        <v>1</v>
      </c>
      <c r="E2783" t="s">
        <v>4199</v>
      </c>
      <c r="F2783" t="s">
        <v>9</v>
      </c>
    </row>
    <row r="2784" spans="1:6" x14ac:dyDescent="0.3">
      <c r="A2784" t="s">
        <v>671</v>
      </c>
      <c r="B2784" t="s">
        <v>157</v>
      </c>
      <c r="C2784" t="str">
        <f>HYPERLINK("http://service.sap.com/sap/support/notes/1975347","1975347")</f>
        <v>1975347</v>
      </c>
      <c r="D2784">
        <v>3</v>
      </c>
      <c r="E2784" t="s">
        <v>4535</v>
      </c>
      <c r="F2784" t="s">
        <v>9</v>
      </c>
    </row>
    <row r="2785" spans="1:6" x14ac:dyDescent="0.3">
      <c r="A2785" t="s">
        <v>671</v>
      </c>
      <c r="B2785" t="s">
        <v>157</v>
      </c>
      <c r="C2785" t="str">
        <f>HYPERLINK("http://service.sap.com/sap/support/notes/2016931","2016931")</f>
        <v>2016931</v>
      </c>
      <c r="D2785">
        <v>2</v>
      </c>
      <c r="E2785" t="s">
        <v>4536</v>
      </c>
      <c r="F2785" t="s">
        <v>9</v>
      </c>
    </row>
    <row r="2786" spans="1:6" x14ac:dyDescent="0.3">
      <c r="A2786" t="s">
        <v>671</v>
      </c>
      <c r="B2786" t="s">
        <v>157</v>
      </c>
      <c r="C2786" t="str">
        <f>HYPERLINK("http://service.sap.com/sap/support/notes/2017656","2017656")</f>
        <v>2017656</v>
      </c>
      <c r="D2786">
        <v>2</v>
      </c>
      <c r="E2786" t="s">
        <v>4537</v>
      </c>
      <c r="F2786" t="s">
        <v>9</v>
      </c>
    </row>
    <row r="2787" spans="1:6" x14ac:dyDescent="0.3">
      <c r="A2787" t="s">
        <v>671</v>
      </c>
      <c r="B2787" t="s">
        <v>157</v>
      </c>
      <c r="C2787" t="str">
        <f>HYPERLINK("http://service.sap.com/sap/support/notes/2022789","2022789")</f>
        <v>2022789</v>
      </c>
      <c r="D2787">
        <v>2</v>
      </c>
      <c r="E2787" t="s">
        <v>4538</v>
      </c>
      <c r="F2787" t="s">
        <v>9</v>
      </c>
    </row>
    <row r="2788" spans="1:6" x14ac:dyDescent="0.3">
      <c r="A2788" t="s">
        <v>671</v>
      </c>
      <c r="B2788" t="s">
        <v>157</v>
      </c>
      <c r="C2788" t="str">
        <f>HYPERLINK("http://service.sap.com/sap/support/notes/2026128","2026128")</f>
        <v>2026128</v>
      </c>
      <c r="D2788">
        <v>3</v>
      </c>
      <c r="E2788" t="s">
        <v>4539</v>
      </c>
      <c r="F2788" t="s">
        <v>9</v>
      </c>
    </row>
    <row r="2789" spans="1:6" x14ac:dyDescent="0.3">
      <c r="A2789" t="s">
        <v>671</v>
      </c>
      <c r="B2789" t="s">
        <v>157</v>
      </c>
      <c r="C2789" t="str">
        <f>HYPERLINK("http://service.sap.com/sap/support/notes/2017077","2017077")</f>
        <v>2017077</v>
      </c>
      <c r="D2789">
        <v>3</v>
      </c>
      <c r="E2789" t="s">
        <v>4846</v>
      </c>
      <c r="F2789" t="s">
        <v>9</v>
      </c>
    </row>
    <row r="2790" spans="1:6" x14ac:dyDescent="0.3">
      <c r="A2790" t="s">
        <v>671</v>
      </c>
      <c r="B2790" t="s">
        <v>157</v>
      </c>
      <c r="C2790" t="str">
        <f>HYPERLINK("http://service.sap.com/sap/support/notes/2017555","2017555")</f>
        <v>2017555</v>
      </c>
      <c r="D2790">
        <v>2</v>
      </c>
      <c r="E2790" t="s">
        <v>4847</v>
      </c>
      <c r="F2790" t="s">
        <v>9</v>
      </c>
    </row>
    <row r="2791" spans="1:6" x14ac:dyDescent="0.3">
      <c r="A2791" t="s">
        <v>671</v>
      </c>
      <c r="B2791" t="s">
        <v>157</v>
      </c>
      <c r="C2791" t="str">
        <f>HYPERLINK("http://service.sap.com/sap/support/notes/2024213","2024213")</f>
        <v>2024213</v>
      </c>
      <c r="D2791">
        <v>2</v>
      </c>
      <c r="E2791" t="s">
        <v>4848</v>
      </c>
      <c r="F2791" t="s">
        <v>9</v>
      </c>
    </row>
    <row r="2792" spans="1:6" x14ac:dyDescent="0.3">
      <c r="A2792" t="s">
        <v>671</v>
      </c>
      <c r="B2792" t="s">
        <v>157</v>
      </c>
      <c r="C2792" t="str">
        <f>HYPERLINK("http://service.sap.com/sap/support/notes/2032405","2032405")</f>
        <v>2032405</v>
      </c>
      <c r="D2792">
        <v>1</v>
      </c>
      <c r="E2792" t="s">
        <v>4849</v>
      </c>
      <c r="F2792" t="s">
        <v>9</v>
      </c>
    </row>
    <row r="2793" spans="1:6" x14ac:dyDescent="0.3">
      <c r="A2793" t="s">
        <v>671</v>
      </c>
      <c r="B2793" t="s">
        <v>157</v>
      </c>
      <c r="C2793" t="str">
        <f>HYPERLINK("http://service.sap.com/sap/support/notes/2040486","2040486")</f>
        <v>2040486</v>
      </c>
      <c r="D2793">
        <v>1</v>
      </c>
      <c r="E2793" t="s">
        <v>4850</v>
      </c>
      <c r="F2793" t="s">
        <v>9</v>
      </c>
    </row>
    <row r="2794" spans="1:6" x14ac:dyDescent="0.3">
      <c r="A2794" t="s">
        <v>671</v>
      </c>
      <c r="B2794" t="s">
        <v>157</v>
      </c>
      <c r="C2794" t="str">
        <f>HYPERLINK("http://service.sap.com/sap/support/notes/2030711","2030711")</f>
        <v>2030711</v>
      </c>
      <c r="D2794">
        <v>3</v>
      </c>
      <c r="E2794" t="s">
        <v>5232</v>
      </c>
      <c r="F2794" t="s">
        <v>9</v>
      </c>
    </row>
    <row r="2795" spans="1:6" x14ac:dyDescent="0.3">
      <c r="A2795" t="s">
        <v>671</v>
      </c>
      <c r="B2795" t="s">
        <v>157</v>
      </c>
      <c r="C2795" t="str">
        <f>HYPERLINK("http://service.sap.com/sap/support/notes/2044973","2044973")</f>
        <v>2044973</v>
      </c>
      <c r="D2795">
        <v>1</v>
      </c>
      <c r="E2795" t="s">
        <v>5233</v>
      </c>
      <c r="F2795" t="s">
        <v>9</v>
      </c>
    </row>
    <row r="2796" spans="1:6" x14ac:dyDescent="0.3">
      <c r="A2796" t="s">
        <v>671</v>
      </c>
      <c r="B2796" t="s">
        <v>157</v>
      </c>
      <c r="C2796" t="str">
        <f>HYPERLINK("http://service.sap.com/sap/support/notes/2001563","2001563")</f>
        <v>2001563</v>
      </c>
      <c r="D2796">
        <v>19</v>
      </c>
      <c r="E2796" t="s">
        <v>5567</v>
      </c>
      <c r="F2796" t="s">
        <v>9</v>
      </c>
    </row>
    <row r="2797" spans="1:6" x14ac:dyDescent="0.3">
      <c r="A2797" t="s">
        <v>671</v>
      </c>
      <c r="B2797" t="s">
        <v>157</v>
      </c>
      <c r="C2797" t="str">
        <f>HYPERLINK("http://service.sap.com/sap/support/notes/2019459","2019459")</f>
        <v>2019459</v>
      </c>
      <c r="D2797">
        <v>2</v>
      </c>
      <c r="E2797" t="s">
        <v>5568</v>
      </c>
      <c r="F2797" t="s">
        <v>9</v>
      </c>
    </row>
    <row r="2798" spans="1:6" x14ac:dyDescent="0.3">
      <c r="A2798" t="s">
        <v>671</v>
      </c>
      <c r="B2798" t="s">
        <v>157</v>
      </c>
      <c r="C2798" t="str">
        <f>HYPERLINK("http://service.sap.com/sap/support/notes/2051005","2051005")</f>
        <v>2051005</v>
      </c>
      <c r="D2798">
        <v>1</v>
      </c>
      <c r="E2798" t="s">
        <v>5569</v>
      </c>
      <c r="F2798" t="s">
        <v>9</v>
      </c>
    </row>
    <row r="2799" spans="1:6" x14ac:dyDescent="0.3">
      <c r="A2799" t="s">
        <v>677</v>
      </c>
      <c r="B2799" t="s">
        <v>160</v>
      </c>
      <c r="C2799" t="str">
        <f>HYPERLINK("http://service.sap.com/sap/support/notes/1874375","1874375")</f>
        <v>1874375</v>
      </c>
      <c r="D2799">
        <v>10</v>
      </c>
      <c r="E2799" t="s">
        <v>678</v>
      </c>
      <c r="F2799" t="s">
        <v>9</v>
      </c>
    </row>
    <row r="2800" spans="1:6" x14ac:dyDescent="0.3">
      <c r="A2800" t="s">
        <v>677</v>
      </c>
      <c r="B2800" t="s">
        <v>160</v>
      </c>
      <c r="C2800" t="str">
        <f>HYPERLINK("http://service.sap.com/sap/support/notes/1905302","1905302")</f>
        <v>1905302</v>
      </c>
      <c r="D2800">
        <v>2</v>
      </c>
      <c r="E2800" t="s">
        <v>679</v>
      </c>
      <c r="F2800" t="s">
        <v>9</v>
      </c>
    </row>
    <row r="2801" spans="1:6" x14ac:dyDescent="0.3">
      <c r="A2801" t="s">
        <v>677</v>
      </c>
      <c r="B2801" t="s">
        <v>160</v>
      </c>
      <c r="C2801" t="str">
        <f>HYPERLINK("http://service.sap.com/sap/support/notes/1912696","1912696")</f>
        <v>1912696</v>
      </c>
      <c r="D2801">
        <v>3</v>
      </c>
      <c r="E2801" t="s">
        <v>680</v>
      </c>
      <c r="F2801" t="s">
        <v>9</v>
      </c>
    </row>
    <row r="2802" spans="1:6" x14ac:dyDescent="0.3">
      <c r="A2802" t="s">
        <v>677</v>
      </c>
      <c r="B2802" t="s">
        <v>160</v>
      </c>
      <c r="C2802" t="str">
        <f>HYPERLINK("http://service.sap.com/sap/support/notes/1913312","1913312")</f>
        <v>1913312</v>
      </c>
      <c r="D2802">
        <v>3</v>
      </c>
      <c r="E2802" t="s">
        <v>681</v>
      </c>
      <c r="F2802" t="s">
        <v>9</v>
      </c>
    </row>
    <row r="2803" spans="1:6" x14ac:dyDescent="0.3">
      <c r="A2803" t="s">
        <v>677</v>
      </c>
      <c r="B2803" t="s">
        <v>160</v>
      </c>
      <c r="C2803" t="str">
        <f>HYPERLINK("http://service.sap.com/sap/support/notes/1915604","1915604")</f>
        <v>1915604</v>
      </c>
      <c r="D2803">
        <v>2</v>
      </c>
      <c r="E2803" t="s">
        <v>682</v>
      </c>
      <c r="F2803" t="s">
        <v>9</v>
      </c>
    </row>
    <row r="2804" spans="1:6" x14ac:dyDescent="0.3">
      <c r="A2804" t="s">
        <v>677</v>
      </c>
      <c r="B2804" t="s">
        <v>160</v>
      </c>
      <c r="C2804" t="str">
        <f>HYPERLINK("http://service.sap.com/sap/support/notes/1916785","1916785")</f>
        <v>1916785</v>
      </c>
      <c r="D2804">
        <v>3</v>
      </c>
      <c r="E2804" t="s">
        <v>683</v>
      </c>
      <c r="F2804" t="s">
        <v>9</v>
      </c>
    </row>
    <row r="2805" spans="1:6" x14ac:dyDescent="0.3">
      <c r="A2805" t="s">
        <v>677</v>
      </c>
      <c r="B2805" t="s">
        <v>160</v>
      </c>
      <c r="C2805" t="str">
        <f>HYPERLINK("http://service.sap.com/sap/support/notes/1917083","1917083")</f>
        <v>1917083</v>
      </c>
      <c r="D2805">
        <v>2</v>
      </c>
      <c r="E2805" t="s">
        <v>684</v>
      </c>
      <c r="F2805" t="s">
        <v>9</v>
      </c>
    </row>
    <row r="2806" spans="1:6" x14ac:dyDescent="0.3">
      <c r="A2806" t="s">
        <v>677</v>
      </c>
      <c r="B2806" t="s">
        <v>160</v>
      </c>
      <c r="C2806" t="str">
        <f>HYPERLINK("http://service.sap.com/sap/support/notes/1917206","1917206")</f>
        <v>1917206</v>
      </c>
      <c r="D2806">
        <v>2</v>
      </c>
      <c r="E2806" t="s">
        <v>685</v>
      </c>
      <c r="F2806" t="s">
        <v>9</v>
      </c>
    </row>
    <row r="2807" spans="1:6" x14ac:dyDescent="0.3">
      <c r="A2807" t="s">
        <v>677</v>
      </c>
      <c r="B2807" t="s">
        <v>160</v>
      </c>
      <c r="C2807" t="str">
        <f>HYPERLINK("http://service.sap.com/sap/support/notes/1917234","1917234")</f>
        <v>1917234</v>
      </c>
      <c r="D2807">
        <v>1</v>
      </c>
      <c r="E2807" t="s">
        <v>686</v>
      </c>
      <c r="F2807" t="s">
        <v>9</v>
      </c>
    </row>
    <row r="2808" spans="1:6" x14ac:dyDescent="0.3">
      <c r="A2808" t="s">
        <v>677</v>
      </c>
      <c r="B2808" t="s">
        <v>160</v>
      </c>
      <c r="C2808" t="str">
        <f>HYPERLINK("http://service.sap.com/sap/support/notes/1918886","1918886")</f>
        <v>1918886</v>
      </c>
      <c r="D2808">
        <v>1</v>
      </c>
      <c r="E2808" t="s">
        <v>687</v>
      </c>
      <c r="F2808" t="s">
        <v>9</v>
      </c>
    </row>
    <row r="2809" spans="1:6" x14ac:dyDescent="0.3">
      <c r="A2809" t="s">
        <v>677</v>
      </c>
      <c r="B2809" t="s">
        <v>160</v>
      </c>
      <c r="C2809" t="str">
        <f>HYPERLINK("http://service.sap.com/sap/support/notes/1918910","1918910")</f>
        <v>1918910</v>
      </c>
      <c r="D2809">
        <v>1</v>
      </c>
      <c r="E2809" t="s">
        <v>688</v>
      </c>
      <c r="F2809" t="s">
        <v>9</v>
      </c>
    </row>
    <row r="2810" spans="1:6" x14ac:dyDescent="0.3">
      <c r="A2810" t="s">
        <v>677</v>
      </c>
      <c r="B2810" t="s">
        <v>160</v>
      </c>
      <c r="C2810" t="str">
        <f>HYPERLINK("http://service.sap.com/sap/support/notes/1919191","1919191")</f>
        <v>1919191</v>
      </c>
      <c r="D2810">
        <v>1</v>
      </c>
      <c r="E2810" t="s">
        <v>689</v>
      </c>
      <c r="F2810" t="s">
        <v>9</v>
      </c>
    </row>
    <row r="2811" spans="1:6" x14ac:dyDescent="0.3">
      <c r="A2811" t="s">
        <v>677</v>
      </c>
      <c r="B2811" t="s">
        <v>160</v>
      </c>
      <c r="C2811" t="str">
        <f>HYPERLINK("http://service.sap.com/sap/support/notes/1919461","1919461")</f>
        <v>1919461</v>
      </c>
      <c r="D2811">
        <v>3</v>
      </c>
      <c r="E2811" t="s">
        <v>690</v>
      </c>
      <c r="F2811" t="s">
        <v>28</v>
      </c>
    </row>
    <row r="2812" spans="1:6" x14ac:dyDescent="0.3">
      <c r="A2812" t="s">
        <v>677</v>
      </c>
      <c r="B2812" t="s">
        <v>160</v>
      </c>
      <c r="C2812" t="str">
        <f>HYPERLINK("http://service.sap.com/sap/support/notes/1919619","1919619")</f>
        <v>1919619</v>
      </c>
      <c r="D2812">
        <v>1</v>
      </c>
      <c r="E2812" t="s">
        <v>691</v>
      </c>
      <c r="F2812" t="s">
        <v>9</v>
      </c>
    </row>
    <row r="2813" spans="1:6" x14ac:dyDescent="0.3">
      <c r="A2813" t="s">
        <v>677</v>
      </c>
      <c r="B2813" t="s">
        <v>160</v>
      </c>
      <c r="C2813" t="str">
        <f>HYPERLINK("http://service.sap.com/sap/support/notes/1920196","1920196")</f>
        <v>1920196</v>
      </c>
      <c r="D2813">
        <v>1</v>
      </c>
      <c r="E2813" t="s">
        <v>692</v>
      </c>
      <c r="F2813" t="s">
        <v>9</v>
      </c>
    </row>
    <row r="2814" spans="1:6" x14ac:dyDescent="0.3">
      <c r="A2814" t="s">
        <v>677</v>
      </c>
      <c r="B2814" t="s">
        <v>160</v>
      </c>
      <c r="C2814" t="str">
        <f>HYPERLINK("http://service.sap.com/sap/support/notes/1921663","1921663")</f>
        <v>1921663</v>
      </c>
      <c r="D2814">
        <v>1</v>
      </c>
      <c r="E2814" t="s">
        <v>693</v>
      </c>
      <c r="F2814" t="s">
        <v>16</v>
      </c>
    </row>
    <row r="2815" spans="1:6" x14ac:dyDescent="0.3">
      <c r="A2815" t="s">
        <v>677</v>
      </c>
      <c r="B2815" t="s">
        <v>160</v>
      </c>
      <c r="C2815" t="str">
        <f>HYPERLINK("http://service.sap.com/sap/support/notes/1922249","1922249")</f>
        <v>1922249</v>
      </c>
      <c r="D2815">
        <v>2</v>
      </c>
      <c r="E2815" t="s">
        <v>694</v>
      </c>
      <c r="F2815" t="s">
        <v>9</v>
      </c>
    </row>
    <row r="2816" spans="1:6" x14ac:dyDescent="0.3">
      <c r="A2816" t="s">
        <v>677</v>
      </c>
      <c r="B2816" t="s">
        <v>160</v>
      </c>
      <c r="C2816" t="str">
        <f>HYPERLINK("http://service.sap.com/sap/support/notes/1922343","1922343")</f>
        <v>1922343</v>
      </c>
      <c r="D2816">
        <v>1</v>
      </c>
      <c r="E2816" t="s">
        <v>695</v>
      </c>
      <c r="F2816" t="s">
        <v>9</v>
      </c>
    </row>
    <row r="2817" spans="1:6" x14ac:dyDescent="0.3">
      <c r="A2817" t="s">
        <v>677</v>
      </c>
      <c r="B2817" t="s">
        <v>160</v>
      </c>
      <c r="C2817" t="str">
        <f>HYPERLINK("http://service.sap.com/sap/support/notes/1922368","1922368")</f>
        <v>1922368</v>
      </c>
      <c r="D2817">
        <v>6</v>
      </c>
      <c r="E2817" t="s">
        <v>696</v>
      </c>
      <c r="F2817" t="s">
        <v>28</v>
      </c>
    </row>
    <row r="2818" spans="1:6" x14ac:dyDescent="0.3">
      <c r="A2818" t="s">
        <v>677</v>
      </c>
      <c r="B2818" t="s">
        <v>160</v>
      </c>
      <c r="C2818" t="str">
        <f>HYPERLINK("http://service.sap.com/sap/support/notes/1922879","1922879")</f>
        <v>1922879</v>
      </c>
      <c r="D2818">
        <v>3</v>
      </c>
      <c r="E2818" t="s">
        <v>697</v>
      </c>
      <c r="F2818" t="s">
        <v>28</v>
      </c>
    </row>
    <row r="2819" spans="1:6" x14ac:dyDescent="0.3">
      <c r="A2819" t="s">
        <v>677</v>
      </c>
      <c r="B2819" t="s">
        <v>160</v>
      </c>
      <c r="C2819" t="str">
        <f>HYPERLINK("http://service.sap.com/sap/support/notes/1922943","1922943")</f>
        <v>1922943</v>
      </c>
      <c r="D2819">
        <v>2</v>
      </c>
      <c r="E2819" t="s">
        <v>698</v>
      </c>
      <c r="F2819" t="s">
        <v>9</v>
      </c>
    </row>
    <row r="2820" spans="1:6" x14ac:dyDescent="0.3">
      <c r="A2820" t="s">
        <v>677</v>
      </c>
      <c r="B2820" t="s">
        <v>160</v>
      </c>
      <c r="C2820" t="str">
        <f>HYPERLINK("http://service.sap.com/sap/support/notes/1923515","1923515")</f>
        <v>1923515</v>
      </c>
      <c r="D2820">
        <v>2</v>
      </c>
      <c r="E2820" t="s">
        <v>699</v>
      </c>
      <c r="F2820" t="s">
        <v>9</v>
      </c>
    </row>
    <row r="2821" spans="1:6" x14ac:dyDescent="0.3">
      <c r="A2821" t="s">
        <v>677</v>
      </c>
      <c r="B2821" t="s">
        <v>160</v>
      </c>
      <c r="C2821" t="str">
        <f>HYPERLINK("http://service.sap.com/sap/support/notes/1924072","1924072")</f>
        <v>1924072</v>
      </c>
      <c r="D2821">
        <v>2</v>
      </c>
      <c r="E2821" t="s">
        <v>700</v>
      </c>
      <c r="F2821" t="s">
        <v>9</v>
      </c>
    </row>
    <row r="2822" spans="1:6" x14ac:dyDescent="0.3">
      <c r="A2822" t="s">
        <v>677</v>
      </c>
      <c r="B2822" t="s">
        <v>160</v>
      </c>
      <c r="C2822" t="str">
        <f>HYPERLINK("http://service.sap.com/sap/support/notes/1924433","1924433")</f>
        <v>1924433</v>
      </c>
      <c r="D2822">
        <v>1</v>
      </c>
      <c r="E2822" t="s">
        <v>701</v>
      </c>
      <c r="F2822" t="s">
        <v>16</v>
      </c>
    </row>
    <row r="2823" spans="1:6" x14ac:dyDescent="0.3">
      <c r="A2823" t="s">
        <v>677</v>
      </c>
      <c r="B2823" t="s">
        <v>160</v>
      </c>
      <c r="C2823" t="str">
        <f>HYPERLINK("http://service.sap.com/sap/support/notes/1925502","1925502")</f>
        <v>1925502</v>
      </c>
      <c r="D2823">
        <v>2</v>
      </c>
      <c r="E2823" t="s">
        <v>702</v>
      </c>
      <c r="F2823" t="s">
        <v>9</v>
      </c>
    </row>
    <row r="2824" spans="1:6" x14ac:dyDescent="0.3">
      <c r="A2824" t="s">
        <v>677</v>
      </c>
      <c r="B2824" t="s">
        <v>160</v>
      </c>
      <c r="C2824" t="str">
        <f>HYPERLINK("http://service.sap.com/sap/support/notes/1925631","1925631")</f>
        <v>1925631</v>
      </c>
      <c r="D2824">
        <v>2</v>
      </c>
      <c r="E2824" t="s">
        <v>703</v>
      </c>
      <c r="F2824" t="s">
        <v>9</v>
      </c>
    </row>
    <row r="2825" spans="1:6" x14ac:dyDescent="0.3">
      <c r="A2825" t="s">
        <v>677</v>
      </c>
      <c r="B2825" t="s">
        <v>160</v>
      </c>
      <c r="C2825" t="str">
        <f>HYPERLINK("http://service.sap.com/sap/support/notes/1926005","1926005")</f>
        <v>1926005</v>
      </c>
      <c r="D2825">
        <v>2</v>
      </c>
      <c r="E2825" t="s">
        <v>704</v>
      </c>
      <c r="F2825" t="s">
        <v>9</v>
      </c>
    </row>
    <row r="2826" spans="1:6" x14ac:dyDescent="0.3">
      <c r="A2826" t="s">
        <v>677</v>
      </c>
      <c r="B2826" t="s">
        <v>160</v>
      </c>
      <c r="C2826" t="str">
        <f>HYPERLINK("http://service.sap.com/sap/support/notes/1926013","1926013")</f>
        <v>1926013</v>
      </c>
      <c r="D2826">
        <v>5</v>
      </c>
      <c r="E2826" t="s">
        <v>705</v>
      </c>
      <c r="F2826" t="s">
        <v>9</v>
      </c>
    </row>
    <row r="2827" spans="1:6" x14ac:dyDescent="0.3">
      <c r="A2827" t="s">
        <v>677</v>
      </c>
      <c r="B2827" t="s">
        <v>160</v>
      </c>
      <c r="C2827" t="str">
        <f>HYPERLINK("http://service.sap.com/sap/support/notes/1928440","1928440")</f>
        <v>1928440</v>
      </c>
      <c r="D2827">
        <v>1</v>
      </c>
      <c r="E2827" t="s">
        <v>706</v>
      </c>
      <c r="F2827" t="s">
        <v>9</v>
      </c>
    </row>
    <row r="2828" spans="1:6" x14ac:dyDescent="0.3">
      <c r="A2828" t="s">
        <v>677</v>
      </c>
      <c r="B2828" t="s">
        <v>160</v>
      </c>
      <c r="C2828" t="str">
        <f>HYPERLINK("http://service.sap.com/sap/support/notes/1929137","1929137")</f>
        <v>1929137</v>
      </c>
      <c r="D2828">
        <v>5</v>
      </c>
      <c r="E2828" t="s">
        <v>707</v>
      </c>
      <c r="F2828" t="s">
        <v>28</v>
      </c>
    </row>
    <row r="2829" spans="1:6" x14ac:dyDescent="0.3">
      <c r="A2829" t="s">
        <v>677</v>
      </c>
      <c r="B2829" t="s">
        <v>160</v>
      </c>
      <c r="C2829" t="str">
        <f>HYPERLINK("http://service.sap.com/sap/support/notes/1931435","1931435")</f>
        <v>1931435</v>
      </c>
      <c r="D2829">
        <v>1</v>
      </c>
      <c r="E2829" t="s">
        <v>708</v>
      </c>
      <c r="F2829" t="s">
        <v>9</v>
      </c>
    </row>
    <row r="2830" spans="1:6" x14ac:dyDescent="0.3">
      <c r="A2830" t="s">
        <v>677</v>
      </c>
      <c r="B2830" t="s">
        <v>160</v>
      </c>
      <c r="C2830" t="str">
        <f>HYPERLINK("http://service.sap.com/sap/support/notes/1931878","1931878")</f>
        <v>1931878</v>
      </c>
      <c r="D2830">
        <v>1</v>
      </c>
      <c r="E2830" t="s">
        <v>709</v>
      </c>
      <c r="F2830" t="s">
        <v>9</v>
      </c>
    </row>
    <row r="2831" spans="1:6" x14ac:dyDescent="0.3">
      <c r="A2831" t="s">
        <v>677</v>
      </c>
      <c r="B2831" t="s">
        <v>160</v>
      </c>
      <c r="C2831" t="str">
        <f>HYPERLINK("http://service.sap.com/sap/support/notes/1889945","1889945")</f>
        <v>1889945</v>
      </c>
      <c r="D2831">
        <v>1</v>
      </c>
      <c r="E2831" t="s">
        <v>1292</v>
      </c>
      <c r="F2831" t="s">
        <v>9</v>
      </c>
    </row>
    <row r="2832" spans="1:6" x14ac:dyDescent="0.3">
      <c r="A2832" t="s">
        <v>677</v>
      </c>
      <c r="B2832" t="s">
        <v>160</v>
      </c>
      <c r="C2832" t="str">
        <f>HYPERLINK("http://service.sap.com/sap/support/notes/1931731","1931731")</f>
        <v>1931731</v>
      </c>
      <c r="D2832">
        <v>5</v>
      </c>
      <c r="E2832" t="s">
        <v>1293</v>
      </c>
      <c r="F2832" t="s">
        <v>9</v>
      </c>
    </row>
    <row r="2833" spans="1:6" x14ac:dyDescent="0.3">
      <c r="A2833" t="s">
        <v>677</v>
      </c>
      <c r="B2833" t="s">
        <v>160</v>
      </c>
      <c r="C2833" t="str">
        <f>HYPERLINK("http://service.sap.com/sap/support/notes/1932383","1932383")</f>
        <v>1932383</v>
      </c>
      <c r="D2833">
        <v>1</v>
      </c>
      <c r="E2833" t="s">
        <v>1294</v>
      </c>
      <c r="F2833" t="s">
        <v>16</v>
      </c>
    </row>
    <row r="2834" spans="1:6" x14ac:dyDescent="0.3">
      <c r="A2834" t="s">
        <v>677</v>
      </c>
      <c r="B2834" t="s">
        <v>160</v>
      </c>
      <c r="C2834" t="str">
        <f>HYPERLINK("http://service.sap.com/sap/support/notes/1933040","1933040")</f>
        <v>1933040</v>
      </c>
      <c r="D2834">
        <v>2</v>
      </c>
      <c r="E2834" t="s">
        <v>1295</v>
      </c>
      <c r="F2834" t="s">
        <v>28</v>
      </c>
    </row>
    <row r="2835" spans="1:6" x14ac:dyDescent="0.3">
      <c r="A2835" t="s">
        <v>677</v>
      </c>
      <c r="B2835" t="s">
        <v>160</v>
      </c>
      <c r="C2835" t="str">
        <f>HYPERLINK("http://service.sap.com/sap/support/notes/1935130","1935130")</f>
        <v>1935130</v>
      </c>
      <c r="D2835">
        <v>1</v>
      </c>
      <c r="E2835" t="s">
        <v>1296</v>
      </c>
      <c r="F2835" t="s">
        <v>9</v>
      </c>
    </row>
    <row r="2836" spans="1:6" x14ac:dyDescent="0.3">
      <c r="A2836" t="s">
        <v>677</v>
      </c>
      <c r="B2836" t="s">
        <v>160</v>
      </c>
      <c r="C2836" t="str">
        <f>HYPERLINK("http://service.sap.com/sap/support/notes/1733122","1733122")</f>
        <v>1733122</v>
      </c>
      <c r="D2836">
        <v>1</v>
      </c>
      <c r="E2836" t="s">
        <v>1750</v>
      </c>
      <c r="F2836" t="s">
        <v>9</v>
      </c>
    </row>
    <row r="2837" spans="1:6" x14ac:dyDescent="0.3">
      <c r="A2837" t="s">
        <v>677</v>
      </c>
      <c r="B2837" t="s">
        <v>160</v>
      </c>
      <c r="C2837" t="str">
        <f>HYPERLINK("http://service.sap.com/sap/support/notes/1866661","1866661")</f>
        <v>1866661</v>
      </c>
      <c r="D2837">
        <v>1</v>
      </c>
      <c r="E2837" t="s">
        <v>1751</v>
      </c>
      <c r="F2837" t="s">
        <v>9</v>
      </c>
    </row>
    <row r="2838" spans="1:6" x14ac:dyDescent="0.3">
      <c r="A2838" t="s">
        <v>677</v>
      </c>
      <c r="B2838" t="s">
        <v>160</v>
      </c>
      <c r="C2838" t="str">
        <f>HYPERLINK("http://service.sap.com/sap/support/notes/1880003","1880003")</f>
        <v>1880003</v>
      </c>
      <c r="D2838">
        <v>10</v>
      </c>
      <c r="E2838" t="s">
        <v>1752</v>
      </c>
      <c r="F2838" t="s">
        <v>9</v>
      </c>
    </row>
    <row r="2839" spans="1:6" x14ac:dyDescent="0.3">
      <c r="A2839" t="s">
        <v>677</v>
      </c>
      <c r="B2839" t="s">
        <v>160</v>
      </c>
      <c r="C2839" t="str">
        <f>HYPERLINK("http://service.sap.com/sap/support/notes/1884525","1884525")</f>
        <v>1884525</v>
      </c>
      <c r="D2839">
        <v>1</v>
      </c>
      <c r="E2839" t="s">
        <v>1753</v>
      </c>
      <c r="F2839" t="s">
        <v>28</v>
      </c>
    </row>
    <row r="2840" spans="1:6" x14ac:dyDescent="0.3">
      <c r="A2840" t="s">
        <v>677</v>
      </c>
      <c r="B2840" t="s">
        <v>160</v>
      </c>
      <c r="C2840" t="str">
        <f>HYPERLINK("http://service.sap.com/sap/support/notes/1897848","1897848")</f>
        <v>1897848</v>
      </c>
      <c r="D2840">
        <v>2</v>
      </c>
      <c r="E2840" t="s">
        <v>1754</v>
      </c>
      <c r="F2840" t="s">
        <v>9</v>
      </c>
    </row>
    <row r="2841" spans="1:6" x14ac:dyDescent="0.3">
      <c r="A2841" t="s">
        <v>677</v>
      </c>
      <c r="B2841" t="s">
        <v>160</v>
      </c>
      <c r="C2841" t="str">
        <f>HYPERLINK("http://service.sap.com/sap/support/notes/1924600","1924600")</f>
        <v>1924600</v>
      </c>
      <c r="D2841">
        <v>3</v>
      </c>
      <c r="E2841" t="s">
        <v>1755</v>
      </c>
      <c r="F2841" t="s">
        <v>9</v>
      </c>
    </row>
    <row r="2842" spans="1:6" x14ac:dyDescent="0.3">
      <c r="A2842" t="s">
        <v>677</v>
      </c>
      <c r="B2842" t="s">
        <v>160</v>
      </c>
      <c r="C2842" t="str">
        <f>HYPERLINK("http://service.sap.com/sap/support/notes/1929121","1929121")</f>
        <v>1929121</v>
      </c>
      <c r="D2842">
        <v>4</v>
      </c>
      <c r="E2842" t="s">
        <v>1756</v>
      </c>
      <c r="F2842" t="s">
        <v>9</v>
      </c>
    </row>
    <row r="2843" spans="1:6" x14ac:dyDescent="0.3">
      <c r="A2843" t="s">
        <v>677</v>
      </c>
      <c r="B2843" t="s">
        <v>160</v>
      </c>
      <c r="C2843" t="str">
        <f>HYPERLINK("http://service.sap.com/sap/support/notes/1932997","1932997")</f>
        <v>1932997</v>
      </c>
      <c r="D2843">
        <v>3</v>
      </c>
      <c r="E2843" t="s">
        <v>1757</v>
      </c>
      <c r="F2843" t="s">
        <v>9</v>
      </c>
    </row>
    <row r="2844" spans="1:6" x14ac:dyDescent="0.3">
      <c r="A2844" t="s">
        <v>677</v>
      </c>
      <c r="B2844" t="s">
        <v>160</v>
      </c>
      <c r="C2844" t="str">
        <f>HYPERLINK("http://service.sap.com/sap/support/notes/1940329","1940329")</f>
        <v>1940329</v>
      </c>
      <c r="D2844">
        <v>2</v>
      </c>
      <c r="E2844" t="s">
        <v>1758</v>
      </c>
      <c r="F2844" t="s">
        <v>9</v>
      </c>
    </row>
    <row r="2845" spans="1:6" x14ac:dyDescent="0.3">
      <c r="A2845" t="s">
        <v>677</v>
      </c>
      <c r="B2845" t="s">
        <v>160</v>
      </c>
      <c r="C2845" t="str">
        <f>HYPERLINK("http://service.sap.com/sap/support/notes/1940550","1940550")</f>
        <v>1940550</v>
      </c>
      <c r="D2845">
        <v>12</v>
      </c>
      <c r="E2845" t="s">
        <v>1759</v>
      </c>
      <c r="F2845" t="s">
        <v>9</v>
      </c>
    </row>
    <row r="2846" spans="1:6" x14ac:dyDescent="0.3">
      <c r="A2846" t="s">
        <v>677</v>
      </c>
      <c r="B2846" t="s">
        <v>160</v>
      </c>
      <c r="C2846" t="str">
        <f>HYPERLINK("http://service.sap.com/sap/support/notes/1940781","1940781")</f>
        <v>1940781</v>
      </c>
      <c r="D2846">
        <v>3</v>
      </c>
      <c r="E2846" t="s">
        <v>1760</v>
      </c>
      <c r="F2846" t="s">
        <v>9</v>
      </c>
    </row>
    <row r="2847" spans="1:6" x14ac:dyDescent="0.3">
      <c r="A2847" t="s">
        <v>677</v>
      </c>
      <c r="B2847" t="s">
        <v>160</v>
      </c>
      <c r="C2847" t="str">
        <f>HYPERLINK("http://service.sap.com/sap/support/notes/1942056","1942056")</f>
        <v>1942056</v>
      </c>
      <c r="D2847">
        <v>1</v>
      </c>
      <c r="E2847" t="s">
        <v>1761</v>
      </c>
      <c r="F2847" t="s">
        <v>9</v>
      </c>
    </row>
    <row r="2848" spans="1:6" x14ac:dyDescent="0.3">
      <c r="A2848" t="s">
        <v>677</v>
      </c>
      <c r="B2848" t="s">
        <v>160</v>
      </c>
      <c r="C2848" t="str">
        <f>HYPERLINK("http://service.sap.com/sap/support/notes/1945359","1945359")</f>
        <v>1945359</v>
      </c>
      <c r="D2848">
        <v>5</v>
      </c>
      <c r="E2848" t="s">
        <v>1762</v>
      </c>
      <c r="F2848" t="s">
        <v>9</v>
      </c>
    </row>
    <row r="2849" spans="1:6" x14ac:dyDescent="0.3">
      <c r="A2849" t="s">
        <v>677</v>
      </c>
      <c r="B2849" t="s">
        <v>160</v>
      </c>
      <c r="C2849" t="str">
        <f>HYPERLINK("http://service.sap.com/sap/support/notes/1946350","1946350")</f>
        <v>1946350</v>
      </c>
      <c r="D2849">
        <v>5</v>
      </c>
      <c r="E2849" t="s">
        <v>1763</v>
      </c>
      <c r="F2849" t="s">
        <v>9</v>
      </c>
    </row>
    <row r="2850" spans="1:6" x14ac:dyDescent="0.3">
      <c r="A2850" t="s">
        <v>677</v>
      </c>
      <c r="B2850" t="s">
        <v>160</v>
      </c>
      <c r="C2850" t="str">
        <f>HYPERLINK("http://service.sap.com/sap/support/notes/1947079","1947079")</f>
        <v>1947079</v>
      </c>
      <c r="D2850">
        <v>2</v>
      </c>
      <c r="E2850" t="s">
        <v>1764</v>
      </c>
      <c r="F2850" t="s">
        <v>9</v>
      </c>
    </row>
    <row r="2851" spans="1:6" x14ac:dyDescent="0.3">
      <c r="A2851" t="s">
        <v>677</v>
      </c>
      <c r="B2851" t="s">
        <v>160</v>
      </c>
      <c r="C2851" t="str">
        <f>HYPERLINK("http://service.sap.com/sap/support/notes/1947613","1947613")</f>
        <v>1947613</v>
      </c>
      <c r="D2851">
        <v>1</v>
      </c>
      <c r="E2851" t="s">
        <v>1765</v>
      </c>
      <c r="F2851" t="s">
        <v>9</v>
      </c>
    </row>
    <row r="2852" spans="1:6" x14ac:dyDescent="0.3">
      <c r="A2852" t="s">
        <v>677</v>
      </c>
      <c r="B2852" t="s">
        <v>160</v>
      </c>
      <c r="C2852" t="str">
        <f>HYPERLINK("http://service.sap.com/sap/support/notes/1948196","1948196")</f>
        <v>1948196</v>
      </c>
      <c r="D2852">
        <v>2</v>
      </c>
      <c r="E2852" t="s">
        <v>1766</v>
      </c>
      <c r="F2852" t="s">
        <v>9</v>
      </c>
    </row>
    <row r="2853" spans="1:6" x14ac:dyDescent="0.3">
      <c r="A2853" t="s">
        <v>677</v>
      </c>
      <c r="B2853" t="s">
        <v>160</v>
      </c>
      <c r="C2853" t="str">
        <f>HYPERLINK("http://service.sap.com/sap/support/notes/1948200","1948200")</f>
        <v>1948200</v>
      </c>
      <c r="D2853">
        <v>4</v>
      </c>
      <c r="E2853" t="s">
        <v>1767</v>
      </c>
      <c r="F2853" t="s">
        <v>9</v>
      </c>
    </row>
    <row r="2854" spans="1:6" x14ac:dyDescent="0.3">
      <c r="A2854" t="s">
        <v>677</v>
      </c>
      <c r="B2854" t="s">
        <v>160</v>
      </c>
      <c r="C2854" t="str">
        <f>HYPERLINK("http://service.sap.com/sap/support/notes/1950736","1950736")</f>
        <v>1950736</v>
      </c>
      <c r="D2854">
        <v>3</v>
      </c>
      <c r="E2854" t="s">
        <v>1768</v>
      </c>
      <c r="F2854" t="s">
        <v>9</v>
      </c>
    </row>
    <row r="2855" spans="1:6" x14ac:dyDescent="0.3">
      <c r="A2855" t="s">
        <v>677</v>
      </c>
      <c r="B2855" t="s">
        <v>160</v>
      </c>
      <c r="C2855" t="str">
        <f>HYPERLINK("http://service.sap.com/sap/support/notes/1950850","1950850")</f>
        <v>1950850</v>
      </c>
      <c r="D2855">
        <v>7</v>
      </c>
      <c r="E2855" t="s">
        <v>1769</v>
      </c>
      <c r="F2855" t="s">
        <v>9</v>
      </c>
    </row>
    <row r="2856" spans="1:6" x14ac:dyDescent="0.3">
      <c r="A2856" t="s">
        <v>677</v>
      </c>
      <c r="B2856" t="s">
        <v>160</v>
      </c>
      <c r="C2856" t="str">
        <f>HYPERLINK("http://service.sap.com/sap/support/notes/1950873","1950873")</f>
        <v>1950873</v>
      </c>
      <c r="D2856">
        <v>1</v>
      </c>
      <c r="E2856" t="s">
        <v>1770</v>
      </c>
      <c r="F2856" t="s">
        <v>9</v>
      </c>
    </row>
    <row r="2857" spans="1:6" x14ac:dyDescent="0.3">
      <c r="A2857" t="s">
        <v>677</v>
      </c>
      <c r="B2857" t="s">
        <v>160</v>
      </c>
      <c r="C2857" t="str">
        <f>HYPERLINK("http://service.sap.com/sap/support/notes/1953299","1953299")</f>
        <v>1953299</v>
      </c>
      <c r="D2857">
        <v>1</v>
      </c>
      <c r="E2857" t="s">
        <v>1771</v>
      </c>
      <c r="F2857" t="s">
        <v>9</v>
      </c>
    </row>
    <row r="2858" spans="1:6" x14ac:dyDescent="0.3">
      <c r="A2858" t="s">
        <v>677</v>
      </c>
      <c r="B2858" t="s">
        <v>160</v>
      </c>
      <c r="C2858" t="str">
        <f>HYPERLINK("http://service.sap.com/sap/support/notes/1954871","1954871")</f>
        <v>1954871</v>
      </c>
      <c r="D2858">
        <v>1</v>
      </c>
      <c r="E2858" t="s">
        <v>1772</v>
      </c>
      <c r="F2858" t="s">
        <v>9</v>
      </c>
    </row>
    <row r="2859" spans="1:6" x14ac:dyDescent="0.3">
      <c r="A2859" t="s">
        <v>677</v>
      </c>
      <c r="B2859" t="s">
        <v>160</v>
      </c>
      <c r="C2859" t="str">
        <f>HYPERLINK("http://service.sap.com/sap/support/notes/1955488","1955488")</f>
        <v>1955488</v>
      </c>
      <c r="D2859">
        <v>2</v>
      </c>
      <c r="E2859" t="s">
        <v>1773</v>
      </c>
      <c r="F2859" t="s">
        <v>9</v>
      </c>
    </row>
    <row r="2860" spans="1:6" x14ac:dyDescent="0.3">
      <c r="A2860" t="s">
        <v>677</v>
      </c>
      <c r="B2860" t="s">
        <v>160</v>
      </c>
      <c r="C2860" t="str">
        <f>HYPERLINK("http://service.sap.com/sap/support/notes/1955981","1955981")</f>
        <v>1955981</v>
      </c>
      <c r="D2860">
        <v>3</v>
      </c>
      <c r="E2860" t="s">
        <v>1774</v>
      </c>
      <c r="F2860" t="s">
        <v>9</v>
      </c>
    </row>
    <row r="2861" spans="1:6" x14ac:dyDescent="0.3">
      <c r="A2861" t="s">
        <v>677</v>
      </c>
      <c r="B2861" t="s">
        <v>160</v>
      </c>
      <c r="C2861" t="str">
        <f>HYPERLINK("http://service.sap.com/sap/support/notes/1956744","1956744")</f>
        <v>1956744</v>
      </c>
      <c r="D2861">
        <v>2</v>
      </c>
      <c r="E2861" t="s">
        <v>1775</v>
      </c>
      <c r="F2861" t="s">
        <v>9</v>
      </c>
    </row>
    <row r="2862" spans="1:6" x14ac:dyDescent="0.3">
      <c r="A2862" t="s">
        <v>677</v>
      </c>
      <c r="B2862" t="s">
        <v>160</v>
      </c>
      <c r="C2862" t="str">
        <f>HYPERLINK("http://service.sap.com/sap/support/notes/1957465","1957465")</f>
        <v>1957465</v>
      </c>
      <c r="D2862">
        <v>3</v>
      </c>
      <c r="E2862" t="s">
        <v>1776</v>
      </c>
      <c r="F2862" t="s">
        <v>9</v>
      </c>
    </row>
    <row r="2863" spans="1:6" x14ac:dyDescent="0.3">
      <c r="A2863" t="s">
        <v>677</v>
      </c>
      <c r="B2863" t="s">
        <v>160</v>
      </c>
      <c r="C2863" t="str">
        <f>HYPERLINK("http://service.sap.com/sap/support/notes/1957517","1957517")</f>
        <v>1957517</v>
      </c>
      <c r="D2863">
        <v>2</v>
      </c>
      <c r="E2863" t="s">
        <v>1777</v>
      </c>
      <c r="F2863" t="s">
        <v>9</v>
      </c>
    </row>
    <row r="2864" spans="1:6" x14ac:dyDescent="0.3">
      <c r="A2864" t="s">
        <v>677</v>
      </c>
      <c r="B2864" t="s">
        <v>160</v>
      </c>
      <c r="C2864" t="str">
        <f>HYPERLINK("http://service.sap.com/sap/support/notes/1957534","1957534")</f>
        <v>1957534</v>
      </c>
      <c r="D2864">
        <v>2</v>
      </c>
      <c r="E2864" t="s">
        <v>1778</v>
      </c>
      <c r="F2864" t="s">
        <v>9</v>
      </c>
    </row>
    <row r="2865" spans="1:6" x14ac:dyDescent="0.3">
      <c r="A2865" t="s">
        <v>677</v>
      </c>
      <c r="B2865" t="s">
        <v>160</v>
      </c>
      <c r="C2865" t="str">
        <f>HYPERLINK("http://service.sap.com/sap/support/notes/1958252","1958252")</f>
        <v>1958252</v>
      </c>
      <c r="D2865">
        <v>2</v>
      </c>
      <c r="E2865" t="s">
        <v>1779</v>
      </c>
      <c r="F2865" t="s">
        <v>9</v>
      </c>
    </row>
    <row r="2866" spans="1:6" x14ac:dyDescent="0.3">
      <c r="A2866" t="s">
        <v>677</v>
      </c>
      <c r="B2866" t="s">
        <v>160</v>
      </c>
      <c r="C2866" t="str">
        <f>HYPERLINK("http://service.sap.com/sap/support/notes/1958297","1958297")</f>
        <v>1958297</v>
      </c>
      <c r="D2866">
        <v>1</v>
      </c>
      <c r="E2866" t="s">
        <v>1780</v>
      </c>
      <c r="F2866" t="s">
        <v>28</v>
      </c>
    </row>
    <row r="2867" spans="1:6" x14ac:dyDescent="0.3">
      <c r="A2867" t="s">
        <v>677</v>
      </c>
      <c r="B2867" t="s">
        <v>160</v>
      </c>
      <c r="C2867" t="str">
        <f>HYPERLINK("http://service.sap.com/sap/support/notes/1958559","1958559")</f>
        <v>1958559</v>
      </c>
      <c r="D2867">
        <v>1</v>
      </c>
      <c r="E2867" t="s">
        <v>1781</v>
      </c>
      <c r="F2867" t="s">
        <v>9</v>
      </c>
    </row>
    <row r="2868" spans="1:6" x14ac:dyDescent="0.3">
      <c r="A2868" t="s">
        <v>677</v>
      </c>
      <c r="B2868" t="s">
        <v>160</v>
      </c>
      <c r="C2868" t="str">
        <f>HYPERLINK("http://service.sap.com/sap/support/notes/1958803","1958803")</f>
        <v>1958803</v>
      </c>
      <c r="D2868">
        <v>1</v>
      </c>
      <c r="E2868" t="s">
        <v>1782</v>
      </c>
      <c r="F2868" t="s">
        <v>9</v>
      </c>
    </row>
    <row r="2869" spans="1:6" x14ac:dyDescent="0.3">
      <c r="A2869" t="s">
        <v>677</v>
      </c>
      <c r="B2869" t="s">
        <v>160</v>
      </c>
      <c r="C2869" t="str">
        <f>HYPERLINK("http://service.sap.com/sap/support/notes/1960095","1960095")</f>
        <v>1960095</v>
      </c>
      <c r="D2869">
        <v>1</v>
      </c>
      <c r="E2869" t="s">
        <v>1783</v>
      </c>
      <c r="F2869" t="s">
        <v>9</v>
      </c>
    </row>
    <row r="2870" spans="1:6" x14ac:dyDescent="0.3">
      <c r="A2870" t="s">
        <v>677</v>
      </c>
      <c r="B2870" t="s">
        <v>160</v>
      </c>
      <c r="C2870" t="str">
        <f>HYPERLINK("http://service.sap.com/sap/support/notes/1960450","1960450")</f>
        <v>1960450</v>
      </c>
      <c r="D2870">
        <v>1</v>
      </c>
      <c r="E2870" t="s">
        <v>1784</v>
      </c>
      <c r="F2870" t="s">
        <v>9</v>
      </c>
    </row>
    <row r="2871" spans="1:6" x14ac:dyDescent="0.3">
      <c r="A2871" t="s">
        <v>677</v>
      </c>
      <c r="B2871" t="s">
        <v>160</v>
      </c>
      <c r="C2871" t="str">
        <f>HYPERLINK("http://service.sap.com/sap/support/notes/1884525","1884525")</f>
        <v>1884525</v>
      </c>
      <c r="D2871">
        <v>1</v>
      </c>
      <c r="E2871" t="s">
        <v>1753</v>
      </c>
      <c r="F2871" t="s">
        <v>28</v>
      </c>
    </row>
    <row r="2872" spans="1:6" x14ac:dyDescent="0.3">
      <c r="A2872" t="s">
        <v>677</v>
      </c>
      <c r="B2872" t="s">
        <v>160</v>
      </c>
      <c r="C2872" t="str">
        <f>HYPERLINK("http://service.sap.com/sap/support/notes/1925235","1925235")</f>
        <v>1925235</v>
      </c>
      <c r="D2872">
        <v>3</v>
      </c>
      <c r="E2872" t="s">
        <v>2213</v>
      </c>
      <c r="F2872" t="s">
        <v>9</v>
      </c>
    </row>
    <row r="2873" spans="1:6" x14ac:dyDescent="0.3">
      <c r="A2873" t="s">
        <v>677</v>
      </c>
      <c r="B2873" t="s">
        <v>160</v>
      </c>
      <c r="C2873" t="str">
        <f>HYPERLINK("http://service.sap.com/sap/support/notes/1952859","1952859")</f>
        <v>1952859</v>
      </c>
      <c r="D2873">
        <v>2</v>
      </c>
      <c r="E2873" t="s">
        <v>2214</v>
      </c>
      <c r="F2873" t="s">
        <v>9</v>
      </c>
    </row>
    <row r="2874" spans="1:6" x14ac:dyDescent="0.3">
      <c r="A2874" t="s">
        <v>677</v>
      </c>
      <c r="B2874" t="s">
        <v>160</v>
      </c>
      <c r="C2874" t="str">
        <f>HYPERLINK("http://service.sap.com/sap/support/notes/1956866","1956866")</f>
        <v>1956866</v>
      </c>
      <c r="D2874">
        <v>5</v>
      </c>
      <c r="E2874" t="s">
        <v>2215</v>
      </c>
      <c r="F2874" t="s">
        <v>9</v>
      </c>
    </row>
    <row r="2875" spans="1:6" x14ac:dyDescent="0.3">
      <c r="A2875" t="s">
        <v>677</v>
      </c>
      <c r="B2875" t="s">
        <v>160</v>
      </c>
      <c r="C2875" t="str">
        <f>HYPERLINK("http://service.sap.com/sap/support/notes/1960248","1960248")</f>
        <v>1960248</v>
      </c>
      <c r="D2875">
        <v>2</v>
      </c>
      <c r="E2875" t="s">
        <v>2216</v>
      </c>
      <c r="F2875" t="s">
        <v>9</v>
      </c>
    </row>
    <row r="2876" spans="1:6" x14ac:dyDescent="0.3">
      <c r="A2876" t="s">
        <v>677</v>
      </c>
      <c r="B2876" t="s">
        <v>160</v>
      </c>
      <c r="C2876" t="str">
        <f>HYPERLINK("http://service.sap.com/sap/support/notes/1962091","1962091")</f>
        <v>1962091</v>
      </c>
      <c r="D2876">
        <v>4</v>
      </c>
      <c r="E2876" t="s">
        <v>2217</v>
      </c>
      <c r="F2876" t="s">
        <v>9</v>
      </c>
    </row>
    <row r="2877" spans="1:6" x14ac:dyDescent="0.3">
      <c r="A2877" t="s">
        <v>677</v>
      </c>
      <c r="B2877" t="s">
        <v>160</v>
      </c>
      <c r="C2877" t="str">
        <f>HYPERLINK("http://service.sap.com/sap/support/notes/1962889","1962889")</f>
        <v>1962889</v>
      </c>
      <c r="D2877">
        <v>4</v>
      </c>
      <c r="E2877" t="s">
        <v>2218</v>
      </c>
      <c r="F2877" t="s">
        <v>9</v>
      </c>
    </row>
    <row r="2878" spans="1:6" x14ac:dyDescent="0.3">
      <c r="A2878" t="s">
        <v>677</v>
      </c>
      <c r="B2878" t="s">
        <v>160</v>
      </c>
      <c r="C2878" t="str">
        <f>HYPERLINK("http://service.sap.com/sap/support/notes/1963612","1963612")</f>
        <v>1963612</v>
      </c>
      <c r="D2878">
        <v>2</v>
      </c>
      <c r="E2878" t="s">
        <v>2219</v>
      </c>
      <c r="F2878" t="s">
        <v>9</v>
      </c>
    </row>
    <row r="2879" spans="1:6" x14ac:dyDescent="0.3">
      <c r="A2879" t="s">
        <v>677</v>
      </c>
      <c r="B2879" t="s">
        <v>160</v>
      </c>
      <c r="C2879" t="str">
        <f>HYPERLINK("http://service.sap.com/sap/support/notes/1965778","1965778")</f>
        <v>1965778</v>
      </c>
      <c r="D2879">
        <v>1</v>
      </c>
      <c r="E2879" t="s">
        <v>2220</v>
      </c>
      <c r="F2879" t="s">
        <v>9</v>
      </c>
    </row>
    <row r="2880" spans="1:6" x14ac:dyDescent="0.3">
      <c r="A2880" t="s">
        <v>677</v>
      </c>
      <c r="B2880" t="s">
        <v>160</v>
      </c>
      <c r="C2880" t="str">
        <f>HYPERLINK("http://service.sap.com/sap/support/notes/1965873","1965873")</f>
        <v>1965873</v>
      </c>
      <c r="D2880">
        <v>1</v>
      </c>
      <c r="E2880" t="s">
        <v>2221</v>
      </c>
      <c r="F2880" t="s">
        <v>9</v>
      </c>
    </row>
    <row r="2881" spans="1:6" x14ac:dyDescent="0.3">
      <c r="A2881" t="s">
        <v>677</v>
      </c>
      <c r="B2881" t="s">
        <v>160</v>
      </c>
      <c r="C2881" t="str">
        <f>HYPERLINK("http://service.sap.com/sap/support/notes/1966177","1966177")</f>
        <v>1966177</v>
      </c>
      <c r="D2881">
        <v>3</v>
      </c>
      <c r="E2881" t="s">
        <v>2222</v>
      </c>
      <c r="F2881" t="s">
        <v>9</v>
      </c>
    </row>
    <row r="2882" spans="1:6" x14ac:dyDescent="0.3">
      <c r="A2882" t="s">
        <v>677</v>
      </c>
      <c r="B2882" t="s">
        <v>160</v>
      </c>
      <c r="C2882" t="str">
        <f>HYPERLINK("http://service.sap.com/sap/support/notes/1967313","1967313")</f>
        <v>1967313</v>
      </c>
      <c r="D2882">
        <v>2</v>
      </c>
      <c r="E2882" t="s">
        <v>2223</v>
      </c>
      <c r="F2882" t="s">
        <v>9</v>
      </c>
    </row>
    <row r="2883" spans="1:6" x14ac:dyDescent="0.3">
      <c r="A2883" t="s">
        <v>677</v>
      </c>
      <c r="B2883" t="s">
        <v>160</v>
      </c>
      <c r="C2883" t="str">
        <f>HYPERLINK("http://service.sap.com/sap/support/notes/1969561","1969561")</f>
        <v>1969561</v>
      </c>
      <c r="D2883">
        <v>2</v>
      </c>
      <c r="E2883" t="s">
        <v>2224</v>
      </c>
      <c r="F2883" t="s">
        <v>9</v>
      </c>
    </row>
    <row r="2884" spans="1:6" x14ac:dyDescent="0.3">
      <c r="A2884" t="s">
        <v>677</v>
      </c>
      <c r="B2884" t="s">
        <v>160</v>
      </c>
      <c r="C2884" t="str">
        <f>HYPERLINK("http://service.sap.com/sap/support/notes/1846331","1846331")</f>
        <v>1846331</v>
      </c>
      <c r="D2884">
        <v>2</v>
      </c>
      <c r="E2884" t="s">
        <v>2575</v>
      </c>
      <c r="F2884" t="s">
        <v>16</v>
      </c>
    </row>
    <row r="2885" spans="1:6" x14ac:dyDescent="0.3">
      <c r="A2885" t="s">
        <v>677</v>
      </c>
      <c r="B2885" t="s">
        <v>160</v>
      </c>
      <c r="C2885" t="str">
        <f>HYPERLINK("http://service.sap.com/sap/support/notes/1927380","1927380")</f>
        <v>1927380</v>
      </c>
      <c r="D2885">
        <v>2</v>
      </c>
      <c r="E2885" t="s">
        <v>2576</v>
      </c>
      <c r="F2885" t="s">
        <v>9</v>
      </c>
    </row>
    <row r="2886" spans="1:6" x14ac:dyDescent="0.3">
      <c r="A2886" t="s">
        <v>677</v>
      </c>
      <c r="B2886" t="s">
        <v>160</v>
      </c>
      <c r="C2886" t="str">
        <f>HYPERLINK("http://service.sap.com/sap/support/notes/1953621","1953621")</f>
        <v>1953621</v>
      </c>
      <c r="D2886">
        <v>8</v>
      </c>
      <c r="E2886" t="s">
        <v>2577</v>
      </c>
      <c r="F2886" t="s">
        <v>9</v>
      </c>
    </row>
    <row r="2887" spans="1:6" x14ac:dyDescent="0.3">
      <c r="A2887" t="s">
        <v>677</v>
      </c>
      <c r="B2887" t="s">
        <v>160</v>
      </c>
      <c r="C2887" t="str">
        <f>HYPERLINK("http://service.sap.com/sap/support/notes/1964041","1964041")</f>
        <v>1964041</v>
      </c>
      <c r="D2887">
        <v>10</v>
      </c>
      <c r="E2887" t="s">
        <v>2578</v>
      </c>
      <c r="F2887" t="s">
        <v>9</v>
      </c>
    </row>
    <row r="2888" spans="1:6" x14ac:dyDescent="0.3">
      <c r="A2888" t="s">
        <v>677</v>
      </c>
      <c r="B2888" t="s">
        <v>160</v>
      </c>
      <c r="C2888" t="str">
        <f>HYPERLINK("http://service.sap.com/sap/support/notes/1965662","1965662")</f>
        <v>1965662</v>
      </c>
      <c r="D2888">
        <v>2</v>
      </c>
      <c r="E2888" t="s">
        <v>2579</v>
      </c>
      <c r="F2888" t="s">
        <v>9</v>
      </c>
    </row>
    <row r="2889" spans="1:6" x14ac:dyDescent="0.3">
      <c r="A2889" t="s">
        <v>677</v>
      </c>
      <c r="B2889" t="s">
        <v>160</v>
      </c>
      <c r="C2889" t="str">
        <f>HYPERLINK("http://service.sap.com/sap/support/notes/1967762","1967762")</f>
        <v>1967762</v>
      </c>
      <c r="D2889">
        <v>8</v>
      </c>
      <c r="E2889" t="s">
        <v>2580</v>
      </c>
      <c r="F2889" t="s">
        <v>9</v>
      </c>
    </row>
    <row r="2890" spans="1:6" x14ac:dyDescent="0.3">
      <c r="A2890" t="s">
        <v>677</v>
      </c>
      <c r="B2890" t="s">
        <v>160</v>
      </c>
      <c r="C2890" t="str">
        <f>HYPERLINK("http://service.sap.com/sap/support/notes/1969116","1969116")</f>
        <v>1969116</v>
      </c>
      <c r="D2890">
        <v>7</v>
      </c>
      <c r="E2890" t="s">
        <v>2581</v>
      </c>
      <c r="F2890" t="s">
        <v>9</v>
      </c>
    </row>
    <row r="2891" spans="1:6" x14ac:dyDescent="0.3">
      <c r="A2891" t="s">
        <v>677</v>
      </c>
      <c r="B2891" t="s">
        <v>160</v>
      </c>
      <c r="C2891" t="str">
        <f>HYPERLINK("http://service.sap.com/sap/support/notes/1970181","1970181")</f>
        <v>1970181</v>
      </c>
      <c r="D2891">
        <v>4</v>
      </c>
      <c r="E2891" t="s">
        <v>2582</v>
      </c>
      <c r="F2891" t="s">
        <v>9</v>
      </c>
    </row>
    <row r="2892" spans="1:6" x14ac:dyDescent="0.3">
      <c r="A2892" t="s">
        <v>677</v>
      </c>
      <c r="B2892" t="s">
        <v>160</v>
      </c>
      <c r="C2892" t="str">
        <f>HYPERLINK("http://service.sap.com/sap/support/notes/1970370","1970370")</f>
        <v>1970370</v>
      </c>
      <c r="D2892">
        <v>6</v>
      </c>
      <c r="E2892" t="s">
        <v>2583</v>
      </c>
      <c r="F2892" t="s">
        <v>9</v>
      </c>
    </row>
    <row r="2893" spans="1:6" x14ac:dyDescent="0.3">
      <c r="A2893" t="s">
        <v>677</v>
      </c>
      <c r="B2893" t="s">
        <v>160</v>
      </c>
      <c r="C2893" t="str">
        <f>HYPERLINK("http://service.sap.com/sap/support/notes/1970969","1970969")</f>
        <v>1970969</v>
      </c>
      <c r="D2893">
        <v>1</v>
      </c>
      <c r="E2893" t="s">
        <v>2584</v>
      </c>
      <c r="F2893" t="s">
        <v>9</v>
      </c>
    </row>
    <row r="2894" spans="1:6" x14ac:dyDescent="0.3">
      <c r="A2894" t="s">
        <v>677</v>
      </c>
      <c r="B2894" t="s">
        <v>160</v>
      </c>
      <c r="C2894" t="str">
        <f>HYPERLINK("http://service.sap.com/sap/support/notes/1971436","1971436")</f>
        <v>1971436</v>
      </c>
      <c r="D2894">
        <v>9</v>
      </c>
      <c r="E2894" t="s">
        <v>2585</v>
      </c>
      <c r="F2894" t="s">
        <v>9</v>
      </c>
    </row>
    <row r="2895" spans="1:6" x14ac:dyDescent="0.3">
      <c r="A2895" t="s">
        <v>677</v>
      </c>
      <c r="B2895" t="s">
        <v>160</v>
      </c>
      <c r="C2895" t="str">
        <f>HYPERLINK("http://service.sap.com/sap/support/notes/1971649","1971649")</f>
        <v>1971649</v>
      </c>
      <c r="D2895">
        <v>2</v>
      </c>
      <c r="E2895" t="s">
        <v>2586</v>
      </c>
      <c r="F2895" t="s">
        <v>9</v>
      </c>
    </row>
    <row r="2896" spans="1:6" x14ac:dyDescent="0.3">
      <c r="A2896" t="s">
        <v>677</v>
      </c>
      <c r="B2896" t="s">
        <v>160</v>
      </c>
      <c r="C2896" t="str">
        <f>HYPERLINK("http://service.sap.com/sap/support/notes/1971769","1971769")</f>
        <v>1971769</v>
      </c>
      <c r="D2896">
        <v>1</v>
      </c>
      <c r="E2896" t="s">
        <v>2587</v>
      </c>
      <c r="F2896" t="s">
        <v>9</v>
      </c>
    </row>
    <row r="2897" spans="1:6" x14ac:dyDescent="0.3">
      <c r="A2897" t="s">
        <v>677</v>
      </c>
      <c r="B2897" t="s">
        <v>160</v>
      </c>
      <c r="C2897" t="str">
        <f>HYPERLINK("http://service.sap.com/sap/support/notes/1972156","1972156")</f>
        <v>1972156</v>
      </c>
      <c r="D2897">
        <v>2</v>
      </c>
      <c r="E2897" t="s">
        <v>2588</v>
      </c>
      <c r="F2897" t="s">
        <v>9</v>
      </c>
    </row>
    <row r="2898" spans="1:6" x14ac:dyDescent="0.3">
      <c r="A2898" t="s">
        <v>677</v>
      </c>
      <c r="B2898" t="s">
        <v>160</v>
      </c>
      <c r="C2898" t="str">
        <f>HYPERLINK("http://service.sap.com/sap/support/notes/1972183","1972183")</f>
        <v>1972183</v>
      </c>
      <c r="D2898">
        <v>2</v>
      </c>
      <c r="E2898" t="s">
        <v>2589</v>
      </c>
      <c r="F2898" t="s">
        <v>9</v>
      </c>
    </row>
    <row r="2899" spans="1:6" x14ac:dyDescent="0.3">
      <c r="A2899" t="s">
        <v>677</v>
      </c>
      <c r="B2899" t="s">
        <v>160</v>
      </c>
      <c r="C2899" t="str">
        <f>HYPERLINK("http://service.sap.com/sap/support/notes/1972744","1972744")</f>
        <v>1972744</v>
      </c>
      <c r="D2899">
        <v>4</v>
      </c>
      <c r="E2899" t="s">
        <v>2590</v>
      </c>
      <c r="F2899" t="s">
        <v>9</v>
      </c>
    </row>
    <row r="2900" spans="1:6" x14ac:dyDescent="0.3">
      <c r="A2900" t="s">
        <v>677</v>
      </c>
      <c r="B2900" t="s">
        <v>160</v>
      </c>
      <c r="C2900" t="str">
        <f>HYPERLINK("http://service.sap.com/sap/support/notes/1972847","1972847")</f>
        <v>1972847</v>
      </c>
      <c r="D2900">
        <v>1</v>
      </c>
      <c r="E2900" t="s">
        <v>2591</v>
      </c>
      <c r="F2900" t="s">
        <v>9</v>
      </c>
    </row>
    <row r="2901" spans="1:6" x14ac:dyDescent="0.3">
      <c r="A2901" t="s">
        <v>677</v>
      </c>
      <c r="B2901" t="s">
        <v>160</v>
      </c>
      <c r="C2901" t="str">
        <f>HYPERLINK("http://service.sap.com/sap/support/notes/1973125","1973125")</f>
        <v>1973125</v>
      </c>
      <c r="D2901">
        <v>2</v>
      </c>
      <c r="E2901" t="s">
        <v>2592</v>
      </c>
      <c r="F2901" t="s">
        <v>9</v>
      </c>
    </row>
    <row r="2902" spans="1:6" x14ac:dyDescent="0.3">
      <c r="A2902" t="s">
        <v>677</v>
      </c>
      <c r="B2902" t="s">
        <v>160</v>
      </c>
      <c r="C2902" t="str">
        <f>HYPERLINK("http://service.sap.com/sap/support/notes/1973239","1973239")</f>
        <v>1973239</v>
      </c>
      <c r="D2902">
        <v>2</v>
      </c>
      <c r="E2902" t="s">
        <v>2593</v>
      </c>
      <c r="F2902" t="s">
        <v>16</v>
      </c>
    </row>
    <row r="2903" spans="1:6" x14ac:dyDescent="0.3">
      <c r="A2903" t="s">
        <v>677</v>
      </c>
      <c r="B2903" t="s">
        <v>160</v>
      </c>
      <c r="C2903" t="str">
        <f>HYPERLINK("http://service.sap.com/sap/support/notes/1973361","1973361")</f>
        <v>1973361</v>
      </c>
      <c r="D2903">
        <v>2</v>
      </c>
      <c r="E2903" t="s">
        <v>2594</v>
      </c>
      <c r="F2903" t="s">
        <v>9</v>
      </c>
    </row>
    <row r="2904" spans="1:6" x14ac:dyDescent="0.3">
      <c r="A2904" t="s">
        <v>677</v>
      </c>
      <c r="B2904" t="s">
        <v>160</v>
      </c>
      <c r="C2904" t="str">
        <f>HYPERLINK("http://service.sap.com/sap/support/notes/1974318","1974318")</f>
        <v>1974318</v>
      </c>
      <c r="D2904">
        <v>2</v>
      </c>
      <c r="E2904" t="s">
        <v>2595</v>
      </c>
      <c r="F2904" t="s">
        <v>9</v>
      </c>
    </row>
    <row r="2905" spans="1:6" x14ac:dyDescent="0.3">
      <c r="A2905" t="s">
        <v>677</v>
      </c>
      <c r="B2905" t="s">
        <v>160</v>
      </c>
      <c r="C2905" t="str">
        <f>HYPERLINK("http://service.sap.com/sap/support/notes/1974331","1974331")</f>
        <v>1974331</v>
      </c>
      <c r="D2905">
        <v>2</v>
      </c>
      <c r="E2905" t="s">
        <v>2596</v>
      </c>
      <c r="F2905" t="s">
        <v>16</v>
      </c>
    </row>
    <row r="2906" spans="1:6" x14ac:dyDescent="0.3">
      <c r="A2906" t="s">
        <v>677</v>
      </c>
      <c r="B2906" t="s">
        <v>160</v>
      </c>
      <c r="C2906" t="str">
        <f>HYPERLINK("http://service.sap.com/sap/support/notes/1977619","1977619")</f>
        <v>1977619</v>
      </c>
      <c r="D2906">
        <v>4</v>
      </c>
      <c r="E2906" t="s">
        <v>2597</v>
      </c>
      <c r="F2906" t="s">
        <v>9</v>
      </c>
    </row>
    <row r="2907" spans="1:6" x14ac:dyDescent="0.3">
      <c r="A2907" t="s">
        <v>677</v>
      </c>
      <c r="B2907" t="s">
        <v>160</v>
      </c>
      <c r="C2907" t="str">
        <f>HYPERLINK("http://service.sap.com/sap/support/notes/1979179","1979179")</f>
        <v>1979179</v>
      </c>
      <c r="D2907">
        <v>3</v>
      </c>
      <c r="E2907" t="s">
        <v>2598</v>
      </c>
      <c r="F2907" t="s">
        <v>9</v>
      </c>
    </row>
    <row r="2908" spans="1:6" x14ac:dyDescent="0.3">
      <c r="A2908" t="s">
        <v>677</v>
      </c>
      <c r="B2908" t="s">
        <v>160</v>
      </c>
      <c r="C2908" t="str">
        <f>HYPERLINK("http://service.sap.com/sap/support/notes/1888098","1888098")</f>
        <v>1888098</v>
      </c>
      <c r="D2908">
        <v>3</v>
      </c>
      <c r="E2908" t="s">
        <v>3031</v>
      </c>
      <c r="F2908" t="s">
        <v>9</v>
      </c>
    </row>
    <row r="2909" spans="1:6" x14ac:dyDescent="0.3">
      <c r="A2909" t="s">
        <v>677</v>
      </c>
      <c r="B2909" t="s">
        <v>160</v>
      </c>
      <c r="C2909" t="str">
        <f>HYPERLINK("http://service.sap.com/sap/support/notes/1937353","1937353")</f>
        <v>1937353</v>
      </c>
      <c r="D2909">
        <v>4</v>
      </c>
      <c r="E2909" t="s">
        <v>3032</v>
      </c>
      <c r="F2909" t="s">
        <v>9</v>
      </c>
    </row>
    <row r="2910" spans="1:6" x14ac:dyDescent="0.3">
      <c r="A2910" t="s">
        <v>677</v>
      </c>
      <c r="B2910" t="s">
        <v>160</v>
      </c>
      <c r="C2910" t="str">
        <f>HYPERLINK("http://service.sap.com/sap/support/notes/1949419","1949419")</f>
        <v>1949419</v>
      </c>
      <c r="D2910">
        <v>3</v>
      </c>
      <c r="E2910" t="s">
        <v>3033</v>
      </c>
      <c r="F2910" t="s">
        <v>9</v>
      </c>
    </row>
    <row r="2911" spans="1:6" x14ac:dyDescent="0.3">
      <c r="A2911" t="s">
        <v>677</v>
      </c>
      <c r="B2911" t="s">
        <v>160</v>
      </c>
      <c r="C2911" t="str">
        <f>HYPERLINK("http://service.sap.com/sap/support/notes/1949500","1949500")</f>
        <v>1949500</v>
      </c>
      <c r="D2911">
        <v>4</v>
      </c>
      <c r="E2911" t="s">
        <v>3034</v>
      </c>
      <c r="F2911" t="s">
        <v>9</v>
      </c>
    </row>
    <row r="2912" spans="1:6" x14ac:dyDescent="0.3">
      <c r="A2912" t="s">
        <v>677</v>
      </c>
      <c r="B2912" t="s">
        <v>160</v>
      </c>
      <c r="C2912" t="str">
        <f>HYPERLINK("http://service.sap.com/sap/support/notes/1952177","1952177")</f>
        <v>1952177</v>
      </c>
      <c r="D2912">
        <v>4</v>
      </c>
      <c r="E2912" t="s">
        <v>3035</v>
      </c>
      <c r="F2912" t="s">
        <v>9</v>
      </c>
    </row>
    <row r="2913" spans="1:6" x14ac:dyDescent="0.3">
      <c r="A2913" t="s">
        <v>677</v>
      </c>
      <c r="B2913" t="s">
        <v>160</v>
      </c>
      <c r="C2913" t="str">
        <f>HYPERLINK("http://service.sap.com/sap/support/notes/1954441","1954441")</f>
        <v>1954441</v>
      </c>
      <c r="D2913">
        <v>6</v>
      </c>
      <c r="E2913" t="s">
        <v>3036</v>
      </c>
      <c r="F2913" t="s">
        <v>9</v>
      </c>
    </row>
    <row r="2914" spans="1:6" x14ac:dyDescent="0.3">
      <c r="A2914" t="s">
        <v>677</v>
      </c>
      <c r="B2914" t="s">
        <v>160</v>
      </c>
      <c r="C2914" t="str">
        <f>HYPERLINK("http://service.sap.com/sap/support/notes/1956886","1956886")</f>
        <v>1956886</v>
      </c>
      <c r="D2914">
        <v>4</v>
      </c>
      <c r="E2914" t="s">
        <v>3037</v>
      </c>
      <c r="F2914" t="s">
        <v>9</v>
      </c>
    </row>
    <row r="2915" spans="1:6" x14ac:dyDescent="0.3">
      <c r="A2915" t="s">
        <v>677</v>
      </c>
      <c r="B2915" t="s">
        <v>160</v>
      </c>
      <c r="C2915" t="str">
        <f>HYPERLINK("http://service.sap.com/sap/support/notes/1960792","1960792")</f>
        <v>1960792</v>
      </c>
      <c r="D2915">
        <v>5</v>
      </c>
      <c r="E2915" t="s">
        <v>3038</v>
      </c>
      <c r="F2915" t="s">
        <v>9</v>
      </c>
    </row>
    <row r="2916" spans="1:6" x14ac:dyDescent="0.3">
      <c r="A2916" t="s">
        <v>677</v>
      </c>
      <c r="B2916" t="s">
        <v>160</v>
      </c>
      <c r="C2916" t="str">
        <f>HYPERLINK("http://service.sap.com/sap/support/notes/1965022","1965022")</f>
        <v>1965022</v>
      </c>
      <c r="D2916">
        <v>11</v>
      </c>
      <c r="E2916" t="s">
        <v>3039</v>
      </c>
      <c r="F2916" t="s">
        <v>9</v>
      </c>
    </row>
    <row r="2917" spans="1:6" x14ac:dyDescent="0.3">
      <c r="A2917" t="s">
        <v>677</v>
      </c>
      <c r="B2917" t="s">
        <v>160</v>
      </c>
      <c r="C2917" t="str">
        <f>HYPERLINK("http://service.sap.com/sap/support/notes/1968431","1968431")</f>
        <v>1968431</v>
      </c>
      <c r="D2917">
        <v>2</v>
      </c>
      <c r="E2917" t="s">
        <v>3040</v>
      </c>
      <c r="F2917" t="s">
        <v>9</v>
      </c>
    </row>
    <row r="2918" spans="1:6" x14ac:dyDescent="0.3">
      <c r="A2918" t="s">
        <v>677</v>
      </c>
      <c r="B2918" t="s">
        <v>160</v>
      </c>
      <c r="C2918" t="str">
        <f>HYPERLINK("http://service.sap.com/sap/support/notes/1968955","1968955")</f>
        <v>1968955</v>
      </c>
      <c r="D2918">
        <v>2</v>
      </c>
      <c r="E2918" t="s">
        <v>3041</v>
      </c>
      <c r="F2918" t="s">
        <v>9</v>
      </c>
    </row>
    <row r="2919" spans="1:6" x14ac:dyDescent="0.3">
      <c r="A2919" t="s">
        <v>677</v>
      </c>
      <c r="B2919" t="s">
        <v>160</v>
      </c>
      <c r="C2919" t="str">
        <f>HYPERLINK("http://service.sap.com/sap/support/notes/1970356","1970356")</f>
        <v>1970356</v>
      </c>
      <c r="D2919">
        <v>3</v>
      </c>
      <c r="E2919" t="s">
        <v>3042</v>
      </c>
      <c r="F2919" t="s">
        <v>9</v>
      </c>
    </row>
    <row r="2920" spans="1:6" x14ac:dyDescent="0.3">
      <c r="A2920" t="s">
        <v>677</v>
      </c>
      <c r="B2920" t="s">
        <v>160</v>
      </c>
      <c r="C2920" t="str">
        <f>HYPERLINK("http://service.sap.com/sap/support/notes/1970972","1970972")</f>
        <v>1970972</v>
      </c>
      <c r="D2920">
        <v>5</v>
      </c>
      <c r="E2920" t="s">
        <v>3043</v>
      </c>
      <c r="F2920" t="s">
        <v>9</v>
      </c>
    </row>
    <row r="2921" spans="1:6" x14ac:dyDescent="0.3">
      <c r="A2921" t="s">
        <v>677</v>
      </c>
      <c r="B2921" t="s">
        <v>160</v>
      </c>
      <c r="C2921" t="str">
        <f>HYPERLINK("http://service.sap.com/sap/support/notes/1971138","1971138")</f>
        <v>1971138</v>
      </c>
      <c r="D2921">
        <v>4</v>
      </c>
      <c r="E2921" t="s">
        <v>3044</v>
      </c>
      <c r="F2921" t="s">
        <v>9</v>
      </c>
    </row>
    <row r="2922" spans="1:6" x14ac:dyDescent="0.3">
      <c r="A2922" t="s">
        <v>677</v>
      </c>
      <c r="B2922" t="s">
        <v>160</v>
      </c>
      <c r="C2922" t="str">
        <f>HYPERLINK("http://service.sap.com/sap/support/notes/1972828","1972828")</f>
        <v>1972828</v>
      </c>
      <c r="D2922">
        <v>3</v>
      </c>
      <c r="E2922" t="s">
        <v>3045</v>
      </c>
      <c r="F2922" t="s">
        <v>9</v>
      </c>
    </row>
    <row r="2923" spans="1:6" x14ac:dyDescent="0.3">
      <c r="A2923" t="s">
        <v>677</v>
      </c>
      <c r="B2923" t="s">
        <v>160</v>
      </c>
      <c r="C2923" t="str">
        <f>HYPERLINK("http://service.sap.com/sap/support/notes/1973285","1973285")</f>
        <v>1973285</v>
      </c>
      <c r="D2923">
        <v>6</v>
      </c>
      <c r="E2923" t="s">
        <v>3046</v>
      </c>
      <c r="F2923" t="s">
        <v>9</v>
      </c>
    </row>
    <row r="2924" spans="1:6" x14ac:dyDescent="0.3">
      <c r="A2924" t="s">
        <v>677</v>
      </c>
      <c r="B2924" t="s">
        <v>160</v>
      </c>
      <c r="C2924" t="str">
        <f>HYPERLINK("http://service.sap.com/sap/support/notes/1973378","1973378")</f>
        <v>1973378</v>
      </c>
      <c r="D2924">
        <v>4</v>
      </c>
      <c r="E2924" t="s">
        <v>3047</v>
      </c>
      <c r="F2924" t="s">
        <v>9</v>
      </c>
    </row>
    <row r="2925" spans="1:6" x14ac:dyDescent="0.3">
      <c r="A2925" t="s">
        <v>677</v>
      </c>
      <c r="B2925" t="s">
        <v>160</v>
      </c>
      <c r="C2925" t="str">
        <f>HYPERLINK("http://service.sap.com/sap/support/notes/1973408","1973408")</f>
        <v>1973408</v>
      </c>
      <c r="D2925">
        <v>3</v>
      </c>
      <c r="E2925" t="s">
        <v>3048</v>
      </c>
      <c r="F2925" t="s">
        <v>9</v>
      </c>
    </row>
    <row r="2926" spans="1:6" x14ac:dyDescent="0.3">
      <c r="A2926" t="s">
        <v>677</v>
      </c>
      <c r="B2926" t="s">
        <v>160</v>
      </c>
      <c r="C2926" t="str">
        <f>HYPERLINK("http://service.sap.com/sap/support/notes/1977210","1977210")</f>
        <v>1977210</v>
      </c>
      <c r="D2926">
        <v>1</v>
      </c>
      <c r="E2926" t="s">
        <v>3049</v>
      </c>
      <c r="F2926" t="s">
        <v>9</v>
      </c>
    </row>
    <row r="2927" spans="1:6" x14ac:dyDescent="0.3">
      <c r="A2927" t="s">
        <v>677</v>
      </c>
      <c r="B2927" t="s">
        <v>160</v>
      </c>
      <c r="C2927" t="str">
        <f>HYPERLINK("http://service.sap.com/sap/support/notes/1978937","1978937")</f>
        <v>1978937</v>
      </c>
      <c r="D2927">
        <v>2</v>
      </c>
      <c r="E2927" t="s">
        <v>3050</v>
      </c>
      <c r="F2927" t="s">
        <v>9</v>
      </c>
    </row>
    <row r="2928" spans="1:6" x14ac:dyDescent="0.3">
      <c r="A2928" t="s">
        <v>677</v>
      </c>
      <c r="B2928" t="s">
        <v>160</v>
      </c>
      <c r="C2928" t="str">
        <f>HYPERLINK("http://service.sap.com/sap/support/notes/1981724","1981724")</f>
        <v>1981724</v>
      </c>
      <c r="D2928">
        <v>7</v>
      </c>
      <c r="E2928" t="s">
        <v>3051</v>
      </c>
      <c r="F2928" t="s">
        <v>9</v>
      </c>
    </row>
    <row r="2929" spans="1:6" x14ac:dyDescent="0.3">
      <c r="A2929" t="s">
        <v>677</v>
      </c>
      <c r="B2929" t="s">
        <v>160</v>
      </c>
      <c r="C2929" t="str">
        <f>HYPERLINK("http://service.sap.com/sap/support/notes/1982537","1982537")</f>
        <v>1982537</v>
      </c>
      <c r="D2929">
        <v>3</v>
      </c>
      <c r="E2929" t="s">
        <v>3052</v>
      </c>
      <c r="F2929" t="s">
        <v>9</v>
      </c>
    </row>
    <row r="2930" spans="1:6" x14ac:dyDescent="0.3">
      <c r="A2930" t="s">
        <v>677</v>
      </c>
      <c r="B2930" t="s">
        <v>160</v>
      </c>
      <c r="C2930" t="str">
        <f>HYPERLINK("http://service.sap.com/sap/support/notes/1982907","1982907")</f>
        <v>1982907</v>
      </c>
      <c r="D2930">
        <v>3</v>
      </c>
      <c r="E2930" t="s">
        <v>3053</v>
      </c>
      <c r="F2930" t="s">
        <v>9</v>
      </c>
    </row>
    <row r="2931" spans="1:6" x14ac:dyDescent="0.3">
      <c r="A2931" t="s">
        <v>677</v>
      </c>
      <c r="B2931" t="s">
        <v>160</v>
      </c>
      <c r="C2931" t="str">
        <f>HYPERLINK("http://service.sap.com/sap/support/notes/1983793","1983793")</f>
        <v>1983793</v>
      </c>
      <c r="D2931">
        <v>3</v>
      </c>
      <c r="E2931" t="s">
        <v>3054</v>
      </c>
      <c r="F2931" t="s">
        <v>9</v>
      </c>
    </row>
    <row r="2932" spans="1:6" x14ac:dyDescent="0.3">
      <c r="A2932" t="s">
        <v>677</v>
      </c>
      <c r="B2932" t="s">
        <v>160</v>
      </c>
      <c r="C2932" t="str">
        <f>HYPERLINK("http://service.sap.com/sap/support/notes/1986894","1986894")</f>
        <v>1986894</v>
      </c>
      <c r="D2932">
        <v>2</v>
      </c>
      <c r="E2932" t="s">
        <v>3055</v>
      </c>
      <c r="F2932" t="s">
        <v>9</v>
      </c>
    </row>
    <row r="2933" spans="1:6" x14ac:dyDescent="0.3">
      <c r="A2933" t="s">
        <v>677</v>
      </c>
      <c r="B2933" t="s">
        <v>160</v>
      </c>
      <c r="C2933" t="str">
        <f>HYPERLINK("http://service.sap.com/sap/support/notes/1986984","1986984")</f>
        <v>1986984</v>
      </c>
      <c r="D2933">
        <v>3</v>
      </c>
      <c r="E2933" t="s">
        <v>3056</v>
      </c>
      <c r="F2933" t="s">
        <v>9</v>
      </c>
    </row>
    <row r="2934" spans="1:6" x14ac:dyDescent="0.3">
      <c r="A2934" t="s">
        <v>677</v>
      </c>
      <c r="B2934" t="s">
        <v>160</v>
      </c>
      <c r="C2934" t="str">
        <f>HYPERLINK("http://service.sap.com/sap/support/notes/1987634","1987634")</f>
        <v>1987634</v>
      </c>
      <c r="D2934">
        <v>3</v>
      </c>
      <c r="E2934" t="s">
        <v>3057</v>
      </c>
      <c r="F2934" t="s">
        <v>9</v>
      </c>
    </row>
    <row r="2935" spans="1:6" x14ac:dyDescent="0.3">
      <c r="A2935" t="s">
        <v>677</v>
      </c>
      <c r="B2935" t="s">
        <v>160</v>
      </c>
      <c r="C2935" t="str">
        <f>HYPERLINK("http://service.sap.com/sap/support/notes/1988468","1988468")</f>
        <v>1988468</v>
      </c>
      <c r="D2935">
        <v>1</v>
      </c>
      <c r="E2935" t="s">
        <v>3058</v>
      </c>
      <c r="F2935" t="s">
        <v>9</v>
      </c>
    </row>
    <row r="2936" spans="1:6" x14ac:dyDescent="0.3">
      <c r="A2936" t="s">
        <v>677</v>
      </c>
      <c r="B2936" t="s">
        <v>160</v>
      </c>
      <c r="C2936" t="str">
        <f>HYPERLINK("http://service.sap.com/sap/support/notes/1992870","1992870")</f>
        <v>1992870</v>
      </c>
      <c r="D2936">
        <v>2</v>
      </c>
      <c r="E2936" t="s">
        <v>3059</v>
      </c>
      <c r="F2936" t="s">
        <v>9</v>
      </c>
    </row>
    <row r="2937" spans="1:6" x14ac:dyDescent="0.3">
      <c r="A2937" t="s">
        <v>677</v>
      </c>
      <c r="B2937" t="s">
        <v>160</v>
      </c>
      <c r="C2937" t="str">
        <f>HYPERLINK("http://service.sap.com/sap/support/notes/1993228","1993228")</f>
        <v>1993228</v>
      </c>
      <c r="D2937">
        <v>2</v>
      </c>
      <c r="E2937" t="s">
        <v>3060</v>
      </c>
      <c r="F2937" t="s">
        <v>9</v>
      </c>
    </row>
    <row r="2938" spans="1:6" x14ac:dyDescent="0.3">
      <c r="A2938" t="s">
        <v>677</v>
      </c>
      <c r="B2938" t="s">
        <v>160</v>
      </c>
      <c r="C2938" t="str">
        <f>HYPERLINK("http://service.sap.com/sap/support/notes/1994624","1994624")</f>
        <v>1994624</v>
      </c>
      <c r="D2938">
        <v>2</v>
      </c>
      <c r="E2938" t="s">
        <v>3061</v>
      </c>
      <c r="F2938" t="s">
        <v>9</v>
      </c>
    </row>
    <row r="2939" spans="1:6" x14ac:dyDescent="0.3">
      <c r="A2939" t="s">
        <v>677</v>
      </c>
      <c r="B2939" t="s">
        <v>160</v>
      </c>
      <c r="C2939" t="str">
        <f>HYPERLINK("http://service.sap.com/sap/support/notes/1846331","1846331")</f>
        <v>1846331</v>
      </c>
      <c r="D2939">
        <v>2</v>
      </c>
      <c r="E2939" t="s">
        <v>2575</v>
      </c>
      <c r="F2939" t="s">
        <v>16</v>
      </c>
    </row>
    <row r="2940" spans="1:6" x14ac:dyDescent="0.3">
      <c r="A2940" t="s">
        <v>677</v>
      </c>
      <c r="B2940" t="s">
        <v>160</v>
      </c>
      <c r="C2940" t="str">
        <f>HYPERLINK("http://service.sap.com/sap/support/notes/1956866","1956866")</f>
        <v>1956866</v>
      </c>
      <c r="D2940">
        <v>5</v>
      </c>
      <c r="E2940" t="s">
        <v>2215</v>
      </c>
      <c r="F2940" t="s">
        <v>9</v>
      </c>
    </row>
    <row r="2941" spans="1:6" x14ac:dyDescent="0.3">
      <c r="A2941" t="s">
        <v>677</v>
      </c>
      <c r="B2941" t="s">
        <v>160</v>
      </c>
      <c r="C2941" t="str">
        <f>HYPERLINK("http://service.sap.com/sap/support/notes/1987634","1987634")</f>
        <v>1987634</v>
      </c>
      <c r="D2941">
        <v>3</v>
      </c>
      <c r="E2941" t="s">
        <v>3057</v>
      </c>
      <c r="F2941" t="s">
        <v>9</v>
      </c>
    </row>
    <row r="2942" spans="1:6" x14ac:dyDescent="0.3">
      <c r="A2942" t="s">
        <v>677</v>
      </c>
      <c r="B2942" t="s">
        <v>160</v>
      </c>
      <c r="C2942" t="str">
        <f>HYPERLINK("http://service.sap.com/sap/support/notes/1990925","1990925")</f>
        <v>1990925</v>
      </c>
      <c r="D2942">
        <v>5</v>
      </c>
      <c r="E2942" t="s">
        <v>3692</v>
      </c>
      <c r="F2942" t="s">
        <v>9</v>
      </c>
    </row>
    <row r="2943" spans="1:6" x14ac:dyDescent="0.3">
      <c r="A2943" t="s">
        <v>677</v>
      </c>
      <c r="B2943" t="s">
        <v>160</v>
      </c>
      <c r="C2943" t="str">
        <f>HYPERLINK("http://service.sap.com/sap/support/notes/1991119","1991119")</f>
        <v>1991119</v>
      </c>
      <c r="D2943">
        <v>4</v>
      </c>
      <c r="E2943" t="s">
        <v>3693</v>
      </c>
      <c r="F2943" t="s">
        <v>9</v>
      </c>
    </row>
    <row r="2944" spans="1:6" x14ac:dyDescent="0.3">
      <c r="A2944" t="s">
        <v>677</v>
      </c>
      <c r="B2944" t="s">
        <v>160</v>
      </c>
      <c r="C2944" t="str">
        <f>HYPERLINK("http://service.sap.com/sap/support/notes/1991601","1991601")</f>
        <v>1991601</v>
      </c>
      <c r="D2944">
        <v>4</v>
      </c>
      <c r="E2944" t="s">
        <v>3694</v>
      </c>
      <c r="F2944" t="s">
        <v>9</v>
      </c>
    </row>
    <row r="2945" spans="1:6" x14ac:dyDescent="0.3">
      <c r="A2945" t="s">
        <v>677</v>
      </c>
      <c r="B2945" t="s">
        <v>160</v>
      </c>
      <c r="C2945" t="str">
        <f>HYPERLINK("http://service.sap.com/sap/support/notes/1991674","1991674")</f>
        <v>1991674</v>
      </c>
      <c r="D2945">
        <v>2</v>
      </c>
      <c r="E2945" t="s">
        <v>3695</v>
      </c>
      <c r="F2945" t="s">
        <v>9</v>
      </c>
    </row>
    <row r="2946" spans="1:6" x14ac:dyDescent="0.3">
      <c r="A2946" t="s">
        <v>677</v>
      </c>
      <c r="B2946" t="s">
        <v>160</v>
      </c>
      <c r="C2946" t="str">
        <f>HYPERLINK("http://service.sap.com/sap/support/notes/1991827","1991827")</f>
        <v>1991827</v>
      </c>
      <c r="D2946">
        <v>4</v>
      </c>
      <c r="E2946" t="s">
        <v>3696</v>
      </c>
      <c r="F2946" t="s">
        <v>9</v>
      </c>
    </row>
    <row r="2947" spans="1:6" x14ac:dyDescent="0.3">
      <c r="A2947" t="s">
        <v>677</v>
      </c>
      <c r="B2947" t="s">
        <v>160</v>
      </c>
      <c r="C2947" t="str">
        <f>HYPERLINK("http://service.sap.com/sap/support/notes/1996484","1996484")</f>
        <v>1996484</v>
      </c>
      <c r="D2947">
        <v>1</v>
      </c>
      <c r="E2947" t="s">
        <v>3697</v>
      </c>
      <c r="F2947" t="s">
        <v>9</v>
      </c>
    </row>
    <row r="2948" spans="1:6" x14ac:dyDescent="0.3">
      <c r="A2948" t="s">
        <v>677</v>
      </c>
      <c r="B2948" t="s">
        <v>160</v>
      </c>
      <c r="C2948" t="str">
        <f>HYPERLINK("http://service.sap.com/sap/support/notes/1997194","1997194")</f>
        <v>1997194</v>
      </c>
      <c r="D2948">
        <v>2</v>
      </c>
      <c r="E2948" t="s">
        <v>3698</v>
      </c>
      <c r="F2948" t="s">
        <v>9</v>
      </c>
    </row>
    <row r="2949" spans="1:6" x14ac:dyDescent="0.3">
      <c r="A2949" t="s">
        <v>677</v>
      </c>
      <c r="B2949" t="s">
        <v>160</v>
      </c>
      <c r="C2949" t="str">
        <f>HYPERLINK("http://service.sap.com/sap/support/notes/1997659","1997659")</f>
        <v>1997659</v>
      </c>
      <c r="D2949">
        <v>2</v>
      </c>
      <c r="E2949" t="s">
        <v>3699</v>
      </c>
      <c r="F2949" t="s">
        <v>9</v>
      </c>
    </row>
    <row r="2950" spans="1:6" x14ac:dyDescent="0.3">
      <c r="A2950" t="s">
        <v>677</v>
      </c>
      <c r="B2950" t="s">
        <v>160</v>
      </c>
      <c r="C2950" t="str">
        <f>HYPERLINK("http://service.sap.com/sap/support/notes/1999665","1999665")</f>
        <v>1999665</v>
      </c>
      <c r="D2950">
        <v>1</v>
      </c>
      <c r="E2950" t="s">
        <v>3700</v>
      </c>
      <c r="F2950" t="s">
        <v>9</v>
      </c>
    </row>
    <row r="2951" spans="1:6" x14ac:dyDescent="0.3">
      <c r="A2951" t="s">
        <v>677</v>
      </c>
      <c r="B2951" t="s">
        <v>160</v>
      </c>
      <c r="C2951" t="str">
        <f>HYPERLINK("http://service.sap.com/sap/support/notes/2000357","2000357")</f>
        <v>2000357</v>
      </c>
      <c r="D2951">
        <v>1</v>
      </c>
      <c r="E2951" t="s">
        <v>3701</v>
      </c>
      <c r="F2951" t="s">
        <v>9</v>
      </c>
    </row>
    <row r="2952" spans="1:6" x14ac:dyDescent="0.3">
      <c r="A2952" t="s">
        <v>677</v>
      </c>
      <c r="B2952" t="s">
        <v>160</v>
      </c>
      <c r="C2952" t="str">
        <f>HYPERLINK("http://service.sap.com/sap/support/notes/2000359","2000359")</f>
        <v>2000359</v>
      </c>
      <c r="D2952">
        <v>2</v>
      </c>
      <c r="E2952" t="s">
        <v>3702</v>
      </c>
      <c r="F2952" t="s">
        <v>28</v>
      </c>
    </row>
    <row r="2953" spans="1:6" x14ac:dyDescent="0.3">
      <c r="A2953" t="s">
        <v>677</v>
      </c>
      <c r="B2953" t="s">
        <v>160</v>
      </c>
      <c r="C2953" t="str">
        <f>HYPERLINK("http://service.sap.com/sap/support/notes/2001167","2001167")</f>
        <v>2001167</v>
      </c>
      <c r="D2953">
        <v>4</v>
      </c>
      <c r="E2953" t="s">
        <v>3703</v>
      </c>
      <c r="F2953" t="s">
        <v>9</v>
      </c>
    </row>
    <row r="2954" spans="1:6" x14ac:dyDescent="0.3">
      <c r="A2954" t="s">
        <v>677</v>
      </c>
      <c r="B2954" t="s">
        <v>160</v>
      </c>
      <c r="C2954" t="str">
        <f>HYPERLINK("http://service.sap.com/sap/support/notes/2001855","2001855")</f>
        <v>2001855</v>
      </c>
      <c r="D2954">
        <v>1</v>
      </c>
      <c r="E2954" t="s">
        <v>3704</v>
      </c>
      <c r="F2954" t="s">
        <v>9</v>
      </c>
    </row>
    <row r="2955" spans="1:6" x14ac:dyDescent="0.3">
      <c r="A2955" t="s">
        <v>677</v>
      </c>
      <c r="B2955" t="s">
        <v>160</v>
      </c>
      <c r="C2955" t="str">
        <f>HYPERLINK("http://service.sap.com/sap/support/notes/2009199","2009199")</f>
        <v>2009199</v>
      </c>
      <c r="D2955">
        <v>2</v>
      </c>
      <c r="E2955" t="s">
        <v>3705</v>
      </c>
      <c r="F2955" t="s">
        <v>9</v>
      </c>
    </row>
    <row r="2956" spans="1:6" x14ac:dyDescent="0.3">
      <c r="A2956" t="s">
        <v>677</v>
      </c>
      <c r="B2956" t="s">
        <v>160</v>
      </c>
      <c r="C2956" t="str">
        <f>HYPERLINK("http://service.sap.com/sap/support/notes/2009734","2009734")</f>
        <v>2009734</v>
      </c>
      <c r="D2956">
        <v>1</v>
      </c>
      <c r="E2956" t="s">
        <v>3706</v>
      </c>
      <c r="F2956" t="s">
        <v>9</v>
      </c>
    </row>
    <row r="2957" spans="1:6" x14ac:dyDescent="0.3">
      <c r="A2957" t="s">
        <v>677</v>
      </c>
      <c r="B2957" t="s">
        <v>160</v>
      </c>
      <c r="C2957" t="str">
        <f>HYPERLINK("http://service.sap.com/sap/support/notes/1846331","1846331")</f>
        <v>1846331</v>
      </c>
      <c r="D2957">
        <v>2</v>
      </c>
      <c r="E2957" t="s">
        <v>2575</v>
      </c>
      <c r="F2957" t="s">
        <v>16</v>
      </c>
    </row>
    <row r="2958" spans="1:6" x14ac:dyDescent="0.3">
      <c r="A2958" t="s">
        <v>677</v>
      </c>
      <c r="B2958" t="s">
        <v>160</v>
      </c>
      <c r="C2958" t="str">
        <f>HYPERLINK("http://service.sap.com/sap/support/notes/1969573","1969573")</f>
        <v>1969573</v>
      </c>
      <c r="D2958">
        <v>8</v>
      </c>
      <c r="E2958" t="s">
        <v>4200</v>
      </c>
      <c r="F2958" t="s">
        <v>9</v>
      </c>
    </row>
    <row r="2959" spans="1:6" x14ac:dyDescent="0.3">
      <c r="A2959" t="s">
        <v>677</v>
      </c>
      <c r="B2959" t="s">
        <v>160</v>
      </c>
      <c r="C2959" t="str">
        <f>HYPERLINK("http://service.sap.com/sap/support/notes/1985269","1985269")</f>
        <v>1985269</v>
      </c>
      <c r="D2959">
        <v>2</v>
      </c>
      <c r="E2959" t="s">
        <v>4201</v>
      </c>
      <c r="F2959" t="s">
        <v>9</v>
      </c>
    </row>
    <row r="2960" spans="1:6" x14ac:dyDescent="0.3">
      <c r="A2960" t="s">
        <v>677</v>
      </c>
      <c r="B2960" t="s">
        <v>160</v>
      </c>
      <c r="C2960" t="str">
        <f>HYPERLINK("http://service.sap.com/sap/support/notes/1990689","1990689")</f>
        <v>1990689</v>
      </c>
      <c r="D2960">
        <v>4</v>
      </c>
      <c r="E2960" t="s">
        <v>4202</v>
      </c>
      <c r="F2960" t="s">
        <v>9</v>
      </c>
    </row>
    <row r="2961" spans="1:6" x14ac:dyDescent="0.3">
      <c r="A2961" t="s">
        <v>677</v>
      </c>
      <c r="B2961" t="s">
        <v>160</v>
      </c>
      <c r="C2961" t="str">
        <f>HYPERLINK("http://service.sap.com/sap/support/notes/2009365","2009365")</f>
        <v>2009365</v>
      </c>
      <c r="D2961">
        <v>2</v>
      </c>
      <c r="E2961" t="s">
        <v>4203</v>
      </c>
      <c r="F2961" t="s">
        <v>9</v>
      </c>
    </row>
    <row r="2962" spans="1:6" x14ac:dyDescent="0.3">
      <c r="A2962" t="s">
        <v>677</v>
      </c>
      <c r="B2962" t="s">
        <v>160</v>
      </c>
      <c r="C2962" t="str">
        <f>HYPERLINK("http://service.sap.com/sap/support/notes/2010639","2010639")</f>
        <v>2010639</v>
      </c>
      <c r="D2962">
        <v>3</v>
      </c>
      <c r="E2962" t="s">
        <v>4204</v>
      </c>
      <c r="F2962" t="s">
        <v>9</v>
      </c>
    </row>
    <row r="2963" spans="1:6" x14ac:dyDescent="0.3">
      <c r="A2963" t="s">
        <v>677</v>
      </c>
      <c r="B2963" t="s">
        <v>160</v>
      </c>
      <c r="C2963" t="str">
        <f>HYPERLINK("http://service.sap.com/sap/support/notes/2012852","2012852")</f>
        <v>2012852</v>
      </c>
      <c r="D2963">
        <v>3</v>
      </c>
      <c r="E2963" t="s">
        <v>4205</v>
      </c>
      <c r="F2963" t="s">
        <v>16</v>
      </c>
    </row>
    <row r="2964" spans="1:6" x14ac:dyDescent="0.3">
      <c r="A2964" t="s">
        <v>677</v>
      </c>
      <c r="B2964" t="s">
        <v>160</v>
      </c>
      <c r="C2964" t="str">
        <f>HYPERLINK("http://service.sap.com/sap/support/notes/2013468","2013468")</f>
        <v>2013468</v>
      </c>
      <c r="D2964">
        <v>3</v>
      </c>
      <c r="E2964" t="s">
        <v>4206</v>
      </c>
      <c r="F2964" t="s">
        <v>9</v>
      </c>
    </row>
    <row r="2965" spans="1:6" x14ac:dyDescent="0.3">
      <c r="A2965" t="s">
        <v>677</v>
      </c>
      <c r="B2965" t="s">
        <v>160</v>
      </c>
      <c r="C2965" t="str">
        <f>HYPERLINK("http://service.sap.com/sap/support/notes/2014208","2014208")</f>
        <v>2014208</v>
      </c>
      <c r="D2965">
        <v>2</v>
      </c>
      <c r="E2965" t="s">
        <v>4207</v>
      </c>
      <c r="F2965" t="s">
        <v>9</v>
      </c>
    </row>
    <row r="2966" spans="1:6" x14ac:dyDescent="0.3">
      <c r="A2966" t="s">
        <v>677</v>
      </c>
      <c r="B2966" t="s">
        <v>160</v>
      </c>
      <c r="C2966" t="str">
        <f>HYPERLINK("http://service.sap.com/sap/support/notes/2019191","2019191")</f>
        <v>2019191</v>
      </c>
      <c r="D2966">
        <v>1</v>
      </c>
      <c r="E2966" t="s">
        <v>4208</v>
      </c>
      <c r="F2966" t="s">
        <v>9</v>
      </c>
    </row>
    <row r="2967" spans="1:6" x14ac:dyDescent="0.3">
      <c r="A2967" t="s">
        <v>677</v>
      </c>
      <c r="B2967" t="s">
        <v>160</v>
      </c>
      <c r="C2967" t="str">
        <f>HYPERLINK("http://service.sap.com/sap/support/notes/2020004","2020004")</f>
        <v>2020004</v>
      </c>
      <c r="D2967">
        <v>1</v>
      </c>
      <c r="E2967" t="s">
        <v>4209</v>
      </c>
      <c r="F2967" t="s">
        <v>9</v>
      </c>
    </row>
    <row r="2968" spans="1:6" x14ac:dyDescent="0.3">
      <c r="A2968" t="s">
        <v>677</v>
      </c>
      <c r="B2968" t="s">
        <v>160</v>
      </c>
      <c r="C2968" t="str">
        <f>HYPERLINK("http://service.sap.com/sap/support/notes/2020806","2020806")</f>
        <v>2020806</v>
      </c>
      <c r="D2968">
        <v>1</v>
      </c>
      <c r="E2968" t="s">
        <v>4210</v>
      </c>
      <c r="F2968" t="s">
        <v>9</v>
      </c>
    </row>
    <row r="2969" spans="1:6" x14ac:dyDescent="0.3">
      <c r="A2969" t="s">
        <v>677</v>
      </c>
      <c r="B2969" t="s">
        <v>160</v>
      </c>
      <c r="C2969" t="str">
        <f>HYPERLINK("http://service.sap.com/sap/support/notes/1846331","1846331")</f>
        <v>1846331</v>
      </c>
      <c r="D2969">
        <v>2</v>
      </c>
      <c r="E2969" t="s">
        <v>2575</v>
      </c>
      <c r="F2969" t="s">
        <v>16</v>
      </c>
    </row>
    <row r="2970" spans="1:6" x14ac:dyDescent="0.3">
      <c r="A2970" t="s">
        <v>677</v>
      </c>
      <c r="B2970" t="s">
        <v>160</v>
      </c>
      <c r="C2970" t="str">
        <f>HYPERLINK("http://service.sap.com/sap/support/notes/1959254","1959254")</f>
        <v>1959254</v>
      </c>
      <c r="D2970">
        <v>3</v>
      </c>
      <c r="E2970" t="s">
        <v>4540</v>
      </c>
      <c r="F2970" t="s">
        <v>9</v>
      </c>
    </row>
    <row r="2971" spans="1:6" x14ac:dyDescent="0.3">
      <c r="A2971" t="s">
        <v>677</v>
      </c>
      <c r="B2971" t="s">
        <v>160</v>
      </c>
      <c r="C2971" t="str">
        <f>HYPERLINK("http://service.sap.com/sap/support/notes/1998710","1998710")</f>
        <v>1998710</v>
      </c>
      <c r="D2971">
        <v>3</v>
      </c>
      <c r="E2971" t="s">
        <v>4541</v>
      </c>
      <c r="F2971" t="s">
        <v>9</v>
      </c>
    </row>
    <row r="2972" spans="1:6" x14ac:dyDescent="0.3">
      <c r="A2972" t="s">
        <v>677</v>
      </c>
      <c r="B2972" t="s">
        <v>160</v>
      </c>
      <c r="C2972" t="str">
        <f>HYPERLINK("http://service.sap.com/sap/support/notes/2007828","2007828")</f>
        <v>2007828</v>
      </c>
      <c r="D2972">
        <v>2</v>
      </c>
      <c r="E2972" t="s">
        <v>4542</v>
      </c>
      <c r="F2972" t="s">
        <v>9</v>
      </c>
    </row>
    <row r="2973" spans="1:6" x14ac:dyDescent="0.3">
      <c r="A2973" t="s">
        <v>677</v>
      </c>
      <c r="B2973" t="s">
        <v>160</v>
      </c>
      <c r="C2973" t="str">
        <f>HYPERLINK("http://service.sap.com/sap/support/notes/2010636","2010636")</f>
        <v>2010636</v>
      </c>
      <c r="D2973">
        <v>2</v>
      </c>
      <c r="E2973" t="s">
        <v>4543</v>
      </c>
      <c r="F2973" t="s">
        <v>9</v>
      </c>
    </row>
    <row r="2974" spans="1:6" x14ac:dyDescent="0.3">
      <c r="A2974" t="s">
        <v>677</v>
      </c>
      <c r="B2974" t="s">
        <v>160</v>
      </c>
      <c r="C2974" t="str">
        <f>HYPERLINK("http://service.sap.com/sap/support/notes/2018963","2018963")</f>
        <v>2018963</v>
      </c>
      <c r="D2974">
        <v>3</v>
      </c>
      <c r="E2974" t="s">
        <v>4544</v>
      </c>
      <c r="F2974" t="s">
        <v>9</v>
      </c>
    </row>
    <row r="2975" spans="1:6" x14ac:dyDescent="0.3">
      <c r="A2975" t="s">
        <v>677</v>
      </c>
      <c r="B2975" t="s">
        <v>160</v>
      </c>
      <c r="C2975" t="str">
        <f>HYPERLINK("http://service.sap.com/sap/support/notes/2022257","2022257")</f>
        <v>2022257</v>
      </c>
      <c r="D2975">
        <v>1</v>
      </c>
      <c r="E2975" t="s">
        <v>4545</v>
      </c>
      <c r="F2975" t="s">
        <v>9</v>
      </c>
    </row>
    <row r="2976" spans="1:6" x14ac:dyDescent="0.3">
      <c r="A2976" t="s">
        <v>677</v>
      </c>
      <c r="B2976" t="s">
        <v>160</v>
      </c>
      <c r="C2976" t="str">
        <f>HYPERLINK("http://service.sap.com/sap/support/notes/2022503","2022503")</f>
        <v>2022503</v>
      </c>
      <c r="D2976">
        <v>3</v>
      </c>
      <c r="E2976" t="s">
        <v>4546</v>
      </c>
      <c r="F2976" t="s">
        <v>9</v>
      </c>
    </row>
    <row r="2977" spans="1:6" x14ac:dyDescent="0.3">
      <c r="A2977" t="s">
        <v>677</v>
      </c>
      <c r="B2977" t="s">
        <v>160</v>
      </c>
      <c r="C2977" t="str">
        <f>HYPERLINK("http://service.sap.com/sap/support/notes/2023006","2023006")</f>
        <v>2023006</v>
      </c>
      <c r="D2977">
        <v>2</v>
      </c>
      <c r="E2977" t="s">
        <v>4547</v>
      </c>
      <c r="F2977" t="s">
        <v>9</v>
      </c>
    </row>
    <row r="2978" spans="1:6" x14ac:dyDescent="0.3">
      <c r="A2978" t="s">
        <v>677</v>
      </c>
      <c r="B2978" t="s">
        <v>160</v>
      </c>
      <c r="C2978" t="str">
        <f>HYPERLINK("http://service.sap.com/sap/support/notes/2025741","2025741")</f>
        <v>2025741</v>
      </c>
      <c r="D2978">
        <v>3</v>
      </c>
      <c r="E2978" t="s">
        <v>4548</v>
      </c>
      <c r="F2978" t="s">
        <v>9</v>
      </c>
    </row>
    <row r="2979" spans="1:6" x14ac:dyDescent="0.3">
      <c r="A2979" t="s">
        <v>677</v>
      </c>
      <c r="B2979" t="s">
        <v>160</v>
      </c>
      <c r="C2979" t="str">
        <f>HYPERLINK("http://service.sap.com/sap/support/notes/2026335","2026335")</f>
        <v>2026335</v>
      </c>
      <c r="D2979">
        <v>1</v>
      </c>
      <c r="E2979" t="s">
        <v>4549</v>
      </c>
      <c r="F2979" t="s">
        <v>9</v>
      </c>
    </row>
    <row r="2980" spans="1:6" x14ac:dyDescent="0.3">
      <c r="A2980" t="s">
        <v>677</v>
      </c>
      <c r="B2980" t="s">
        <v>160</v>
      </c>
      <c r="C2980" t="str">
        <f>HYPERLINK("http://service.sap.com/sap/support/notes/2027351","2027351")</f>
        <v>2027351</v>
      </c>
      <c r="D2980">
        <v>1</v>
      </c>
      <c r="E2980" t="s">
        <v>4550</v>
      </c>
      <c r="F2980" t="s">
        <v>16</v>
      </c>
    </row>
    <row r="2981" spans="1:6" x14ac:dyDescent="0.3">
      <c r="A2981" t="s">
        <v>677</v>
      </c>
      <c r="B2981" t="s">
        <v>160</v>
      </c>
      <c r="C2981" t="str">
        <f>HYPERLINK("http://service.sap.com/sap/support/notes/2028676","2028676")</f>
        <v>2028676</v>
      </c>
      <c r="D2981">
        <v>2</v>
      </c>
      <c r="E2981" t="s">
        <v>4551</v>
      </c>
      <c r="F2981" t="s">
        <v>9</v>
      </c>
    </row>
    <row r="2982" spans="1:6" x14ac:dyDescent="0.3">
      <c r="A2982" t="s">
        <v>677</v>
      </c>
      <c r="B2982" t="s">
        <v>160</v>
      </c>
      <c r="C2982" t="str">
        <f>HYPERLINK("http://service.sap.com/sap/support/notes/1991538","1991538")</f>
        <v>1991538</v>
      </c>
      <c r="D2982">
        <v>8</v>
      </c>
      <c r="E2982" t="s">
        <v>4851</v>
      </c>
      <c r="F2982" t="s">
        <v>9</v>
      </c>
    </row>
    <row r="2983" spans="1:6" x14ac:dyDescent="0.3">
      <c r="A2983" t="s">
        <v>677</v>
      </c>
      <c r="B2983" t="s">
        <v>160</v>
      </c>
      <c r="C2983" t="str">
        <f>HYPERLINK("http://service.sap.com/sap/support/notes/2001413","2001413")</f>
        <v>2001413</v>
      </c>
      <c r="D2983">
        <v>3</v>
      </c>
      <c r="E2983" t="s">
        <v>4852</v>
      </c>
      <c r="F2983" t="s">
        <v>9</v>
      </c>
    </row>
    <row r="2984" spans="1:6" x14ac:dyDescent="0.3">
      <c r="A2984" t="s">
        <v>677</v>
      </c>
      <c r="B2984" t="s">
        <v>160</v>
      </c>
      <c r="C2984" t="str">
        <f>HYPERLINK("http://service.sap.com/sap/support/notes/2004650","2004650")</f>
        <v>2004650</v>
      </c>
      <c r="D2984">
        <v>4</v>
      </c>
      <c r="E2984" t="s">
        <v>4853</v>
      </c>
      <c r="F2984" t="s">
        <v>9</v>
      </c>
    </row>
    <row r="2985" spans="1:6" x14ac:dyDescent="0.3">
      <c r="A2985" t="s">
        <v>677</v>
      </c>
      <c r="B2985" t="s">
        <v>160</v>
      </c>
      <c r="C2985" t="str">
        <f>HYPERLINK("http://service.sap.com/sap/support/notes/2022257","2022257")</f>
        <v>2022257</v>
      </c>
      <c r="D2985">
        <v>1</v>
      </c>
      <c r="E2985" t="s">
        <v>4545</v>
      </c>
      <c r="F2985" t="s">
        <v>9</v>
      </c>
    </row>
    <row r="2986" spans="1:6" x14ac:dyDescent="0.3">
      <c r="A2986" t="s">
        <v>677</v>
      </c>
      <c r="B2986" t="s">
        <v>160</v>
      </c>
      <c r="C2986" t="str">
        <f>HYPERLINK("http://service.sap.com/sap/support/notes/2026880","2026880")</f>
        <v>2026880</v>
      </c>
      <c r="D2986">
        <v>5</v>
      </c>
      <c r="E2986" t="s">
        <v>4854</v>
      </c>
      <c r="F2986" t="s">
        <v>9</v>
      </c>
    </row>
    <row r="2987" spans="1:6" x14ac:dyDescent="0.3">
      <c r="A2987" t="s">
        <v>677</v>
      </c>
      <c r="B2987" t="s">
        <v>160</v>
      </c>
      <c r="C2987" t="str">
        <f>HYPERLINK("http://service.sap.com/sap/support/notes/2027038","2027038")</f>
        <v>2027038</v>
      </c>
      <c r="D2987">
        <v>5</v>
      </c>
      <c r="E2987" t="s">
        <v>4855</v>
      </c>
      <c r="F2987" t="s">
        <v>9</v>
      </c>
    </row>
    <row r="2988" spans="1:6" x14ac:dyDescent="0.3">
      <c r="A2988" t="s">
        <v>677</v>
      </c>
      <c r="B2988" t="s">
        <v>160</v>
      </c>
      <c r="C2988" t="str">
        <f>HYPERLINK("http://service.sap.com/sap/support/notes/2032986","2032986")</f>
        <v>2032986</v>
      </c>
      <c r="D2988">
        <v>2</v>
      </c>
      <c r="E2988" t="s">
        <v>4856</v>
      </c>
      <c r="F2988" t="s">
        <v>9</v>
      </c>
    </row>
    <row r="2989" spans="1:6" x14ac:dyDescent="0.3">
      <c r="A2989" t="s">
        <v>677</v>
      </c>
      <c r="B2989" t="s">
        <v>160</v>
      </c>
      <c r="C2989" t="str">
        <f>HYPERLINK("http://service.sap.com/sap/support/notes/2033398","2033398")</f>
        <v>2033398</v>
      </c>
      <c r="D2989">
        <v>2</v>
      </c>
      <c r="E2989" t="s">
        <v>4857</v>
      </c>
      <c r="F2989" t="s">
        <v>9</v>
      </c>
    </row>
    <row r="2990" spans="1:6" x14ac:dyDescent="0.3">
      <c r="A2990" t="s">
        <v>677</v>
      </c>
      <c r="B2990" t="s">
        <v>160</v>
      </c>
      <c r="C2990" t="str">
        <f>HYPERLINK("http://service.sap.com/sap/support/notes/2033945","2033945")</f>
        <v>2033945</v>
      </c>
      <c r="D2990">
        <v>2</v>
      </c>
      <c r="E2990" t="s">
        <v>4858</v>
      </c>
      <c r="F2990" t="s">
        <v>9</v>
      </c>
    </row>
    <row r="2991" spans="1:6" x14ac:dyDescent="0.3">
      <c r="A2991" t="s">
        <v>677</v>
      </c>
      <c r="B2991" t="s">
        <v>160</v>
      </c>
      <c r="C2991" t="str">
        <f>HYPERLINK("http://service.sap.com/sap/support/notes/2034144","2034144")</f>
        <v>2034144</v>
      </c>
      <c r="D2991">
        <v>1</v>
      </c>
      <c r="E2991" t="s">
        <v>4859</v>
      </c>
      <c r="F2991" t="s">
        <v>9</v>
      </c>
    </row>
    <row r="2992" spans="1:6" x14ac:dyDescent="0.3">
      <c r="A2992" t="s">
        <v>677</v>
      </c>
      <c r="B2992" t="s">
        <v>160</v>
      </c>
      <c r="C2992" t="str">
        <f>HYPERLINK("http://service.sap.com/sap/support/notes/2035110","2035110")</f>
        <v>2035110</v>
      </c>
      <c r="D2992">
        <v>2</v>
      </c>
      <c r="E2992" t="s">
        <v>4860</v>
      </c>
      <c r="F2992" t="s">
        <v>9</v>
      </c>
    </row>
    <row r="2993" spans="1:6" x14ac:dyDescent="0.3">
      <c r="A2993" t="s">
        <v>677</v>
      </c>
      <c r="B2993" t="s">
        <v>160</v>
      </c>
      <c r="C2993" t="str">
        <f>HYPERLINK("http://service.sap.com/sap/support/notes/2036678","2036678")</f>
        <v>2036678</v>
      </c>
      <c r="D2993">
        <v>2</v>
      </c>
      <c r="E2993" t="s">
        <v>4861</v>
      </c>
      <c r="F2993" t="s">
        <v>9</v>
      </c>
    </row>
    <row r="2994" spans="1:6" x14ac:dyDescent="0.3">
      <c r="A2994" t="s">
        <v>677</v>
      </c>
      <c r="B2994" t="s">
        <v>160</v>
      </c>
      <c r="C2994" t="str">
        <f>HYPERLINK("http://service.sap.com/sap/support/notes/2036766","2036766")</f>
        <v>2036766</v>
      </c>
      <c r="D2994">
        <v>2</v>
      </c>
      <c r="E2994" t="s">
        <v>687</v>
      </c>
      <c r="F2994" t="s">
        <v>9</v>
      </c>
    </row>
    <row r="2995" spans="1:6" x14ac:dyDescent="0.3">
      <c r="A2995" t="s">
        <v>677</v>
      </c>
      <c r="B2995" t="s">
        <v>160</v>
      </c>
      <c r="C2995" t="str">
        <f>HYPERLINK("http://service.sap.com/sap/support/notes/2036953","2036953")</f>
        <v>2036953</v>
      </c>
      <c r="D2995">
        <v>1</v>
      </c>
      <c r="E2995" t="s">
        <v>4862</v>
      </c>
      <c r="F2995" t="s">
        <v>9</v>
      </c>
    </row>
    <row r="2996" spans="1:6" x14ac:dyDescent="0.3">
      <c r="A2996" t="s">
        <v>677</v>
      </c>
      <c r="B2996" t="s">
        <v>160</v>
      </c>
      <c r="C2996" t="str">
        <f>HYPERLINK("http://service.sap.com/sap/support/notes/2037013","2037013")</f>
        <v>2037013</v>
      </c>
      <c r="D2996">
        <v>2</v>
      </c>
      <c r="E2996" t="s">
        <v>4863</v>
      </c>
      <c r="F2996" t="s">
        <v>9</v>
      </c>
    </row>
    <row r="2997" spans="1:6" x14ac:dyDescent="0.3">
      <c r="A2997" t="s">
        <v>677</v>
      </c>
      <c r="B2997" t="s">
        <v>160</v>
      </c>
      <c r="C2997" t="str">
        <f>HYPERLINK("http://service.sap.com/sap/support/notes/2037118","2037118")</f>
        <v>2037118</v>
      </c>
      <c r="D2997">
        <v>2</v>
      </c>
      <c r="E2997" t="s">
        <v>4864</v>
      </c>
      <c r="F2997" t="s">
        <v>9</v>
      </c>
    </row>
    <row r="2998" spans="1:6" x14ac:dyDescent="0.3">
      <c r="A2998" t="s">
        <v>677</v>
      </c>
      <c r="B2998" t="s">
        <v>160</v>
      </c>
      <c r="C2998" t="str">
        <f>HYPERLINK("http://service.sap.com/sap/support/notes/2037279","2037279")</f>
        <v>2037279</v>
      </c>
      <c r="D2998">
        <v>3</v>
      </c>
      <c r="E2998" t="s">
        <v>4865</v>
      </c>
      <c r="F2998" t="s">
        <v>9</v>
      </c>
    </row>
    <row r="2999" spans="1:6" x14ac:dyDescent="0.3">
      <c r="A2999" t="s">
        <v>677</v>
      </c>
      <c r="B2999" t="s">
        <v>160</v>
      </c>
      <c r="C2999" t="str">
        <f>HYPERLINK("http://service.sap.com/sap/support/notes/2037503","2037503")</f>
        <v>2037503</v>
      </c>
      <c r="D2999">
        <v>1</v>
      </c>
      <c r="E2999" t="s">
        <v>4866</v>
      </c>
      <c r="F2999" t="s">
        <v>9</v>
      </c>
    </row>
    <row r="3000" spans="1:6" x14ac:dyDescent="0.3">
      <c r="A3000" t="s">
        <v>677</v>
      </c>
      <c r="B3000" t="s">
        <v>160</v>
      </c>
      <c r="C3000" t="str">
        <f>HYPERLINK("http://service.sap.com/sap/support/notes/2038026","2038026")</f>
        <v>2038026</v>
      </c>
      <c r="D3000">
        <v>1</v>
      </c>
      <c r="E3000" t="s">
        <v>4867</v>
      </c>
      <c r="F3000" t="s">
        <v>9</v>
      </c>
    </row>
    <row r="3001" spans="1:6" x14ac:dyDescent="0.3">
      <c r="A3001" t="s">
        <v>677</v>
      </c>
      <c r="B3001" t="s">
        <v>160</v>
      </c>
      <c r="C3001" t="str">
        <f>HYPERLINK("http://service.sap.com/sap/support/notes/2038046","2038046")</f>
        <v>2038046</v>
      </c>
      <c r="D3001">
        <v>2</v>
      </c>
      <c r="E3001" t="s">
        <v>4868</v>
      </c>
      <c r="F3001" t="s">
        <v>9</v>
      </c>
    </row>
    <row r="3002" spans="1:6" x14ac:dyDescent="0.3">
      <c r="A3002" t="s">
        <v>677</v>
      </c>
      <c r="B3002" t="s">
        <v>160</v>
      </c>
      <c r="C3002" t="str">
        <f>HYPERLINK("http://service.sap.com/sap/support/notes/2038108","2038108")</f>
        <v>2038108</v>
      </c>
      <c r="D3002">
        <v>1</v>
      </c>
      <c r="E3002" t="s">
        <v>4869</v>
      </c>
      <c r="F3002" t="s">
        <v>9</v>
      </c>
    </row>
    <row r="3003" spans="1:6" x14ac:dyDescent="0.3">
      <c r="A3003" t="s">
        <v>677</v>
      </c>
      <c r="B3003" t="s">
        <v>160</v>
      </c>
      <c r="C3003" t="str">
        <f>HYPERLINK("http://service.sap.com/sap/support/notes/2038845","2038845")</f>
        <v>2038845</v>
      </c>
      <c r="D3003">
        <v>2</v>
      </c>
      <c r="E3003" t="s">
        <v>4870</v>
      </c>
      <c r="F3003" t="s">
        <v>9</v>
      </c>
    </row>
    <row r="3004" spans="1:6" x14ac:dyDescent="0.3">
      <c r="A3004" t="s">
        <v>677</v>
      </c>
      <c r="B3004" t="s">
        <v>160</v>
      </c>
      <c r="C3004" t="str">
        <f>HYPERLINK("http://service.sap.com/sap/support/notes/2038991","2038991")</f>
        <v>2038991</v>
      </c>
      <c r="D3004">
        <v>3</v>
      </c>
      <c r="E3004" t="s">
        <v>4871</v>
      </c>
      <c r="F3004" t="s">
        <v>9</v>
      </c>
    </row>
    <row r="3005" spans="1:6" x14ac:dyDescent="0.3">
      <c r="A3005" t="s">
        <v>677</v>
      </c>
      <c r="B3005" t="s">
        <v>160</v>
      </c>
      <c r="C3005" t="str">
        <f>HYPERLINK("http://service.sap.com/sap/support/notes/2039617","2039617")</f>
        <v>2039617</v>
      </c>
      <c r="D3005">
        <v>4</v>
      </c>
      <c r="E3005" t="s">
        <v>4872</v>
      </c>
      <c r="F3005" t="s">
        <v>9</v>
      </c>
    </row>
    <row r="3006" spans="1:6" x14ac:dyDescent="0.3">
      <c r="A3006" t="s">
        <v>677</v>
      </c>
      <c r="B3006" t="s">
        <v>160</v>
      </c>
      <c r="C3006" t="str">
        <f>HYPERLINK("http://service.sap.com/sap/support/notes/2042127","2042127")</f>
        <v>2042127</v>
      </c>
      <c r="D3006">
        <v>1</v>
      </c>
      <c r="E3006" t="s">
        <v>4873</v>
      </c>
      <c r="F3006" t="s">
        <v>9</v>
      </c>
    </row>
    <row r="3007" spans="1:6" x14ac:dyDescent="0.3">
      <c r="A3007" t="s">
        <v>677</v>
      </c>
      <c r="B3007" t="s">
        <v>160</v>
      </c>
      <c r="C3007" t="str">
        <f>HYPERLINK("http://service.sap.com/sap/support/notes/2042462","2042462")</f>
        <v>2042462</v>
      </c>
      <c r="D3007">
        <v>1</v>
      </c>
      <c r="E3007" t="s">
        <v>4874</v>
      </c>
      <c r="F3007" t="s">
        <v>9</v>
      </c>
    </row>
    <row r="3008" spans="1:6" x14ac:dyDescent="0.3">
      <c r="A3008" t="s">
        <v>677</v>
      </c>
      <c r="B3008" t="s">
        <v>160</v>
      </c>
      <c r="C3008" t="str">
        <f>HYPERLINK("http://service.sap.com/sap/support/notes/2042887","2042887")</f>
        <v>2042887</v>
      </c>
      <c r="D3008">
        <v>1</v>
      </c>
      <c r="E3008" t="s">
        <v>4875</v>
      </c>
      <c r="F3008" t="s">
        <v>9</v>
      </c>
    </row>
    <row r="3009" spans="1:6" x14ac:dyDescent="0.3">
      <c r="A3009" t="s">
        <v>677</v>
      </c>
      <c r="B3009" t="s">
        <v>160</v>
      </c>
      <c r="C3009" t="str">
        <f>HYPERLINK("http://service.sap.com/sap/support/notes/2043361","2043361")</f>
        <v>2043361</v>
      </c>
      <c r="D3009">
        <v>3</v>
      </c>
      <c r="E3009" t="s">
        <v>4876</v>
      </c>
      <c r="F3009" t="s">
        <v>9</v>
      </c>
    </row>
    <row r="3010" spans="1:6" x14ac:dyDescent="0.3">
      <c r="A3010" t="s">
        <v>677</v>
      </c>
      <c r="B3010" t="s">
        <v>160</v>
      </c>
      <c r="C3010" t="str">
        <f>HYPERLINK("http://service.sap.com/sap/support/notes/2044669","2044669")</f>
        <v>2044669</v>
      </c>
      <c r="D3010">
        <v>2</v>
      </c>
      <c r="E3010" t="s">
        <v>4877</v>
      </c>
      <c r="F3010" t="s">
        <v>9</v>
      </c>
    </row>
    <row r="3011" spans="1:6" x14ac:dyDescent="0.3">
      <c r="A3011" t="s">
        <v>677</v>
      </c>
      <c r="B3011" t="s">
        <v>160</v>
      </c>
      <c r="C3011" t="str">
        <f>HYPERLINK("http://service.sap.com/sap/support/notes/2023451","2023451")</f>
        <v>2023451</v>
      </c>
      <c r="D3011">
        <v>3</v>
      </c>
      <c r="E3011" t="s">
        <v>5234</v>
      </c>
      <c r="F3011" t="s">
        <v>9</v>
      </c>
    </row>
    <row r="3012" spans="1:6" x14ac:dyDescent="0.3">
      <c r="A3012" t="s">
        <v>677</v>
      </c>
      <c r="B3012" t="s">
        <v>160</v>
      </c>
      <c r="C3012" t="str">
        <f>HYPERLINK("http://service.sap.com/sap/support/notes/2025283","2025283")</f>
        <v>2025283</v>
      </c>
      <c r="D3012">
        <v>5</v>
      </c>
      <c r="E3012" t="s">
        <v>5235</v>
      </c>
      <c r="F3012" t="s">
        <v>9</v>
      </c>
    </row>
    <row r="3013" spans="1:6" x14ac:dyDescent="0.3">
      <c r="A3013" t="s">
        <v>677</v>
      </c>
      <c r="B3013" t="s">
        <v>160</v>
      </c>
      <c r="C3013" t="str">
        <f>HYPERLINK("http://service.sap.com/sap/support/notes/2035058","2035058")</f>
        <v>2035058</v>
      </c>
      <c r="D3013">
        <v>3</v>
      </c>
      <c r="E3013" t="s">
        <v>5236</v>
      </c>
      <c r="F3013" t="s">
        <v>9</v>
      </c>
    </row>
    <row r="3014" spans="1:6" x14ac:dyDescent="0.3">
      <c r="A3014" t="s">
        <v>677</v>
      </c>
      <c r="B3014" t="s">
        <v>160</v>
      </c>
      <c r="C3014" t="str">
        <f>HYPERLINK("http://service.sap.com/sap/support/notes/2044669","2044669")</f>
        <v>2044669</v>
      </c>
      <c r="D3014">
        <v>2</v>
      </c>
      <c r="E3014" t="s">
        <v>4877</v>
      </c>
      <c r="F3014" t="s">
        <v>9</v>
      </c>
    </row>
    <row r="3015" spans="1:6" x14ac:dyDescent="0.3">
      <c r="A3015" t="s">
        <v>677</v>
      </c>
      <c r="B3015" t="s">
        <v>160</v>
      </c>
      <c r="C3015" t="str">
        <f>HYPERLINK("http://service.sap.com/sap/support/notes/2044931","2044931")</f>
        <v>2044931</v>
      </c>
      <c r="D3015">
        <v>1</v>
      </c>
      <c r="E3015" t="s">
        <v>5237</v>
      </c>
      <c r="F3015" t="s">
        <v>9</v>
      </c>
    </row>
    <row r="3016" spans="1:6" x14ac:dyDescent="0.3">
      <c r="A3016" t="s">
        <v>677</v>
      </c>
      <c r="B3016" t="s">
        <v>160</v>
      </c>
      <c r="C3016" t="str">
        <f>HYPERLINK("http://service.sap.com/sap/support/notes/2045997","2045997")</f>
        <v>2045997</v>
      </c>
      <c r="D3016">
        <v>1</v>
      </c>
      <c r="E3016" t="s">
        <v>5238</v>
      </c>
      <c r="F3016" t="s">
        <v>9</v>
      </c>
    </row>
    <row r="3017" spans="1:6" x14ac:dyDescent="0.3">
      <c r="A3017" t="s">
        <v>677</v>
      </c>
      <c r="B3017" t="s">
        <v>160</v>
      </c>
      <c r="C3017" t="str">
        <f>HYPERLINK("http://service.sap.com/sap/support/notes/2047294","2047294")</f>
        <v>2047294</v>
      </c>
      <c r="D3017">
        <v>5</v>
      </c>
      <c r="E3017" t="s">
        <v>5239</v>
      </c>
      <c r="F3017" t="s">
        <v>28</v>
      </c>
    </row>
    <row r="3018" spans="1:6" x14ac:dyDescent="0.3">
      <c r="A3018" t="s">
        <v>677</v>
      </c>
      <c r="B3018" t="s">
        <v>160</v>
      </c>
      <c r="C3018" t="str">
        <f>HYPERLINK("http://service.sap.com/sap/support/notes/2047838","2047838")</f>
        <v>2047838</v>
      </c>
      <c r="D3018">
        <v>4</v>
      </c>
      <c r="E3018" t="s">
        <v>5240</v>
      </c>
      <c r="F3018" t="s">
        <v>9</v>
      </c>
    </row>
    <row r="3019" spans="1:6" x14ac:dyDescent="0.3">
      <c r="A3019" t="s">
        <v>677</v>
      </c>
      <c r="B3019" t="s">
        <v>160</v>
      </c>
      <c r="C3019" t="str">
        <f>HYPERLINK("http://service.sap.com/sap/support/notes/2048360","2048360")</f>
        <v>2048360</v>
      </c>
      <c r="D3019">
        <v>1</v>
      </c>
      <c r="E3019" t="s">
        <v>5241</v>
      </c>
      <c r="F3019" t="s">
        <v>9</v>
      </c>
    </row>
    <row r="3020" spans="1:6" x14ac:dyDescent="0.3">
      <c r="A3020" t="s">
        <v>677</v>
      </c>
      <c r="B3020" t="s">
        <v>160</v>
      </c>
      <c r="C3020" t="str">
        <f>HYPERLINK("http://service.sap.com/sap/support/notes/2049189","2049189")</f>
        <v>2049189</v>
      </c>
      <c r="D3020">
        <v>2</v>
      </c>
      <c r="E3020" t="s">
        <v>5240</v>
      </c>
      <c r="F3020" t="s">
        <v>9</v>
      </c>
    </row>
    <row r="3021" spans="1:6" x14ac:dyDescent="0.3">
      <c r="A3021" t="s">
        <v>677</v>
      </c>
      <c r="B3021" t="s">
        <v>160</v>
      </c>
      <c r="C3021" t="str">
        <f>HYPERLINK("http://service.sap.com/sap/support/notes/2049231","2049231")</f>
        <v>2049231</v>
      </c>
      <c r="D3021">
        <v>1</v>
      </c>
      <c r="E3021" t="s">
        <v>5242</v>
      </c>
      <c r="F3021" t="s">
        <v>9</v>
      </c>
    </row>
    <row r="3022" spans="1:6" x14ac:dyDescent="0.3">
      <c r="A3022" t="s">
        <v>677</v>
      </c>
      <c r="B3022" t="s">
        <v>160</v>
      </c>
      <c r="C3022" t="str">
        <f>HYPERLINK("http://service.sap.com/sap/support/notes/2049267","2049267")</f>
        <v>2049267</v>
      </c>
      <c r="D3022">
        <v>3</v>
      </c>
      <c r="E3022" t="s">
        <v>5243</v>
      </c>
      <c r="F3022" t="s">
        <v>9</v>
      </c>
    </row>
    <row r="3023" spans="1:6" x14ac:dyDescent="0.3">
      <c r="A3023" t="s">
        <v>677</v>
      </c>
      <c r="B3023" t="s">
        <v>160</v>
      </c>
      <c r="C3023" t="str">
        <f>HYPERLINK("http://service.sap.com/sap/support/notes/2049432","2049432")</f>
        <v>2049432</v>
      </c>
      <c r="D3023">
        <v>3</v>
      </c>
      <c r="E3023" t="s">
        <v>5244</v>
      </c>
      <c r="F3023" t="s">
        <v>9</v>
      </c>
    </row>
    <row r="3024" spans="1:6" x14ac:dyDescent="0.3">
      <c r="A3024" t="s">
        <v>677</v>
      </c>
      <c r="B3024" t="s">
        <v>160</v>
      </c>
      <c r="C3024" t="str">
        <f>HYPERLINK("http://service.sap.com/sap/support/notes/2050097","2050097")</f>
        <v>2050097</v>
      </c>
      <c r="D3024">
        <v>3</v>
      </c>
      <c r="E3024" t="s">
        <v>5245</v>
      </c>
      <c r="F3024" t="s">
        <v>9</v>
      </c>
    </row>
    <row r="3025" spans="1:6" x14ac:dyDescent="0.3">
      <c r="A3025" t="s">
        <v>677</v>
      </c>
      <c r="B3025" t="s">
        <v>160</v>
      </c>
      <c r="C3025" t="str">
        <f>HYPERLINK("http://service.sap.com/sap/support/notes/2050226","2050226")</f>
        <v>2050226</v>
      </c>
      <c r="D3025">
        <v>2</v>
      </c>
      <c r="E3025" t="s">
        <v>5246</v>
      </c>
      <c r="F3025" t="s">
        <v>9</v>
      </c>
    </row>
    <row r="3026" spans="1:6" x14ac:dyDescent="0.3">
      <c r="A3026" t="s">
        <v>677</v>
      </c>
      <c r="B3026" t="s">
        <v>160</v>
      </c>
      <c r="C3026" t="str">
        <f>HYPERLINK("http://service.sap.com/sap/support/notes/2050974","2050974")</f>
        <v>2050974</v>
      </c>
      <c r="D3026">
        <v>3</v>
      </c>
      <c r="E3026" t="s">
        <v>5247</v>
      </c>
      <c r="F3026" t="s">
        <v>9</v>
      </c>
    </row>
    <row r="3027" spans="1:6" x14ac:dyDescent="0.3">
      <c r="A3027" t="s">
        <v>677</v>
      </c>
      <c r="B3027" t="s">
        <v>160</v>
      </c>
      <c r="C3027" t="str">
        <f>HYPERLINK("http://service.sap.com/sap/support/notes/2053797","2053797")</f>
        <v>2053797</v>
      </c>
      <c r="D3027">
        <v>1</v>
      </c>
      <c r="E3027" t="s">
        <v>5248</v>
      </c>
      <c r="F3027" t="s">
        <v>9</v>
      </c>
    </row>
    <row r="3028" spans="1:6" x14ac:dyDescent="0.3">
      <c r="A3028" t="s">
        <v>677</v>
      </c>
      <c r="B3028" t="s">
        <v>160</v>
      </c>
      <c r="C3028" t="str">
        <f>HYPERLINK("http://service.sap.com/sap/support/notes/2053865","2053865")</f>
        <v>2053865</v>
      </c>
      <c r="D3028">
        <v>1</v>
      </c>
      <c r="E3028" t="s">
        <v>5249</v>
      </c>
      <c r="F3028" t="s">
        <v>9</v>
      </c>
    </row>
    <row r="3029" spans="1:6" x14ac:dyDescent="0.3">
      <c r="A3029" t="s">
        <v>677</v>
      </c>
      <c r="B3029" t="s">
        <v>160</v>
      </c>
      <c r="C3029" t="str">
        <f>HYPERLINK("http://service.sap.com/sap/support/notes/2054270","2054270")</f>
        <v>2054270</v>
      </c>
      <c r="D3029">
        <v>9</v>
      </c>
      <c r="E3029" t="s">
        <v>5250</v>
      </c>
      <c r="F3029" t="s">
        <v>9</v>
      </c>
    </row>
    <row r="3030" spans="1:6" x14ac:dyDescent="0.3">
      <c r="A3030" t="s">
        <v>677</v>
      </c>
      <c r="B3030" t="s">
        <v>160</v>
      </c>
      <c r="C3030" t="str">
        <f>HYPERLINK("http://service.sap.com/sap/support/notes/2054495","2054495")</f>
        <v>2054495</v>
      </c>
      <c r="D3030">
        <v>3</v>
      </c>
      <c r="E3030" t="s">
        <v>5251</v>
      </c>
      <c r="F3030" t="s">
        <v>9</v>
      </c>
    </row>
    <row r="3031" spans="1:6" x14ac:dyDescent="0.3">
      <c r="A3031" t="s">
        <v>677</v>
      </c>
      <c r="B3031" t="s">
        <v>160</v>
      </c>
      <c r="C3031" t="str">
        <f>HYPERLINK("http://service.sap.com/sap/support/notes/2055814","2055814")</f>
        <v>2055814</v>
      </c>
      <c r="D3031">
        <v>1</v>
      </c>
      <c r="E3031" t="s">
        <v>5252</v>
      </c>
      <c r="F3031" t="s">
        <v>9</v>
      </c>
    </row>
    <row r="3032" spans="1:6" x14ac:dyDescent="0.3">
      <c r="A3032" t="s">
        <v>677</v>
      </c>
      <c r="B3032" t="s">
        <v>160</v>
      </c>
      <c r="C3032" t="str">
        <f>HYPERLINK("http://service.sap.com/sap/support/notes/1917337","1917337")</f>
        <v>1917337</v>
      </c>
      <c r="D3032">
        <v>5</v>
      </c>
      <c r="E3032" t="s">
        <v>5570</v>
      </c>
      <c r="F3032" t="s">
        <v>9</v>
      </c>
    </row>
    <row r="3033" spans="1:6" x14ac:dyDescent="0.3">
      <c r="A3033" t="s">
        <v>677</v>
      </c>
      <c r="B3033" t="s">
        <v>160</v>
      </c>
      <c r="C3033" t="str">
        <f>HYPERLINK("http://service.sap.com/sap/support/notes/2026054","2026054")</f>
        <v>2026054</v>
      </c>
      <c r="D3033">
        <v>3</v>
      </c>
      <c r="E3033" t="s">
        <v>5571</v>
      </c>
      <c r="F3033" t="s">
        <v>9</v>
      </c>
    </row>
    <row r="3034" spans="1:6" x14ac:dyDescent="0.3">
      <c r="A3034" t="s">
        <v>677</v>
      </c>
      <c r="B3034" t="s">
        <v>160</v>
      </c>
      <c r="C3034" t="str">
        <f>HYPERLINK("http://service.sap.com/sap/support/notes/2029010","2029010")</f>
        <v>2029010</v>
      </c>
      <c r="D3034">
        <v>3</v>
      </c>
      <c r="E3034" t="s">
        <v>5572</v>
      </c>
      <c r="F3034" t="s">
        <v>9</v>
      </c>
    </row>
    <row r="3035" spans="1:6" x14ac:dyDescent="0.3">
      <c r="A3035" t="s">
        <v>677</v>
      </c>
      <c r="B3035" t="s">
        <v>160</v>
      </c>
      <c r="C3035" t="str">
        <f>HYPERLINK("http://service.sap.com/sap/support/notes/2040047","2040047")</f>
        <v>2040047</v>
      </c>
      <c r="D3035">
        <v>9</v>
      </c>
      <c r="E3035" t="s">
        <v>5573</v>
      </c>
      <c r="F3035" t="s">
        <v>9</v>
      </c>
    </row>
    <row r="3036" spans="1:6" x14ac:dyDescent="0.3">
      <c r="A3036" t="s">
        <v>677</v>
      </c>
      <c r="B3036" t="s">
        <v>160</v>
      </c>
      <c r="C3036" t="str">
        <f>HYPERLINK("http://service.sap.com/sap/support/notes/2044584","2044584")</f>
        <v>2044584</v>
      </c>
      <c r="D3036">
        <v>3</v>
      </c>
      <c r="E3036" t="s">
        <v>5574</v>
      </c>
      <c r="F3036" t="s">
        <v>9</v>
      </c>
    </row>
    <row r="3037" spans="1:6" x14ac:dyDescent="0.3">
      <c r="A3037" t="s">
        <v>677</v>
      </c>
      <c r="B3037" t="s">
        <v>160</v>
      </c>
      <c r="C3037" t="str">
        <f>HYPERLINK("http://service.sap.com/sap/support/notes/2053869","2053869")</f>
        <v>2053869</v>
      </c>
      <c r="D3037">
        <v>3</v>
      </c>
      <c r="E3037" t="s">
        <v>5575</v>
      </c>
      <c r="F3037" t="s">
        <v>28</v>
      </c>
    </row>
    <row r="3038" spans="1:6" x14ac:dyDescent="0.3">
      <c r="A3038" t="s">
        <v>677</v>
      </c>
      <c r="B3038" t="s">
        <v>160</v>
      </c>
      <c r="C3038" t="str">
        <f>HYPERLINK("http://service.sap.com/sap/support/notes/2054135","2054135")</f>
        <v>2054135</v>
      </c>
      <c r="D3038">
        <v>2</v>
      </c>
      <c r="E3038" t="s">
        <v>5576</v>
      </c>
      <c r="F3038" t="s">
        <v>9</v>
      </c>
    </row>
    <row r="3039" spans="1:6" x14ac:dyDescent="0.3">
      <c r="A3039" t="s">
        <v>677</v>
      </c>
      <c r="B3039" t="s">
        <v>160</v>
      </c>
      <c r="C3039" t="str">
        <f>HYPERLINK("http://service.sap.com/sap/support/notes/2058388","2058388")</f>
        <v>2058388</v>
      </c>
      <c r="D3039">
        <v>3</v>
      </c>
      <c r="E3039" t="s">
        <v>5577</v>
      </c>
      <c r="F3039" t="s">
        <v>9</v>
      </c>
    </row>
    <row r="3040" spans="1:6" x14ac:dyDescent="0.3">
      <c r="A3040" t="s">
        <v>677</v>
      </c>
      <c r="B3040" t="s">
        <v>160</v>
      </c>
      <c r="C3040" t="str">
        <f>HYPERLINK("http://service.sap.com/sap/support/notes/2060376","2060376")</f>
        <v>2060376</v>
      </c>
      <c r="D3040">
        <v>2</v>
      </c>
      <c r="E3040" t="s">
        <v>5578</v>
      </c>
      <c r="F3040" t="s">
        <v>9</v>
      </c>
    </row>
    <row r="3041" spans="1:6" x14ac:dyDescent="0.3">
      <c r="A3041" t="s">
        <v>677</v>
      </c>
      <c r="B3041" t="s">
        <v>160</v>
      </c>
      <c r="C3041" t="str">
        <f>HYPERLINK("http://service.sap.com/sap/support/notes/2061757","2061757")</f>
        <v>2061757</v>
      </c>
      <c r="D3041">
        <v>2</v>
      </c>
      <c r="E3041" t="s">
        <v>5579</v>
      </c>
      <c r="F3041" t="s">
        <v>9</v>
      </c>
    </row>
    <row r="3042" spans="1:6" x14ac:dyDescent="0.3">
      <c r="A3042" t="s">
        <v>677</v>
      </c>
      <c r="B3042" t="s">
        <v>160</v>
      </c>
      <c r="C3042" t="str">
        <f>HYPERLINK("http://service.sap.com/sap/support/notes/2063160","2063160")</f>
        <v>2063160</v>
      </c>
      <c r="D3042">
        <v>1</v>
      </c>
      <c r="E3042" t="s">
        <v>5580</v>
      </c>
      <c r="F3042" t="s">
        <v>9</v>
      </c>
    </row>
    <row r="3043" spans="1:6" x14ac:dyDescent="0.3">
      <c r="A3043" t="s">
        <v>677</v>
      </c>
      <c r="B3043" t="s">
        <v>160</v>
      </c>
      <c r="C3043" t="str">
        <f>HYPERLINK("http://service.sap.com/sap/support/notes/2065052","2065052")</f>
        <v>2065052</v>
      </c>
      <c r="D3043">
        <v>3</v>
      </c>
      <c r="E3043" t="s">
        <v>5581</v>
      </c>
      <c r="F3043" t="s">
        <v>9</v>
      </c>
    </row>
    <row r="3044" spans="1:6" x14ac:dyDescent="0.3">
      <c r="A3044" t="s">
        <v>710</v>
      </c>
      <c r="B3044" t="s">
        <v>471</v>
      </c>
      <c r="C3044" t="str">
        <f>HYPERLINK("http://service.sap.com/sap/support/notes/1918027","1918027")</f>
        <v>1918027</v>
      </c>
      <c r="D3044">
        <v>2</v>
      </c>
      <c r="E3044" t="s">
        <v>711</v>
      </c>
      <c r="F3044" t="s">
        <v>9</v>
      </c>
    </row>
    <row r="3045" spans="1:6" x14ac:dyDescent="0.3">
      <c r="A3045" t="s">
        <v>710</v>
      </c>
      <c r="B3045" t="s">
        <v>471</v>
      </c>
      <c r="C3045" t="str">
        <f>HYPERLINK("http://service.sap.com/sap/support/notes/1953366","1953366")</f>
        <v>1953366</v>
      </c>
      <c r="D3045">
        <v>3</v>
      </c>
      <c r="E3045" t="s">
        <v>1785</v>
      </c>
      <c r="F3045" t="s">
        <v>9</v>
      </c>
    </row>
    <row r="3046" spans="1:6" x14ac:dyDescent="0.3">
      <c r="A3046" t="s">
        <v>710</v>
      </c>
      <c r="B3046" t="s">
        <v>471</v>
      </c>
      <c r="C3046" t="str">
        <f>HYPERLINK("http://service.sap.com/sap/support/notes/1964963","1964963")</f>
        <v>1964963</v>
      </c>
      <c r="D3046">
        <v>3</v>
      </c>
      <c r="E3046" t="s">
        <v>2225</v>
      </c>
      <c r="F3046" t="s">
        <v>9</v>
      </c>
    </row>
    <row r="3047" spans="1:6" x14ac:dyDescent="0.3">
      <c r="A3047" t="s">
        <v>710</v>
      </c>
      <c r="B3047" t="s">
        <v>471</v>
      </c>
      <c r="C3047" t="str">
        <f>HYPERLINK("http://service.sap.com/sap/support/notes/1967287","1967287")</f>
        <v>1967287</v>
      </c>
      <c r="D3047">
        <v>1</v>
      </c>
      <c r="E3047" t="s">
        <v>2226</v>
      </c>
      <c r="F3047" t="s">
        <v>9</v>
      </c>
    </row>
    <row r="3048" spans="1:6" x14ac:dyDescent="0.3">
      <c r="A3048" t="s">
        <v>710</v>
      </c>
      <c r="B3048" t="s">
        <v>471</v>
      </c>
      <c r="C3048" t="str">
        <f>HYPERLINK("http://service.sap.com/sap/support/notes/1965743","1965743")</f>
        <v>1965743</v>
      </c>
      <c r="D3048">
        <v>5</v>
      </c>
      <c r="E3048" t="s">
        <v>2599</v>
      </c>
      <c r="F3048" t="s">
        <v>9</v>
      </c>
    </row>
    <row r="3049" spans="1:6" x14ac:dyDescent="0.3">
      <c r="A3049" t="s">
        <v>710</v>
      </c>
      <c r="B3049" t="s">
        <v>471</v>
      </c>
      <c r="C3049" t="str">
        <f>HYPERLINK("http://service.sap.com/sap/support/notes/1971379","1971379")</f>
        <v>1971379</v>
      </c>
      <c r="D3049">
        <v>3</v>
      </c>
      <c r="E3049" t="s">
        <v>2600</v>
      </c>
      <c r="F3049" t="s">
        <v>9</v>
      </c>
    </row>
    <row r="3050" spans="1:6" x14ac:dyDescent="0.3">
      <c r="A3050" t="s">
        <v>710</v>
      </c>
      <c r="B3050" t="s">
        <v>471</v>
      </c>
      <c r="C3050" t="str">
        <f>HYPERLINK("http://service.sap.com/sap/support/notes/1977347","1977347")</f>
        <v>1977347</v>
      </c>
      <c r="D3050">
        <v>2</v>
      </c>
      <c r="E3050" t="s">
        <v>3062</v>
      </c>
      <c r="F3050" t="s">
        <v>9</v>
      </c>
    </row>
    <row r="3051" spans="1:6" x14ac:dyDescent="0.3">
      <c r="A3051" t="s">
        <v>710</v>
      </c>
      <c r="B3051" t="s">
        <v>471</v>
      </c>
      <c r="C3051" t="str">
        <f>HYPERLINK("http://service.sap.com/sap/support/notes/1842533","1842533")</f>
        <v>1842533</v>
      </c>
      <c r="D3051">
        <v>39</v>
      </c>
      <c r="E3051" t="s">
        <v>3707</v>
      </c>
      <c r="F3051" t="s">
        <v>9</v>
      </c>
    </row>
    <row r="3052" spans="1:6" x14ac:dyDescent="0.3">
      <c r="A3052" t="s">
        <v>710</v>
      </c>
      <c r="B3052" t="s">
        <v>471</v>
      </c>
      <c r="C3052" t="str">
        <f>HYPERLINK("http://service.sap.com/sap/support/notes/1878920","1878920")</f>
        <v>1878920</v>
      </c>
      <c r="D3052">
        <v>12</v>
      </c>
      <c r="E3052" t="s">
        <v>3708</v>
      </c>
      <c r="F3052" t="s">
        <v>9</v>
      </c>
    </row>
    <row r="3053" spans="1:6" x14ac:dyDescent="0.3">
      <c r="A3053" t="s">
        <v>710</v>
      </c>
      <c r="B3053" t="s">
        <v>471</v>
      </c>
      <c r="C3053" t="str">
        <f>HYPERLINK("http://service.sap.com/sap/support/notes/1954780","1954780")</f>
        <v>1954780</v>
      </c>
      <c r="D3053">
        <v>2</v>
      </c>
      <c r="E3053" t="s">
        <v>3709</v>
      </c>
      <c r="F3053" t="s">
        <v>9</v>
      </c>
    </row>
    <row r="3054" spans="1:6" x14ac:dyDescent="0.3">
      <c r="A3054" t="s">
        <v>710</v>
      </c>
      <c r="B3054" t="s">
        <v>471</v>
      </c>
      <c r="C3054" t="str">
        <f>HYPERLINK("http://service.sap.com/sap/support/notes/1987170","1987170")</f>
        <v>1987170</v>
      </c>
      <c r="D3054">
        <v>5</v>
      </c>
      <c r="E3054" t="s">
        <v>3710</v>
      </c>
      <c r="F3054" t="s">
        <v>9</v>
      </c>
    </row>
    <row r="3055" spans="1:6" x14ac:dyDescent="0.3">
      <c r="A3055" t="s">
        <v>710</v>
      </c>
      <c r="B3055" t="s">
        <v>471</v>
      </c>
      <c r="C3055" t="str">
        <f>HYPERLINK("http://service.sap.com/sap/support/notes/2011597","2011597")</f>
        <v>2011597</v>
      </c>
      <c r="D3055">
        <v>2</v>
      </c>
      <c r="E3055" t="s">
        <v>4878</v>
      </c>
      <c r="F3055" t="s">
        <v>9</v>
      </c>
    </row>
    <row r="3056" spans="1:6" x14ac:dyDescent="0.3">
      <c r="A3056" t="s">
        <v>710</v>
      </c>
      <c r="B3056" t="s">
        <v>471</v>
      </c>
      <c r="C3056" t="str">
        <f>HYPERLINK("http://service.sap.com/sap/support/notes/2014802","2014802")</f>
        <v>2014802</v>
      </c>
      <c r="D3056">
        <v>9</v>
      </c>
      <c r="E3056" t="s">
        <v>4879</v>
      </c>
      <c r="F3056" t="s">
        <v>9</v>
      </c>
    </row>
    <row r="3057" spans="1:6" x14ac:dyDescent="0.3">
      <c r="A3057" t="s">
        <v>712</v>
      </c>
      <c r="B3057" t="s">
        <v>713</v>
      </c>
      <c r="C3057" t="str">
        <f>HYPERLINK("http://service.sap.com/sap/support/notes/1804503","1804503")</f>
        <v>1804503</v>
      </c>
      <c r="D3057">
        <v>3</v>
      </c>
      <c r="E3057" t="s">
        <v>714</v>
      </c>
      <c r="F3057" t="s">
        <v>9</v>
      </c>
    </row>
    <row r="3058" spans="1:6" x14ac:dyDescent="0.3">
      <c r="A3058" t="s">
        <v>712</v>
      </c>
      <c r="B3058" t="s">
        <v>713</v>
      </c>
      <c r="C3058" t="str">
        <f>HYPERLINK("http://service.sap.com/sap/support/notes/1866301","1866301")</f>
        <v>1866301</v>
      </c>
      <c r="D3058">
        <v>2</v>
      </c>
      <c r="E3058" t="s">
        <v>715</v>
      </c>
      <c r="F3058" t="s">
        <v>9</v>
      </c>
    </row>
    <row r="3059" spans="1:6" x14ac:dyDescent="0.3">
      <c r="A3059" t="s">
        <v>712</v>
      </c>
      <c r="B3059" t="s">
        <v>713</v>
      </c>
      <c r="C3059" t="str">
        <f>HYPERLINK("http://service.sap.com/sap/support/notes/1883029","1883029")</f>
        <v>1883029</v>
      </c>
      <c r="D3059">
        <v>3</v>
      </c>
      <c r="E3059" t="s">
        <v>716</v>
      </c>
      <c r="F3059" t="s">
        <v>28</v>
      </c>
    </row>
    <row r="3060" spans="1:6" x14ac:dyDescent="0.3">
      <c r="A3060" t="s">
        <v>712</v>
      </c>
      <c r="B3060" t="s">
        <v>713</v>
      </c>
      <c r="C3060" t="str">
        <f>HYPERLINK("http://service.sap.com/sap/support/notes/1884355","1884355")</f>
        <v>1884355</v>
      </c>
      <c r="D3060">
        <v>1</v>
      </c>
      <c r="E3060" t="s">
        <v>717</v>
      </c>
      <c r="F3060" t="s">
        <v>28</v>
      </c>
    </row>
    <row r="3061" spans="1:6" x14ac:dyDescent="0.3">
      <c r="A3061" t="s">
        <v>712</v>
      </c>
      <c r="B3061" t="s">
        <v>713</v>
      </c>
      <c r="C3061" t="str">
        <f>HYPERLINK("http://service.sap.com/sap/support/notes/1892753","1892753")</f>
        <v>1892753</v>
      </c>
      <c r="D3061">
        <v>6</v>
      </c>
      <c r="E3061" t="s">
        <v>718</v>
      </c>
      <c r="F3061" t="s">
        <v>9</v>
      </c>
    </row>
    <row r="3062" spans="1:6" x14ac:dyDescent="0.3">
      <c r="A3062" t="s">
        <v>712</v>
      </c>
      <c r="B3062" t="s">
        <v>713</v>
      </c>
      <c r="C3062" t="str">
        <f>HYPERLINK("http://service.sap.com/sap/support/notes/1895403","1895403")</f>
        <v>1895403</v>
      </c>
      <c r="D3062">
        <v>2</v>
      </c>
      <c r="E3062" t="s">
        <v>719</v>
      </c>
      <c r="F3062" t="s">
        <v>9</v>
      </c>
    </row>
    <row r="3063" spans="1:6" x14ac:dyDescent="0.3">
      <c r="A3063" t="s">
        <v>712</v>
      </c>
      <c r="B3063" t="s">
        <v>713</v>
      </c>
      <c r="C3063" t="str">
        <f>HYPERLINK("http://service.sap.com/sap/support/notes/1897232","1897232")</f>
        <v>1897232</v>
      </c>
      <c r="D3063">
        <v>3</v>
      </c>
      <c r="E3063" t="s">
        <v>720</v>
      </c>
      <c r="F3063" t="s">
        <v>9</v>
      </c>
    </row>
    <row r="3064" spans="1:6" x14ac:dyDescent="0.3">
      <c r="A3064" t="s">
        <v>712</v>
      </c>
      <c r="B3064" t="s">
        <v>713</v>
      </c>
      <c r="C3064" t="str">
        <f>HYPERLINK("http://service.sap.com/sap/support/notes/1899546","1899546")</f>
        <v>1899546</v>
      </c>
      <c r="D3064">
        <v>1</v>
      </c>
      <c r="E3064" t="s">
        <v>721</v>
      </c>
      <c r="F3064" t="s">
        <v>16</v>
      </c>
    </row>
    <row r="3065" spans="1:6" x14ac:dyDescent="0.3">
      <c r="A3065" t="s">
        <v>712</v>
      </c>
      <c r="B3065" t="s">
        <v>713</v>
      </c>
      <c r="C3065" t="str">
        <f>HYPERLINK("http://service.sap.com/sap/support/notes/1901056","1901056")</f>
        <v>1901056</v>
      </c>
      <c r="D3065">
        <v>2</v>
      </c>
      <c r="E3065" t="s">
        <v>722</v>
      </c>
      <c r="F3065" t="s">
        <v>9</v>
      </c>
    </row>
    <row r="3066" spans="1:6" x14ac:dyDescent="0.3">
      <c r="A3066" t="s">
        <v>712</v>
      </c>
      <c r="B3066" t="s">
        <v>713</v>
      </c>
      <c r="C3066" t="str">
        <f>HYPERLINK("http://service.sap.com/sap/support/notes/1904229","1904229")</f>
        <v>1904229</v>
      </c>
      <c r="D3066">
        <v>1</v>
      </c>
      <c r="E3066" t="s">
        <v>723</v>
      </c>
      <c r="F3066" t="s">
        <v>16</v>
      </c>
    </row>
    <row r="3067" spans="1:6" x14ac:dyDescent="0.3">
      <c r="A3067" t="s">
        <v>712</v>
      </c>
      <c r="B3067" t="s">
        <v>713</v>
      </c>
      <c r="C3067" t="str">
        <f>HYPERLINK("http://service.sap.com/sap/support/notes/1906740","1906740")</f>
        <v>1906740</v>
      </c>
      <c r="D3067">
        <v>2</v>
      </c>
      <c r="E3067" t="s">
        <v>724</v>
      </c>
      <c r="F3067" t="s">
        <v>9</v>
      </c>
    </row>
    <row r="3068" spans="1:6" x14ac:dyDescent="0.3">
      <c r="A3068" t="s">
        <v>712</v>
      </c>
      <c r="B3068" t="s">
        <v>713</v>
      </c>
      <c r="C3068" t="str">
        <f>HYPERLINK("http://service.sap.com/sap/support/notes/1907107","1907107")</f>
        <v>1907107</v>
      </c>
      <c r="D3068">
        <v>6</v>
      </c>
      <c r="E3068" t="s">
        <v>725</v>
      </c>
      <c r="F3068" t="s">
        <v>9</v>
      </c>
    </row>
    <row r="3069" spans="1:6" x14ac:dyDescent="0.3">
      <c r="A3069" t="s">
        <v>712</v>
      </c>
      <c r="B3069" t="s">
        <v>713</v>
      </c>
      <c r="C3069" t="str">
        <f>HYPERLINK("http://service.sap.com/sap/support/notes/1912074","1912074")</f>
        <v>1912074</v>
      </c>
      <c r="D3069">
        <v>1</v>
      </c>
      <c r="E3069" t="s">
        <v>726</v>
      </c>
      <c r="F3069" t="s">
        <v>16</v>
      </c>
    </row>
    <row r="3070" spans="1:6" x14ac:dyDescent="0.3">
      <c r="A3070" t="s">
        <v>712</v>
      </c>
      <c r="B3070" t="s">
        <v>713</v>
      </c>
      <c r="C3070" t="str">
        <f>HYPERLINK("http://service.sap.com/sap/support/notes/1912217","1912217")</f>
        <v>1912217</v>
      </c>
      <c r="D3070">
        <v>5</v>
      </c>
      <c r="E3070" t="s">
        <v>727</v>
      </c>
      <c r="F3070" t="s">
        <v>9</v>
      </c>
    </row>
    <row r="3071" spans="1:6" x14ac:dyDescent="0.3">
      <c r="A3071" t="s">
        <v>712</v>
      </c>
      <c r="B3071" t="s">
        <v>713</v>
      </c>
      <c r="C3071" t="str">
        <f>HYPERLINK("http://service.sap.com/sap/support/notes/1913286","1913286")</f>
        <v>1913286</v>
      </c>
      <c r="D3071">
        <v>3</v>
      </c>
      <c r="E3071" t="s">
        <v>728</v>
      </c>
      <c r="F3071" t="s">
        <v>16</v>
      </c>
    </row>
    <row r="3072" spans="1:6" x14ac:dyDescent="0.3">
      <c r="A3072" t="s">
        <v>712</v>
      </c>
      <c r="B3072" t="s">
        <v>713</v>
      </c>
      <c r="C3072" t="str">
        <f>HYPERLINK("http://service.sap.com/sap/support/notes/1916834","1916834")</f>
        <v>1916834</v>
      </c>
      <c r="D3072">
        <v>2</v>
      </c>
      <c r="E3072" t="s">
        <v>729</v>
      </c>
      <c r="F3072" t="s">
        <v>9</v>
      </c>
    </row>
    <row r="3073" spans="1:6" x14ac:dyDescent="0.3">
      <c r="A3073" t="s">
        <v>712</v>
      </c>
      <c r="B3073" t="s">
        <v>713</v>
      </c>
      <c r="C3073" t="str">
        <f>HYPERLINK("http://service.sap.com/sap/support/notes/1917264","1917264")</f>
        <v>1917264</v>
      </c>
      <c r="D3073">
        <v>1</v>
      </c>
      <c r="E3073" t="s">
        <v>730</v>
      </c>
      <c r="F3073" t="s">
        <v>9</v>
      </c>
    </row>
    <row r="3074" spans="1:6" x14ac:dyDescent="0.3">
      <c r="A3074" t="s">
        <v>712</v>
      </c>
      <c r="B3074" t="s">
        <v>713</v>
      </c>
      <c r="C3074" t="str">
        <f>HYPERLINK("http://service.sap.com/sap/support/notes/1919190","1919190")</f>
        <v>1919190</v>
      </c>
      <c r="D3074">
        <v>3</v>
      </c>
      <c r="E3074" t="s">
        <v>731</v>
      </c>
      <c r="F3074" t="s">
        <v>9</v>
      </c>
    </row>
    <row r="3075" spans="1:6" x14ac:dyDescent="0.3">
      <c r="A3075" t="s">
        <v>712</v>
      </c>
      <c r="B3075" t="s">
        <v>713</v>
      </c>
      <c r="C3075" t="str">
        <f>HYPERLINK("http://service.sap.com/sap/support/notes/1919389","1919389")</f>
        <v>1919389</v>
      </c>
      <c r="D3075">
        <v>3</v>
      </c>
      <c r="E3075" t="s">
        <v>732</v>
      </c>
      <c r="F3075" t="s">
        <v>16</v>
      </c>
    </row>
    <row r="3076" spans="1:6" x14ac:dyDescent="0.3">
      <c r="A3076" t="s">
        <v>712</v>
      </c>
      <c r="B3076" t="s">
        <v>713</v>
      </c>
      <c r="C3076" t="str">
        <f>HYPERLINK("http://service.sap.com/sap/support/notes/1919859","1919859")</f>
        <v>1919859</v>
      </c>
      <c r="D3076">
        <v>1</v>
      </c>
      <c r="E3076" t="s">
        <v>733</v>
      </c>
      <c r="F3076" t="s">
        <v>16</v>
      </c>
    </row>
    <row r="3077" spans="1:6" x14ac:dyDescent="0.3">
      <c r="A3077" t="s">
        <v>712</v>
      </c>
      <c r="B3077" t="s">
        <v>713</v>
      </c>
      <c r="C3077" t="str">
        <f>HYPERLINK("http://service.sap.com/sap/support/notes/1921895","1921895")</f>
        <v>1921895</v>
      </c>
      <c r="D3077">
        <v>2</v>
      </c>
      <c r="E3077" t="s">
        <v>734</v>
      </c>
      <c r="F3077" t="s">
        <v>9</v>
      </c>
    </row>
    <row r="3078" spans="1:6" x14ac:dyDescent="0.3">
      <c r="A3078" t="s">
        <v>712</v>
      </c>
      <c r="B3078" t="s">
        <v>713</v>
      </c>
      <c r="C3078" t="str">
        <f>HYPERLINK("http://service.sap.com/sap/support/notes/1922262","1922262")</f>
        <v>1922262</v>
      </c>
      <c r="D3078">
        <v>1</v>
      </c>
      <c r="E3078" t="s">
        <v>735</v>
      </c>
      <c r="F3078" t="s">
        <v>9</v>
      </c>
    </row>
    <row r="3079" spans="1:6" x14ac:dyDescent="0.3">
      <c r="A3079" t="s">
        <v>712</v>
      </c>
      <c r="B3079" t="s">
        <v>713</v>
      </c>
      <c r="C3079" t="str">
        <f>HYPERLINK("http://service.sap.com/sap/support/notes/1923478","1923478")</f>
        <v>1923478</v>
      </c>
      <c r="D3079">
        <v>1</v>
      </c>
      <c r="E3079" t="s">
        <v>736</v>
      </c>
      <c r="F3079" t="s">
        <v>16</v>
      </c>
    </row>
    <row r="3080" spans="1:6" x14ac:dyDescent="0.3">
      <c r="A3080" t="s">
        <v>712</v>
      </c>
      <c r="B3080" t="s">
        <v>713</v>
      </c>
      <c r="C3080" t="str">
        <f>HYPERLINK("http://service.sap.com/sap/support/notes/1925649","1925649")</f>
        <v>1925649</v>
      </c>
      <c r="D3080">
        <v>4</v>
      </c>
      <c r="E3080" t="s">
        <v>737</v>
      </c>
      <c r="F3080" t="s">
        <v>9</v>
      </c>
    </row>
    <row r="3081" spans="1:6" x14ac:dyDescent="0.3">
      <c r="A3081" t="s">
        <v>712</v>
      </c>
      <c r="B3081" t="s">
        <v>713</v>
      </c>
      <c r="C3081" t="str">
        <f>HYPERLINK("http://service.sap.com/sap/support/notes/1925871","1925871")</f>
        <v>1925871</v>
      </c>
      <c r="D3081">
        <v>1</v>
      </c>
      <c r="E3081" t="s">
        <v>738</v>
      </c>
      <c r="F3081" t="s">
        <v>16</v>
      </c>
    </row>
    <row r="3082" spans="1:6" x14ac:dyDescent="0.3">
      <c r="A3082" t="s">
        <v>712</v>
      </c>
      <c r="B3082" t="s">
        <v>713</v>
      </c>
      <c r="C3082" t="str">
        <f>HYPERLINK("http://service.sap.com/sap/support/notes/1926175","1926175")</f>
        <v>1926175</v>
      </c>
      <c r="D3082">
        <v>1</v>
      </c>
      <c r="E3082" t="s">
        <v>739</v>
      </c>
      <c r="F3082" t="s">
        <v>16</v>
      </c>
    </row>
    <row r="3083" spans="1:6" x14ac:dyDescent="0.3">
      <c r="A3083" t="s">
        <v>712</v>
      </c>
      <c r="B3083" t="s">
        <v>713</v>
      </c>
      <c r="C3083" t="str">
        <f>HYPERLINK("http://service.sap.com/sap/support/notes/1927591","1927591")</f>
        <v>1927591</v>
      </c>
      <c r="D3083">
        <v>1</v>
      </c>
      <c r="E3083" t="s">
        <v>740</v>
      </c>
      <c r="F3083" t="s">
        <v>16</v>
      </c>
    </row>
    <row r="3084" spans="1:6" x14ac:dyDescent="0.3">
      <c r="A3084" t="s">
        <v>712</v>
      </c>
      <c r="B3084" t="s">
        <v>713</v>
      </c>
      <c r="C3084" t="str">
        <f>HYPERLINK("http://service.sap.com/sap/support/notes/1929458","1929458")</f>
        <v>1929458</v>
      </c>
      <c r="D3084">
        <v>2</v>
      </c>
      <c r="E3084" t="s">
        <v>741</v>
      </c>
      <c r="F3084" t="s">
        <v>28</v>
      </c>
    </row>
    <row r="3085" spans="1:6" x14ac:dyDescent="0.3">
      <c r="A3085" t="s">
        <v>712</v>
      </c>
      <c r="B3085" t="s">
        <v>713</v>
      </c>
      <c r="C3085" t="str">
        <f>HYPERLINK("http://service.sap.com/sap/support/notes/1929742","1929742")</f>
        <v>1929742</v>
      </c>
      <c r="D3085">
        <v>1</v>
      </c>
      <c r="E3085" t="s">
        <v>742</v>
      </c>
      <c r="F3085" t="s">
        <v>9</v>
      </c>
    </row>
    <row r="3086" spans="1:6" x14ac:dyDescent="0.3">
      <c r="A3086" t="s">
        <v>712</v>
      </c>
      <c r="B3086" t="s">
        <v>713</v>
      </c>
      <c r="C3086" t="str">
        <f>HYPERLINK("http://service.sap.com/sap/support/notes/1828509","1828509")</f>
        <v>1828509</v>
      </c>
      <c r="D3086">
        <v>2</v>
      </c>
      <c r="E3086" t="s">
        <v>1297</v>
      </c>
      <c r="F3086" t="s">
        <v>9</v>
      </c>
    </row>
    <row r="3087" spans="1:6" x14ac:dyDescent="0.3">
      <c r="A3087" t="s">
        <v>712</v>
      </c>
      <c r="B3087" t="s">
        <v>713</v>
      </c>
      <c r="C3087" t="str">
        <f>HYPERLINK("http://service.sap.com/sap/support/notes/1872606","1872606")</f>
        <v>1872606</v>
      </c>
      <c r="D3087">
        <v>4</v>
      </c>
      <c r="E3087" t="s">
        <v>1298</v>
      </c>
      <c r="F3087" t="s">
        <v>16</v>
      </c>
    </row>
    <row r="3088" spans="1:6" x14ac:dyDescent="0.3">
      <c r="A3088" t="s">
        <v>712</v>
      </c>
      <c r="B3088" t="s">
        <v>713</v>
      </c>
      <c r="C3088" t="str">
        <f>HYPERLINK("http://service.sap.com/sap/support/notes/1909961","1909961")</f>
        <v>1909961</v>
      </c>
      <c r="D3088">
        <v>1</v>
      </c>
      <c r="E3088" t="s">
        <v>1299</v>
      </c>
      <c r="F3088" t="s">
        <v>9</v>
      </c>
    </row>
    <row r="3089" spans="1:6" x14ac:dyDescent="0.3">
      <c r="A3089" t="s">
        <v>712</v>
      </c>
      <c r="B3089" t="s">
        <v>713</v>
      </c>
      <c r="C3089" t="str">
        <f>HYPERLINK("http://service.sap.com/sap/support/notes/1930587","1930587")</f>
        <v>1930587</v>
      </c>
      <c r="D3089">
        <v>5</v>
      </c>
      <c r="E3089" t="s">
        <v>1300</v>
      </c>
      <c r="F3089" t="s">
        <v>9</v>
      </c>
    </row>
    <row r="3090" spans="1:6" x14ac:dyDescent="0.3">
      <c r="A3090" t="s">
        <v>712</v>
      </c>
      <c r="B3090" t="s">
        <v>713</v>
      </c>
      <c r="C3090" t="str">
        <f>HYPERLINK("http://service.sap.com/sap/support/notes/1930834","1930834")</f>
        <v>1930834</v>
      </c>
      <c r="D3090">
        <v>2</v>
      </c>
      <c r="E3090" t="s">
        <v>1301</v>
      </c>
      <c r="F3090" t="s">
        <v>9</v>
      </c>
    </row>
    <row r="3091" spans="1:6" x14ac:dyDescent="0.3">
      <c r="A3091" t="s">
        <v>712</v>
      </c>
      <c r="B3091" t="s">
        <v>713</v>
      </c>
      <c r="C3091" t="str">
        <f>HYPERLINK("http://service.sap.com/sap/support/notes/1932209","1932209")</f>
        <v>1932209</v>
      </c>
      <c r="D3091">
        <v>1</v>
      </c>
      <c r="E3091" t="s">
        <v>1302</v>
      </c>
      <c r="F3091" t="s">
        <v>16</v>
      </c>
    </row>
    <row r="3092" spans="1:6" x14ac:dyDescent="0.3">
      <c r="A3092" t="s">
        <v>712</v>
      </c>
      <c r="B3092" t="s">
        <v>713</v>
      </c>
      <c r="C3092" t="str">
        <f>HYPERLINK("http://service.sap.com/sap/support/notes/1933927","1933927")</f>
        <v>1933927</v>
      </c>
      <c r="D3092">
        <v>1</v>
      </c>
      <c r="E3092" t="s">
        <v>1303</v>
      </c>
      <c r="F3092" t="s">
        <v>9</v>
      </c>
    </row>
    <row r="3093" spans="1:6" x14ac:dyDescent="0.3">
      <c r="A3093" t="s">
        <v>712</v>
      </c>
      <c r="B3093" t="s">
        <v>713</v>
      </c>
      <c r="C3093" t="str">
        <f>HYPERLINK("http://service.sap.com/sap/support/notes/1937933","1937933")</f>
        <v>1937933</v>
      </c>
      <c r="D3093">
        <v>1</v>
      </c>
      <c r="E3093" t="s">
        <v>1304</v>
      </c>
      <c r="F3093" t="s">
        <v>9</v>
      </c>
    </row>
    <row r="3094" spans="1:6" x14ac:dyDescent="0.3">
      <c r="A3094" t="s">
        <v>712</v>
      </c>
      <c r="B3094" t="s">
        <v>713</v>
      </c>
      <c r="C3094" t="str">
        <f>HYPERLINK("http://service.sap.com/sap/support/notes/1940266","1940266")</f>
        <v>1940266</v>
      </c>
      <c r="D3094">
        <v>1</v>
      </c>
      <c r="E3094" t="s">
        <v>1305</v>
      </c>
      <c r="F3094" t="s">
        <v>16</v>
      </c>
    </row>
    <row r="3095" spans="1:6" x14ac:dyDescent="0.3">
      <c r="A3095" t="s">
        <v>712</v>
      </c>
      <c r="B3095" t="s">
        <v>713</v>
      </c>
      <c r="C3095" t="str">
        <f>HYPERLINK("http://service.sap.com/sap/support/notes/1948954","1948954")</f>
        <v>1948954</v>
      </c>
      <c r="D3095">
        <v>1</v>
      </c>
      <c r="E3095" t="s">
        <v>1426</v>
      </c>
      <c r="F3095" t="s">
        <v>9</v>
      </c>
    </row>
    <row r="3096" spans="1:6" x14ac:dyDescent="0.3">
      <c r="A3096" t="s">
        <v>712</v>
      </c>
      <c r="B3096" t="s">
        <v>713</v>
      </c>
      <c r="C3096" t="str">
        <f>HYPERLINK("http://service.sap.com/sap/support/notes/1865919","1865919")</f>
        <v>1865919</v>
      </c>
      <c r="D3096">
        <v>4</v>
      </c>
      <c r="E3096" t="s">
        <v>1786</v>
      </c>
      <c r="F3096" t="s">
        <v>9</v>
      </c>
    </row>
    <row r="3097" spans="1:6" x14ac:dyDescent="0.3">
      <c r="A3097" t="s">
        <v>712</v>
      </c>
      <c r="B3097" t="s">
        <v>713</v>
      </c>
      <c r="C3097" t="str">
        <f>HYPERLINK("http://service.sap.com/sap/support/notes/1933043","1933043")</f>
        <v>1933043</v>
      </c>
      <c r="D3097">
        <v>2</v>
      </c>
      <c r="E3097" t="s">
        <v>1787</v>
      </c>
      <c r="F3097" t="s">
        <v>9</v>
      </c>
    </row>
    <row r="3098" spans="1:6" x14ac:dyDescent="0.3">
      <c r="A3098" t="s">
        <v>712</v>
      </c>
      <c r="B3098" t="s">
        <v>713</v>
      </c>
      <c r="C3098" t="str">
        <f>HYPERLINK("http://service.sap.com/sap/support/notes/1939523","1939523")</f>
        <v>1939523</v>
      </c>
      <c r="D3098">
        <v>6</v>
      </c>
      <c r="E3098" t="s">
        <v>1788</v>
      </c>
      <c r="F3098" t="s">
        <v>9</v>
      </c>
    </row>
    <row r="3099" spans="1:6" x14ac:dyDescent="0.3">
      <c r="A3099" t="s">
        <v>712</v>
      </c>
      <c r="B3099" t="s">
        <v>713</v>
      </c>
      <c r="C3099" t="str">
        <f>HYPERLINK("http://service.sap.com/sap/support/notes/1941626","1941626")</f>
        <v>1941626</v>
      </c>
      <c r="D3099">
        <v>3</v>
      </c>
      <c r="E3099" t="s">
        <v>1789</v>
      </c>
      <c r="F3099" t="s">
        <v>9</v>
      </c>
    </row>
    <row r="3100" spans="1:6" x14ac:dyDescent="0.3">
      <c r="A3100" t="s">
        <v>712</v>
      </c>
      <c r="B3100" t="s">
        <v>713</v>
      </c>
      <c r="C3100" t="str">
        <f>HYPERLINK("http://service.sap.com/sap/support/notes/1945166","1945166")</f>
        <v>1945166</v>
      </c>
      <c r="D3100">
        <v>1</v>
      </c>
      <c r="E3100" t="s">
        <v>1790</v>
      </c>
      <c r="F3100" t="s">
        <v>16</v>
      </c>
    </row>
    <row r="3101" spans="1:6" x14ac:dyDescent="0.3">
      <c r="A3101" t="s">
        <v>712</v>
      </c>
      <c r="B3101" t="s">
        <v>713</v>
      </c>
      <c r="C3101" t="str">
        <f>HYPERLINK("http://service.sap.com/sap/support/notes/1948073","1948073")</f>
        <v>1948073</v>
      </c>
      <c r="D3101">
        <v>1</v>
      </c>
      <c r="E3101" t="s">
        <v>1791</v>
      </c>
      <c r="F3101" t="s">
        <v>16</v>
      </c>
    </row>
    <row r="3102" spans="1:6" x14ac:dyDescent="0.3">
      <c r="A3102" t="s">
        <v>712</v>
      </c>
      <c r="B3102" t="s">
        <v>713</v>
      </c>
      <c r="C3102" t="str">
        <f>HYPERLINK("http://service.sap.com/sap/support/notes/1948293","1948293")</f>
        <v>1948293</v>
      </c>
      <c r="D3102">
        <v>2</v>
      </c>
      <c r="E3102" t="s">
        <v>1792</v>
      </c>
      <c r="F3102" t="s">
        <v>9</v>
      </c>
    </row>
    <row r="3103" spans="1:6" x14ac:dyDescent="0.3">
      <c r="A3103" t="s">
        <v>712</v>
      </c>
      <c r="B3103" t="s">
        <v>713</v>
      </c>
      <c r="C3103" t="str">
        <f>HYPERLINK("http://service.sap.com/sap/support/notes/1950488","1950488")</f>
        <v>1950488</v>
      </c>
      <c r="D3103">
        <v>3</v>
      </c>
      <c r="E3103" t="s">
        <v>1793</v>
      </c>
      <c r="F3103" t="s">
        <v>9</v>
      </c>
    </row>
    <row r="3104" spans="1:6" x14ac:dyDescent="0.3">
      <c r="A3104" t="s">
        <v>712</v>
      </c>
      <c r="B3104" t="s">
        <v>713</v>
      </c>
      <c r="C3104" t="str">
        <f>HYPERLINK("http://service.sap.com/sap/support/notes/1950723","1950723")</f>
        <v>1950723</v>
      </c>
      <c r="D3104">
        <v>3</v>
      </c>
      <c r="E3104" t="s">
        <v>1794</v>
      </c>
      <c r="F3104" t="s">
        <v>28</v>
      </c>
    </row>
    <row r="3105" spans="1:6" x14ac:dyDescent="0.3">
      <c r="A3105" t="s">
        <v>712</v>
      </c>
      <c r="B3105" t="s">
        <v>713</v>
      </c>
      <c r="C3105" t="str">
        <f>HYPERLINK("http://service.sap.com/sap/support/notes/1951622","1951622")</f>
        <v>1951622</v>
      </c>
      <c r="D3105">
        <v>3</v>
      </c>
      <c r="E3105" t="s">
        <v>1795</v>
      </c>
      <c r="F3105" t="s">
        <v>9</v>
      </c>
    </row>
    <row r="3106" spans="1:6" x14ac:dyDescent="0.3">
      <c r="A3106" t="s">
        <v>712</v>
      </c>
      <c r="B3106" t="s">
        <v>713</v>
      </c>
      <c r="C3106" t="str">
        <f>HYPERLINK("http://service.sap.com/sap/support/notes/1951865","1951865")</f>
        <v>1951865</v>
      </c>
      <c r="D3106">
        <v>2</v>
      </c>
      <c r="E3106" t="s">
        <v>1796</v>
      </c>
      <c r="F3106" t="s">
        <v>9</v>
      </c>
    </row>
    <row r="3107" spans="1:6" x14ac:dyDescent="0.3">
      <c r="A3107" t="s">
        <v>712</v>
      </c>
      <c r="B3107" t="s">
        <v>713</v>
      </c>
      <c r="C3107" t="str">
        <f>HYPERLINK("http://service.sap.com/sap/support/notes/1951973","1951973")</f>
        <v>1951973</v>
      </c>
      <c r="D3107">
        <v>2</v>
      </c>
      <c r="E3107" t="s">
        <v>1797</v>
      </c>
      <c r="F3107" t="s">
        <v>9</v>
      </c>
    </row>
    <row r="3108" spans="1:6" x14ac:dyDescent="0.3">
      <c r="A3108" t="s">
        <v>712</v>
      </c>
      <c r="B3108" t="s">
        <v>713</v>
      </c>
      <c r="C3108" t="str">
        <f>HYPERLINK("http://service.sap.com/sap/support/notes/1952108","1952108")</f>
        <v>1952108</v>
      </c>
      <c r="D3108">
        <v>1</v>
      </c>
      <c r="E3108" t="s">
        <v>1798</v>
      </c>
      <c r="F3108" t="s">
        <v>9</v>
      </c>
    </row>
    <row r="3109" spans="1:6" x14ac:dyDescent="0.3">
      <c r="A3109" t="s">
        <v>712</v>
      </c>
      <c r="B3109" t="s">
        <v>713</v>
      </c>
      <c r="C3109" t="str">
        <f>HYPERLINK("http://service.sap.com/sap/support/notes/1952111","1952111")</f>
        <v>1952111</v>
      </c>
      <c r="D3109">
        <v>1</v>
      </c>
      <c r="E3109" t="s">
        <v>1799</v>
      </c>
      <c r="F3109" t="s">
        <v>9</v>
      </c>
    </row>
    <row r="3110" spans="1:6" x14ac:dyDescent="0.3">
      <c r="A3110" t="s">
        <v>712</v>
      </c>
      <c r="B3110" t="s">
        <v>713</v>
      </c>
      <c r="C3110" t="str">
        <f>HYPERLINK("http://service.sap.com/sap/support/notes/1952775","1952775")</f>
        <v>1952775</v>
      </c>
      <c r="D3110">
        <v>2</v>
      </c>
      <c r="E3110" t="s">
        <v>1800</v>
      </c>
      <c r="F3110" t="s">
        <v>9</v>
      </c>
    </row>
    <row r="3111" spans="1:6" x14ac:dyDescent="0.3">
      <c r="A3111" t="s">
        <v>712</v>
      </c>
      <c r="B3111" t="s">
        <v>713</v>
      </c>
      <c r="C3111" t="str">
        <f>HYPERLINK("http://service.sap.com/sap/support/notes/1952836","1952836")</f>
        <v>1952836</v>
      </c>
      <c r="D3111">
        <v>2</v>
      </c>
      <c r="E3111" t="s">
        <v>1801</v>
      </c>
      <c r="F3111" t="s">
        <v>9</v>
      </c>
    </row>
    <row r="3112" spans="1:6" x14ac:dyDescent="0.3">
      <c r="A3112" t="s">
        <v>712</v>
      </c>
      <c r="B3112" t="s">
        <v>713</v>
      </c>
      <c r="C3112" t="str">
        <f>HYPERLINK("http://service.sap.com/sap/support/notes/1953106","1953106")</f>
        <v>1953106</v>
      </c>
      <c r="D3112">
        <v>5</v>
      </c>
      <c r="E3112" t="s">
        <v>1802</v>
      </c>
      <c r="F3112" t="s">
        <v>9</v>
      </c>
    </row>
    <row r="3113" spans="1:6" x14ac:dyDescent="0.3">
      <c r="A3113" t="s">
        <v>712</v>
      </c>
      <c r="B3113" t="s">
        <v>713</v>
      </c>
      <c r="C3113" t="str">
        <f>HYPERLINK("http://service.sap.com/sap/support/notes/1953750","1953750")</f>
        <v>1953750</v>
      </c>
      <c r="D3113">
        <v>1</v>
      </c>
      <c r="E3113" t="s">
        <v>1803</v>
      </c>
      <c r="F3113" t="s">
        <v>9</v>
      </c>
    </row>
    <row r="3114" spans="1:6" x14ac:dyDescent="0.3">
      <c r="A3114" t="s">
        <v>712</v>
      </c>
      <c r="B3114" t="s">
        <v>713</v>
      </c>
      <c r="C3114" t="str">
        <f>HYPERLINK("http://service.sap.com/sap/support/notes/1954577","1954577")</f>
        <v>1954577</v>
      </c>
      <c r="D3114">
        <v>1</v>
      </c>
      <c r="E3114" t="s">
        <v>1804</v>
      </c>
      <c r="F3114" t="s">
        <v>9</v>
      </c>
    </row>
    <row r="3115" spans="1:6" x14ac:dyDescent="0.3">
      <c r="A3115" t="s">
        <v>712</v>
      </c>
      <c r="B3115" t="s">
        <v>713</v>
      </c>
      <c r="C3115" t="str">
        <f>HYPERLINK("http://service.sap.com/sap/support/notes/1956534","1956534")</f>
        <v>1956534</v>
      </c>
      <c r="D3115">
        <v>1</v>
      </c>
      <c r="E3115" t="s">
        <v>1805</v>
      </c>
      <c r="F3115" t="s">
        <v>9</v>
      </c>
    </row>
    <row r="3116" spans="1:6" x14ac:dyDescent="0.3">
      <c r="A3116" t="s">
        <v>712</v>
      </c>
      <c r="B3116" t="s">
        <v>713</v>
      </c>
      <c r="C3116" t="str">
        <f>HYPERLINK("http://service.sap.com/sap/support/notes/1957047","1957047")</f>
        <v>1957047</v>
      </c>
      <c r="D3116">
        <v>4</v>
      </c>
      <c r="E3116" t="s">
        <v>1806</v>
      </c>
      <c r="F3116" t="s">
        <v>9</v>
      </c>
    </row>
    <row r="3117" spans="1:6" x14ac:dyDescent="0.3">
      <c r="A3117" t="s">
        <v>712</v>
      </c>
      <c r="B3117" t="s">
        <v>713</v>
      </c>
      <c r="C3117" t="str">
        <f>HYPERLINK("http://service.sap.com/sap/support/notes/1957250","1957250")</f>
        <v>1957250</v>
      </c>
      <c r="D3117">
        <v>2</v>
      </c>
      <c r="E3117" t="s">
        <v>1807</v>
      </c>
      <c r="F3117" t="s">
        <v>9</v>
      </c>
    </row>
    <row r="3118" spans="1:6" x14ac:dyDescent="0.3">
      <c r="A3118" t="s">
        <v>712</v>
      </c>
      <c r="B3118" t="s">
        <v>713</v>
      </c>
      <c r="C3118" t="str">
        <f>HYPERLINK("http://service.sap.com/sap/support/notes/1957420","1957420")</f>
        <v>1957420</v>
      </c>
      <c r="D3118">
        <v>1</v>
      </c>
      <c r="E3118" t="s">
        <v>1808</v>
      </c>
      <c r="F3118" t="s">
        <v>9</v>
      </c>
    </row>
    <row r="3119" spans="1:6" x14ac:dyDescent="0.3">
      <c r="A3119" t="s">
        <v>712</v>
      </c>
      <c r="B3119" t="s">
        <v>713</v>
      </c>
      <c r="C3119" t="str">
        <f>HYPERLINK("http://service.sap.com/sap/support/notes/1958255","1958255")</f>
        <v>1958255</v>
      </c>
      <c r="D3119">
        <v>1</v>
      </c>
      <c r="E3119" t="s">
        <v>1809</v>
      </c>
      <c r="F3119" t="s">
        <v>9</v>
      </c>
    </row>
    <row r="3120" spans="1:6" x14ac:dyDescent="0.3">
      <c r="A3120" t="s">
        <v>712</v>
      </c>
      <c r="B3120" t="s">
        <v>713</v>
      </c>
      <c r="C3120" t="str">
        <f>HYPERLINK("http://service.sap.com/sap/support/notes/1960941","1960941")</f>
        <v>1960941</v>
      </c>
      <c r="D3120">
        <v>1</v>
      </c>
      <c r="E3120" t="s">
        <v>1810</v>
      </c>
      <c r="F3120" t="s">
        <v>9</v>
      </c>
    </row>
    <row r="3121" spans="1:6" x14ac:dyDescent="0.3">
      <c r="A3121" t="s">
        <v>712</v>
      </c>
      <c r="B3121" t="s">
        <v>713</v>
      </c>
      <c r="C3121" t="str">
        <f>HYPERLINK("http://service.sap.com/sap/support/notes/1961412","1961412")</f>
        <v>1961412</v>
      </c>
      <c r="D3121">
        <v>1</v>
      </c>
      <c r="E3121" t="s">
        <v>1811</v>
      </c>
      <c r="F3121" t="s">
        <v>9</v>
      </c>
    </row>
    <row r="3122" spans="1:6" x14ac:dyDescent="0.3">
      <c r="A3122" t="s">
        <v>712</v>
      </c>
      <c r="B3122" t="s">
        <v>713</v>
      </c>
      <c r="C3122" t="str">
        <f>HYPERLINK("http://service.sap.com/sap/support/notes/1964435","1964435")</f>
        <v>1964435</v>
      </c>
      <c r="D3122">
        <v>1</v>
      </c>
      <c r="E3122" t="s">
        <v>1812</v>
      </c>
      <c r="F3122" t="s">
        <v>9</v>
      </c>
    </row>
    <row r="3123" spans="1:6" x14ac:dyDescent="0.3">
      <c r="A3123" t="s">
        <v>712</v>
      </c>
      <c r="B3123" t="s">
        <v>713</v>
      </c>
      <c r="C3123" t="str">
        <f>HYPERLINK("http://service.sap.com/sap/support/notes/1969094","1969094")</f>
        <v>1969094</v>
      </c>
      <c r="D3123">
        <v>5</v>
      </c>
      <c r="E3123" t="s">
        <v>1813</v>
      </c>
      <c r="F3123" t="s">
        <v>28</v>
      </c>
    </row>
    <row r="3124" spans="1:6" x14ac:dyDescent="0.3">
      <c r="A3124" t="s">
        <v>712</v>
      </c>
      <c r="B3124" t="s">
        <v>713</v>
      </c>
      <c r="C3124" t="str">
        <f>HYPERLINK("http://service.sap.com/sap/support/notes/1894467","1894467")</f>
        <v>1894467</v>
      </c>
      <c r="D3124">
        <v>8</v>
      </c>
      <c r="E3124" t="s">
        <v>2227</v>
      </c>
      <c r="F3124" t="s">
        <v>9</v>
      </c>
    </row>
    <row r="3125" spans="1:6" x14ac:dyDescent="0.3">
      <c r="A3125" t="s">
        <v>712</v>
      </c>
      <c r="B3125" t="s">
        <v>713</v>
      </c>
      <c r="C3125" t="str">
        <f>HYPERLINK("http://service.sap.com/sap/support/notes/1950723","1950723")</f>
        <v>1950723</v>
      </c>
      <c r="D3125">
        <v>3</v>
      </c>
      <c r="E3125" t="s">
        <v>1794</v>
      </c>
      <c r="F3125" t="s">
        <v>28</v>
      </c>
    </row>
    <row r="3126" spans="1:6" x14ac:dyDescent="0.3">
      <c r="A3126" t="s">
        <v>712</v>
      </c>
      <c r="B3126" t="s">
        <v>713</v>
      </c>
      <c r="C3126" t="str">
        <f>HYPERLINK("http://service.sap.com/sap/support/notes/1955315","1955315")</f>
        <v>1955315</v>
      </c>
      <c r="D3126">
        <v>2</v>
      </c>
      <c r="E3126" t="s">
        <v>2228</v>
      </c>
      <c r="F3126" t="s">
        <v>9</v>
      </c>
    </row>
    <row r="3127" spans="1:6" x14ac:dyDescent="0.3">
      <c r="A3127" t="s">
        <v>712</v>
      </c>
      <c r="B3127" t="s">
        <v>713</v>
      </c>
      <c r="C3127" t="str">
        <f>HYPERLINK("http://service.sap.com/sap/support/notes/1961612","1961612")</f>
        <v>1961612</v>
      </c>
      <c r="D3127">
        <v>1</v>
      </c>
      <c r="E3127" t="s">
        <v>2229</v>
      </c>
      <c r="F3127" t="s">
        <v>9</v>
      </c>
    </row>
    <row r="3128" spans="1:6" x14ac:dyDescent="0.3">
      <c r="A3128" t="s">
        <v>712</v>
      </c>
      <c r="B3128" t="s">
        <v>713</v>
      </c>
      <c r="C3128" t="str">
        <f>HYPERLINK("http://service.sap.com/sap/support/notes/1961699","1961699")</f>
        <v>1961699</v>
      </c>
      <c r="D3128">
        <v>2</v>
      </c>
      <c r="E3128" t="s">
        <v>2230</v>
      </c>
      <c r="F3128" t="s">
        <v>9</v>
      </c>
    </row>
    <row r="3129" spans="1:6" x14ac:dyDescent="0.3">
      <c r="A3129" t="s">
        <v>712</v>
      </c>
      <c r="B3129" t="s">
        <v>713</v>
      </c>
      <c r="C3129" t="str">
        <f>HYPERLINK("http://service.sap.com/sap/support/notes/1962142","1962142")</f>
        <v>1962142</v>
      </c>
      <c r="D3129">
        <v>4</v>
      </c>
      <c r="E3129" t="s">
        <v>2231</v>
      </c>
      <c r="F3129" t="s">
        <v>9</v>
      </c>
    </row>
    <row r="3130" spans="1:6" x14ac:dyDescent="0.3">
      <c r="A3130" t="s">
        <v>712</v>
      </c>
      <c r="B3130" t="s">
        <v>713</v>
      </c>
      <c r="C3130" t="str">
        <f>HYPERLINK("http://service.sap.com/sap/support/notes/1962698","1962698")</f>
        <v>1962698</v>
      </c>
      <c r="D3130">
        <v>1</v>
      </c>
      <c r="E3130" t="s">
        <v>2232</v>
      </c>
      <c r="F3130" t="s">
        <v>9</v>
      </c>
    </row>
    <row r="3131" spans="1:6" x14ac:dyDescent="0.3">
      <c r="A3131" t="s">
        <v>712</v>
      </c>
      <c r="B3131" t="s">
        <v>713</v>
      </c>
      <c r="C3131" t="str">
        <f>HYPERLINK("http://service.sap.com/sap/support/notes/1963078","1963078")</f>
        <v>1963078</v>
      </c>
      <c r="D3131">
        <v>2</v>
      </c>
      <c r="E3131" t="s">
        <v>2233</v>
      </c>
      <c r="F3131" t="s">
        <v>9</v>
      </c>
    </row>
    <row r="3132" spans="1:6" x14ac:dyDescent="0.3">
      <c r="A3132" t="s">
        <v>712</v>
      </c>
      <c r="B3132" t="s">
        <v>713</v>
      </c>
      <c r="C3132" t="str">
        <f>HYPERLINK("http://service.sap.com/sap/support/notes/1963082","1963082")</f>
        <v>1963082</v>
      </c>
      <c r="D3132">
        <v>1</v>
      </c>
      <c r="E3132" t="s">
        <v>2234</v>
      </c>
      <c r="F3132" t="s">
        <v>9</v>
      </c>
    </row>
    <row r="3133" spans="1:6" x14ac:dyDescent="0.3">
      <c r="A3133" t="s">
        <v>712</v>
      </c>
      <c r="B3133" t="s">
        <v>713</v>
      </c>
      <c r="C3133" t="str">
        <f>HYPERLINK("http://service.sap.com/sap/support/notes/1963363","1963363")</f>
        <v>1963363</v>
      </c>
      <c r="D3133">
        <v>1</v>
      </c>
      <c r="E3133" t="s">
        <v>2235</v>
      </c>
      <c r="F3133" t="s">
        <v>9</v>
      </c>
    </row>
    <row r="3134" spans="1:6" x14ac:dyDescent="0.3">
      <c r="A3134" t="s">
        <v>712</v>
      </c>
      <c r="B3134" t="s">
        <v>713</v>
      </c>
      <c r="C3134" t="str">
        <f>HYPERLINK("http://service.sap.com/sap/support/notes/1966383","1966383")</f>
        <v>1966383</v>
      </c>
      <c r="D3134">
        <v>2</v>
      </c>
      <c r="E3134" t="s">
        <v>2236</v>
      </c>
      <c r="F3134" t="s">
        <v>9</v>
      </c>
    </row>
    <row r="3135" spans="1:6" x14ac:dyDescent="0.3">
      <c r="A3135" t="s">
        <v>712</v>
      </c>
      <c r="B3135" t="s">
        <v>713</v>
      </c>
      <c r="C3135" t="str">
        <f>HYPERLINK("http://service.sap.com/sap/support/notes/1966811","1966811")</f>
        <v>1966811</v>
      </c>
      <c r="D3135">
        <v>1</v>
      </c>
      <c r="E3135" t="s">
        <v>2237</v>
      </c>
      <c r="F3135" t="s">
        <v>9</v>
      </c>
    </row>
    <row r="3136" spans="1:6" x14ac:dyDescent="0.3">
      <c r="A3136" t="s">
        <v>712</v>
      </c>
      <c r="B3136" t="s">
        <v>713</v>
      </c>
      <c r="C3136" t="str">
        <f>HYPERLINK("http://service.sap.com/sap/support/notes/1966933","1966933")</f>
        <v>1966933</v>
      </c>
      <c r="D3136">
        <v>1</v>
      </c>
      <c r="E3136" t="s">
        <v>2238</v>
      </c>
      <c r="F3136" t="s">
        <v>16</v>
      </c>
    </row>
    <row r="3137" spans="1:6" x14ac:dyDescent="0.3">
      <c r="A3137" t="s">
        <v>712</v>
      </c>
      <c r="B3137" t="s">
        <v>713</v>
      </c>
      <c r="C3137" t="str">
        <f>HYPERLINK("http://service.sap.com/sap/support/notes/1967105","1967105")</f>
        <v>1967105</v>
      </c>
      <c r="D3137">
        <v>1</v>
      </c>
      <c r="E3137" t="s">
        <v>2239</v>
      </c>
      <c r="F3137" t="s">
        <v>9</v>
      </c>
    </row>
    <row r="3138" spans="1:6" x14ac:dyDescent="0.3">
      <c r="A3138" t="s">
        <v>712</v>
      </c>
      <c r="B3138" t="s">
        <v>713</v>
      </c>
      <c r="C3138" t="str">
        <f>HYPERLINK("http://service.sap.com/sap/support/notes/1967170","1967170")</f>
        <v>1967170</v>
      </c>
      <c r="D3138">
        <v>1</v>
      </c>
      <c r="E3138" t="s">
        <v>2240</v>
      </c>
      <c r="F3138" t="s">
        <v>9</v>
      </c>
    </row>
    <row r="3139" spans="1:6" x14ac:dyDescent="0.3">
      <c r="A3139" t="s">
        <v>712</v>
      </c>
      <c r="B3139" t="s">
        <v>713</v>
      </c>
      <c r="C3139" t="str">
        <f>HYPERLINK("http://service.sap.com/sap/support/notes/1967693","1967693")</f>
        <v>1967693</v>
      </c>
      <c r="D3139">
        <v>1</v>
      </c>
      <c r="E3139" t="s">
        <v>2241</v>
      </c>
      <c r="F3139" t="s">
        <v>9</v>
      </c>
    </row>
    <row r="3140" spans="1:6" x14ac:dyDescent="0.3">
      <c r="A3140" t="s">
        <v>712</v>
      </c>
      <c r="B3140" t="s">
        <v>713</v>
      </c>
      <c r="C3140" t="str">
        <f>HYPERLINK("http://service.sap.com/sap/support/notes/1968545","1968545")</f>
        <v>1968545</v>
      </c>
      <c r="D3140">
        <v>2</v>
      </c>
      <c r="E3140" t="s">
        <v>2242</v>
      </c>
      <c r="F3140" t="s">
        <v>9</v>
      </c>
    </row>
    <row r="3141" spans="1:6" x14ac:dyDescent="0.3">
      <c r="A3141" t="s">
        <v>712</v>
      </c>
      <c r="B3141" t="s">
        <v>713</v>
      </c>
      <c r="C3141" t="str">
        <f>HYPERLINK("http://service.sap.com/sap/support/notes/1969019","1969019")</f>
        <v>1969019</v>
      </c>
      <c r="D3141">
        <v>1</v>
      </c>
      <c r="E3141" t="s">
        <v>2243</v>
      </c>
      <c r="F3141" t="s">
        <v>9</v>
      </c>
    </row>
    <row r="3142" spans="1:6" x14ac:dyDescent="0.3">
      <c r="A3142" t="s">
        <v>712</v>
      </c>
      <c r="B3142" t="s">
        <v>713</v>
      </c>
      <c r="C3142" t="str">
        <f>HYPERLINK("http://service.sap.com/sap/support/notes/1969436","1969436")</f>
        <v>1969436</v>
      </c>
      <c r="D3142">
        <v>1</v>
      </c>
      <c r="E3142" t="s">
        <v>2244</v>
      </c>
      <c r="F3142" t="s">
        <v>9</v>
      </c>
    </row>
    <row r="3143" spans="1:6" x14ac:dyDescent="0.3">
      <c r="A3143" t="s">
        <v>712</v>
      </c>
      <c r="B3143" t="s">
        <v>713</v>
      </c>
      <c r="C3143" t="str">
        <f>HYPERLINK("http://service.sap.com/sap/support/notes/1864971","1864971")</f>
        <v>1864971</v>
      </c>
      <c r="D3143">
        <v>1</v>
      </c>
      <c r="E3143" t="s">
        <v>2601</v>
      </c>
      <c r="F3143" t="s">
        <v>9</v>
      </c>
    </row>
    <row r="3144" spans="1:6" x14ac:dyDescent="0.3">
      <c r="A3144" t="s">
        <v>712</v>
      </c>
      <c r="B3144" t="s">
        <v>713</v>
      </c>
      <c r="C3144" t="str">
        <f>HYPERLINK("http://service.sap.com/sap/support/notes/1947095","1947095")</f>
        <v>1947095</v>
      </c>
      <c r="D3144">
        <v>2</v>
      </c>
      <c r="E3144" t="s">
        <v>2602</v>
      </c>
      <c r="F3144" t="s">
        <v>9</v>
      </c>
    </row>
    <row r="3145" spans="1:6" x14ac:dyDescent="0.3">
      <c r="A3145" t="s">
        <v>712</v>
      </c>
      <c r="B3145" t="s">
        <v>713</v>
      </c>
      <c r="C3145" t="str">
        <f>HYPERLINK("http://service.sap.com/sap/support/notes/1963795","1963795")</f>
        <v>1963795</v>
      </c>
      <c r="D3145">
        <v>2</v>
      </c>
      <c r="E3145" t="s">
        <v>2603</v>
      </c>
      <c r="F3145" t="s">
        <v>9</v>
      </c>
    </row>
    <row r="3146" spans="1:6" x14ac:dyDescent="0.3">
      <c r="A3146" t="s">
        <v>712</v>
      </c>
      <c r="B3146" t="s">
        <v>713</v>
      </c>
      <c r="C3146" t="str">
        <f>HYPERLINK("http://service.sap.com/sap/support/notes/1967170","1967170")</f>
        <v>1967170</v>
      </c>
      <c r="D3146">
        <v>1</v>
      </c>
      <c r="E3146" t="s">
        <v>2240</v>
      </c>
      <c r="F3146" t="s">
        <v>9</v>
      </c>
    </row>
    <row r="3147" spans="1:6" x14ac:dyDescent="0.3">
      <c r="A3147" t="s">
        <v>712</v>
      </c>
      <c r="B3147" t="s">
        <v>713</v>
      </c>
      <c r="C3147" t="str">
        <f>HYPERLINK("http://service.sap.com/sap/support/notes/1968098","1968098")</f>
        <v>1968098</v>
      </c>
      <c r="D3147">
        <v>4</v>
      </c>
      <c r="E3147" t="s">
        <v>2604</v>
      </c>
      <c r="F3147" t="s">
        <v>9</v>
      </c>
    </row>
    <row r="3148" spans="1:6" x14ac:dyDescent="0.3">
      <c r="A3148" t="s">
        <v>712</v>
      </c>
      <c r="B3148" t="s">
        <v>713</v>
      </c>
      <c r="C3148" t="str">
        <f>HYPERLINK("http://service.sap.com/sap/support/notes/1971626","1971626")</f>
        <v>1971626</v>
      </c>
      <c r="D3148">
        <v>2</v>
      </c>
      <c r="E3148" t="s">
        <v>2605</v>
      </c>
      <c r="F3148" t="s">
        <v>9</v>
      </c>
    </row>
    <row r="3149" spans="1:6" x14ac:dyDescent="0.3">
      <c r="A3149" t="s">
        <v>712</v>
      </c>
      <c r="B3149" t="s">
        <v>713</v>
      </c>
      <c r="C3149" t="str">
        <f>HYPERLINK("http://service.sap.com/sap/support/notes/1973609","1973609")</f>
        <v>1973609</v>
      </c>
      <c r="D3149">
        <v>1</v>
      </c>
      <c r="E3149" t="s">
        <v>2606</v>
      </c>
      <c r="F3149" t="s">
        <v>9</v>
      </c>
    </row>
    <row r="3150" spans="1:6" x14ac:dyDescent="0.3">
      <c r="A3150" t="s">
        <v>712</v>
      </c>
      <c r="B3150" t="s">
        <v>713</v>
      </c>
      <c r="C3150" t="str">
        <f>HYPERLINK("http://service.sap.com/sap/support/notes/1973738","1973738")</f>
        <v>1973738</v>
      </c>
      <c r="D3150">
        <v>1</v>
      </c>
      <c r="E3150" t="s">
        <v>2607</v>
      </c>
      <c r="F3150" t="s">
        <v>9</v>
      </c>
    </row>
    <row r="3151" spans="1:6" x14ac:dyDescent="0.3">
      <c r="A3151" t="s">
        <v>712</v>
      </c>
      <c r="B3151" t="s">
        <v>713</v>
      </c>
      <c r="C3151" t="str">
        <f>HYPERLINK("http://service.sap.com/sap/support/notes/1973923","1973923")</f>
        <v>1973923</v>
      </c>
      <c r="D3151">
        <v>1</v>
      </c>
      <c r="E3151" t="s">
        <v>2608</v>
      </c>
      <c r="F3151" t="s">
        <v>9</v>
      </c>
    </row>
    <row r="3152" spans="1:6" x14ac:dyDescent="0.3">
      <c r="A3152" t="s">
        <v>712</v>
      </c>
      <c r="B3152" t="s">
        <v>713</v>
      </c>
      <c r="C3152" t="str">
        <f>HYPERLINK("http://service.sap.com/sap/support/notes/1978336","1978336")</f>
        <v>1978336</v>
      </c>
      <c r="D3152">
        <v>1</v>
      </c>
      <c r="E3152" t="s">
        <v>2609</v>
      </c>
      <c r="F3152" t="s">
        <v>9</v>
      </c>
    </row>
    <row r="3153" spans="1:6" x14ac:dyDescent="0.3">
      <c r="A3153" t="s">
        <v>712</v>
      </c>
      <c r="B3153" t="s">
        <v>713</v>
      </c>
      <c r="C3153" t="str">
        <f>HYPERLINK("http://service.sap.com/sap/support/notes/1978776","1978776")</f>
        <v>1978776</v>
      </c>
      <c r="D3153">
        <v>1</v>
      </c>
      <c r="E3153" t="s">
        <v>2610</v>
      </c>
      <c r="F3153" t="s">
        <v>28</v>
      </c>
    </row>
    <row r="3154" spans="1:6" x14ac:dyDescent="0.3">
      <c r="A3154" t="s">
        <v>712</v>
      </c>
      <c r="B3154" t="s">
        <v>713</v>
      </c>
      <c r="C3154" t="str">
        <f>HYPERLINK("http://service.sap.com/sap/support/notes/1979489","1979489")</f>
        <v>1979489</v>
      </c>
      <c r="D3154">
        <v>1</v>
      </c>
      <c r="E3154" t="s">
        <v>2611</v>
      </c>
      <c r="F3154" t="s">
        <v>9</v>
      </c>
    </row>
    <row r="3155" spans="1:6" x14ac:dyDescent="0.3">
      <c r="A3155" t="s">
        <v>712</v>
      </c>
      <c r="B3155" t="s">
        <v>713</v>
      </c>
      <c r="C3155" t="str">
        <f>HYPERLINK("http://service.sap.com/sap/support/notes/1980091","1980091")</f>
        <v>1980091</v>
      </c>
      <c r="D3155">
        <v>2</v>
      </c>
      <c r="E3155" t="s">
        <v>2612</v>
      </c>
      <c r="F3155" t="s">
        <v>9</v>
      </c>
    </row>
    <row r="3156" spans="1:6" x14ac:dyDescent="0.3">
      <c r="A3156" t="s">
        <v>712</v>
      </c>
      <c r="B3156" t="s">
        <v>713</v>
      </c>
      <c r="C3156" t="str">
        <f>HYPERLINK("http://service.sap.com/sap/support/notes/1980092","1980092")</f>
        <v>1980092</v>
      </c>
      <c r="D3156">
        <v>3</v>
      </c>
      <c r="E3156" t="s">
        <v>2613</v>
      </c>
      <c r="F3156" t="s">
        <v>9</v>
      </c>
    </row>
    <row r="3157" spans="1:6" x14ac:dyDescent="0.3">
      <c r="A3157" t="s">
        <v>712</v>
      </c>
      <c r="B3157" t="s">
        <v>713</v>
      </c>
      <c r="C3157" t="str">
        <f>HYPERLINK("http://service.sap.com/sap/support/notes/1980190","1980190")</f>
        <v>1980190</v>
      </c>
      <c r="D3157">
        <v>1</v>
      </c>
      <c r="E3157" t="s">
        <v>2614</v>
      </c>
      <c r="F3157" t="s">
        <v>16</v>
      </c>
    </row>
    <row r="3158" spans="1:6" x14ac:dyDescent="0.3">
      <c r="A3158" t="s">
        <v>712</v>
      </c>
      <c r="B3158" t="s">
        <v>713</v>
      </c>
      <c r="C3158" t="str">
        <f>HYPERLINK("http://service.sap.com/sap/support/notes/1980529","1980529")</f>
        <v>1980529</v>
      </c>
      <c r="D3158">
        <v>1</v>
      </c>
      <c r="E3158" t="s">
        <v>2615</v>
      </c>
      <c r="F3158" t="s">
        <v>9</v>
      </c>
    </row>
    <row r="3159" spans="1:6" x14ac:dyDescent="0.3">
      <c r="A3159" t="s">
        <v>712</v>
      </c>
      <c r="B3159" t="s">
        <v>713</v>
      </c>
      <c r="C3159" t="str">
        <f>HYPERLINK("http://service.sap.com/sap/support/notes/1980737","1980737")</f>
        <v>1980737</v>
      </c>
      <c r="D3159">
        <v>3</v>
      </c>
      <c r="E3159" t="s">
        <v>2616</v>
      </c>
      <c r="F3159" t="s">
        <v>9</v>
      </c>
    </row>
    <row r="3160" spans="1:6" x14ac:dyDescent="0.3">
      <c r="A3160" t="s">
        <v>712</v>
      </c>
      <c r="B3160" t="s">
        <v>713</v>
      </c>
      <c r="C3160" t="str">
        <f>HYPERLINK("http://service.sap.com/sap/support/notes/1981610","1981610")</f>
        <v>1981610</v>
      </c>
      <c r="D3160">
        <v>1</v>
      </c>
      <c r="E3160" t="s">
        <v>2617</v>
      </c>
      <c r="F3160" t="s">
        <v>9</v>
      </c>
    </row>
    <row r="3161" spans="1:6" x14ac:dyDescent="0.3">
      <c r="A3161" t="s">
        <v>712</v>
      </c>
      <c r="B3161" t="s">
        <v>713</v>
      </c>
      <c r="C3161" t="str">
        <f>HYPERLINK("http://service.sap.com/sap/support/notes/1569226","1569226")</f>
        <v>1569226</v>
      </c>
      <c r="D3161">
        <v>1</v>
      </c>
      <c r="E3161" t="s">
        <v>3063</v>
      </c>
      <c r="F3161" t="s">
        <v>9</v>
      </c>
    </row>
    <row r="3162" spans="1:6" x14ac:dyDescent="0.3">
      <c r="A3162" t="s">
        <v>712</v>
      </c>
      <c r="B3162" t="s">
        <v>713</v>
      </c>
      <c r="C3162" t="str">
        <f>HYPERLINK("http://service.sap.com/sap/support/notes/1978602","1978602")</f>
        <v>1978602</v>
      </c>
      <c r="D3162">
        <v>5</v>
      </c>
      <c r="E3162" t="s">
        <v>3064</v>
      </c>
      <c r="F3162" t="s">
        <v>9</v>
      </c>
    </row>
    <row r="3163" spans="1:6" x14ac:dyDescent="0.3">
      <c r="A3163" t="s">
        <v>712</v>
      </c>
      <c r="B3163" t="s">
        <v>713</v>
      </c>
      <c r="C3163" t="str">
        <f>HYPERLINK("http://service.sap.com/sap/support/notes/1981610","1981610")</f>
        <v>1981610</v>
      </c>
      <c r="D3163">
        <v>1</v>
      </c>
      <c r="E3163" t="s">
        <v>2617</v>
      </c>
      <c r="F3163" t="s">
        <v>9</v>
      </c>
    </row>
    <row r="3164" spans="1:6" x14ac:dyDescent="0.3">
      <c r="A3164" t="s">
        <v>712</v>
      </c>
      <c r="B3164" t="s">
        <v>713</v>
      </c>
      <c r="C3164" t="str">
        <f>HYPERLINK("http://service.sap.com/sap/support/notes/1982631","1982631")</f>
        <v>1982631</v>
      </c>
      <c r="D3164">
        <v>2</v>
      </c>
      <c r="E3164" t="s">
        <v>3065</v>
      </c>
      <c r="F3164" t="s">
        <v>9</v>
      </c>
    </row>
    <row r="3165" spans="1:6" x14ac:dyDescent="0.3">
      <c r="A3165" t="s">
        <v>712</v>
      </c>
      <c r="B3165" t="s">
        <v>713</v>
      </c>
      <c r="C3165" t="str">
        <f>HYPERLINK("http://service.sap.com/sap/support/notes/1985467","1985467")</f>
        <v>1985467</v>
      </c>
      <c r="D3165">
        <v>1</v>
      </c>
      <c r="E3165" t="s">
        <v>3066</v>
      </c>
      <c r="F3165" t="s">
        <v>9</v>
      </c>
    </row>
    <row r="3166" spans="1:6" x14ac:dyDescent="0.3">
      <c r="A3166" t="s">
        <v>712</v>
      </c>
      <c r="B3166" t="s">
        <v>713</v>
      </c>
      <c r="C3166" t="str">
        <f>HYPERLINK("http://service.sap.com/sap/support/notes/1986429","1986429")</f>
        <v>1986429</v>
      </c>
      <c r="D3166">
        <v>2</v>
      </c>
      <c r="E3166" t="s">
        <v>3067</v>
      </c>
      <c r="F3166" t="s">
        <v>9</v>
      </c>
    </row>
    <row r="3167" spans="1:6" x14ac:dyDescent="0.3">
      <c r="A3167" t="s">
        <v>712</v>
      </c>
      <c r="B3167" t="s">
        <v>713</v>
      </c>
      <c r="C3167" t="str">
        <f>HYPERLINK("http://service.sap.com/sap/support/notes/1986584","1986584")</f>
        <v>1986584</v>
      </c>
      <c r="D3167">
        <v>1</v>
      </c>
      <c r="E3167" t="s">
        <v>3068</v>
      </c>
      <c r="F3167" t="s">
        <v>9</v>
      </c>
    </row>
    <row r="3168" spans="1:6" x14ac:dyDescent="0.3">
      <c r="A3168" t="s">
        <v>712</v>
      </c>
      <c r="B3168" t="s">
        <v>713</v>
      </c>
      <c r="C3168" t="str">
        <f>HYPERLINK("http://service.sap.com/sap/support/notes/1987121","1987121")</f>
        <v>1987121</v>
      </c>
      <c r="D3168">
        <v>3</v>
      </c>
      <c r="E3168" t="s">
        <v>3069</v>
      </c>
      <c r="F3168" t="s">
        <v>9</v>
      </c>
    </row>
    <row r="3169" spans="1:6" x14ac:dyDescent="0.3">
      <c r="A3169" t="s">
        <v>712</v>
      </c>
      <c r="B3169" t="s">
        <v>713</v>
      </c>
      <c r="C3169" t="str">
        <f>HYPERLINK("http://service.sap.com/sap/support/notes/1989018","1989018")</f>
        <v>1989018</v>
      </c>
      <c r="D3169">
        <v>4</v>
      </c>
      <c r="E3169" t="s">
        <v>3070</v>
      </c>
      <c r="F3169" t="s">
        <v>9</v>
      </c>
    </row>
    <row r="3170" spans="1:6" x14ac:dyDescent="0.3">
      <c r="A3170" t="s">
        <v>712</v>
      </c>
      <c r="B3170" t="s">
        <v>713</v>
      </c>
      <c r="C3170" t="str">
        <f>HYPERLINK("http://service.sap.com/sap/support/notes/1989164","1989164")</f>
        <v>1989164</v>
      </c>
      <c r="D3170">
        <v>1</v>
      </c>
      <c r="E3170" t="s">
        <v>3071</v>
      </c>
      <c r="F3170" t="s">
        <v>9</v>
      </c>
    </row>
    <row r="3171" spans="1:6" x14ac:dyDescent="0.3">
      <c r="A3171" t="s">
        <v>712</v>
      </c>
      <c r="B3171" t="s">
        <v>713</v>
      </c>
      <c r="C3171" t="str">
        <f>HYPERLINK("http://service.sap.com/sap/support/notes/1989332","1989332")</f>
        <v>1989332</v>
      </c>
      <c r="D3171">
        <v>1</v>
      </c>
      <c r="E3171" t="s">
        <v>3072</v>
      </c>
      <c r="F3171" t="s">
        <v>9</v>
      </c>
    </row>
    <row r="3172" spans="1:6" x14ac:dyDescent="0.3">
      <c r="A3172" t="s">
        <v>712</v>
      </c>
      <c r="B3172" t="s">
        <v>713</v>
      </c>
      <c r="C3172" t="str">
        <f>HYPERLINK("http://service.sap.com/sap/support/notes/1989379","1989379")</f>
        <v>1989379</v>
      </c>
      <c r="D3172">
        <v>1</v>
      </c>
      <c r="E3172" t="s">
        <v>3073</v>
      </c>
      <c r="F3172" t="s">
        <v>9</v>
      </c>
    </row>
    <row r="3173" spans="1:6" x14ac:dyDescent="0.3">
      <c r="A3173" t="s">
        <v>712</v>
      </c>
      <c r="B3173" t="s">
        <v>713</v>
      </c>
      <c r="C3173" t="str">
        <f>HYPERLINK("http://service.sap.com/sap/support/notes/1989688","1989688")</f>
        <v>1989688</v>
      </c>
      <c r="D3173">
        <v>2</v>
      </c>
      <c r="E3173" t="s">
        <v>3074</v>
      </c>
      <c r="F3173" t="s">
        <v>9</v>
      </c>
    </row>
    <row r="3174" spans="1:6" x14ac:dyDescent="0.3">
      <c r="A3174" t="s">
        <v>712</v>
      </c>
      <c r="B3174" t="s">
        <v>713</v>
      </c>
      <c r="C3174" t="str">
        <f>HYPERLINK("http://service.sap.com/sap/support/notes/1989849","1989849")</f>
        <v>1989849</v>
      </c>
      <c r="D3174">
        <v>2</v>
      </c>
      <c r="E3174" t="s">
        <v>3075</v>
      </c>
      <c r="F3174" t="s">
        <v>9</v>
      </c>
    </row>
    <row r="3175" spans="1:6" x14ac:dyDescent="0.3">
      <c r="A3175" t="s">
        <v>712</v>
      </c>
      <c r="B3175" t="s">
        <v>713</v>
      </c>
      <c r="C3175" t="str">
        <f>HYPERLINK("http://service.sap.com/sap/support/notes/1990703","1990703")</f>
        <v>1990703</v>
      </c>
      <c r="D3175">
        <v>1</v>
      </c>
      <c r="E3175" t="s">
        <v>3076</v>
      </c>
      <c r="F3175" t="s">
        <v>9</v>
      </c>
    </row>
    <row r="3176" spans="1:6" x14ac:dyDescent="0.3">
      <c r="A3176" t="s">
        <v>712</v>
      </c>
      <c r="B3176" t="s">
        <v>713</v>
      </c>
      <c r="C3176" t="str">
        <f>HYPERLINK("http://service.sap.com/sap/support/notes/1994610","1994610")</f>
        <v>1994610</v>
      </c>
      <c r="D3176">
        <v>2</v>
      </c>
      <c r="E3176" t="s">
        <v>3077</v>
      </c>
      <c r="F3176" t="s">
        <v>9</v>
      </c>
    </row>
    <row r="3177" spans="1:6" x14ac:dyDescent="0.3">
      <c r="A3177" t="s">
        <v>712</v>
      </c>
      <c r="B3177" t="s">
        <v>713</v>
      </c>
      <c r="C3177" t="str">
        <f>HYPERLINK("http://service.sap.com/sap/support/notes/1990891","1990891")</f>
        <v>1990891</v>
      </c>
      <c r="D3177">
        <v>3</v>
      </c>
      <c r="E3177" t="s">
        <v>3711</v>
      </c>
      <c r="F3177" t="s">
        <v>9</v>
      </c>
    </row>
    <row r="3178" spans="1:6" x14ac:dyDescent="0.3">
      <c r="A3178" t="s">
        <v>712</v>
      </c>
      <c r="B3178" t="s">
        <v>713</v>
      </c>
      <c r="C3178" t="str">
        <f>HYPERLINK("http://service.sap.com/sap/support/notes/1992033","1992033")</f>
        <v>1992033</v>
      </c>
      <c r="D3178">
        <v>2</v>
      </c>
      <c r="E3178" t="s">
        <v>3712</v>
      </c>
      <c r="F3178" t="s">
        <v>9</v>
      </c>
    </row>
    <row r="3179" spans="1:6" x14ac:dyDescent="0.3">
      <c r="A3179" t="s">
        <v>712</v>
      </c>
      <c r="B3179" t="s">
        <v>713</v>
      </c>
      <c r="C3179" t="str">
        <f>HYPERLINK("http://service.sap.com/sap/support/notes/1994623","1994623")</f>
        <v>1994623</v>
      </c>
      <c r="D3179">
        <v>4</v>
      </c>
      <c r="E3179" t="s">
        <v>3713</v>
      </c>
      <c r="F3179" t="s">
        <v>9</v>
      </c>
    </row>
    <row r="3180" spans="1:6" x14ac:dyDescent="0.3">
      <c r="A3180" t="s">
        <v>712</v>
      </c>
      <c r="B3180" t="s">
        <v>713</v>
      </c>
      <c r="C3180" t="str">
        <f>HYPERLINK("http://service.sap.com/sap/support/notes/1996199","1996199")</f>
        <v>1996199</v>
      </c>
      <c r="D3180">
        <v>1</v>
      </c>
      <c r="E3180" t="s">
        <v>3714</v>
      </c>
      <c r="F3180" t="s">
        <v>9</v>
      </c>
    </row>
    <row r="3181" spans="1:6" x14ac:dyDescent="0.3">
      <c r="A3181" t="s">
        <v>712</v>
      </c>
      <c r="B3181" t="s">
        <v>713</v>
      </c>
      <c r="C3181" t="str">
        <f>HYPERLINK("http://service.sap.com/sap/support/notes/1997079","1997079")</f>
        <v>1997079</v>
      </c>
      <c r="D3181">
        <v>8</v>
      </c>
      <c r="E3181" t="s">
        <v>3715</v>
      </c>
      <c r="F3181" t="s">
        <v>9</v>
      </c>
    </row>
    <row r="3182" spans="1:6" x14ac:dyDescent="0.3">
      <c r="A3182" t="s">
        <v>712</v>
      </c>
      <c r="B3182" t="s">
        <v>713</v>
      </c>
      <c r="C3182" t="str">
        <f>HYPERLINK("http://service.sap.com/sap/support/notes/1998125","1998125")</f>
        <v>1998125</v>
      </c>
      <c r="D3182">
        <v>1</v>
      </c>
      <c r="E3182" t="s">
        <v>3716</v>
      </c>
      <c r="F3182" t="s">
        <v>9</v>
      </c>
    </row>
    <row r="3183" spans="1:6" x14ac:dyDescent="0.3">
      <c r="A3183" t="s">
        <v>712</v>
      </c>
      <c r="B3183" t="s">
        <v>713</v>
      </c>
      <c r="C3183" t="str">
        <f>HYPERLINK("http://service.sap.com/sap/support/notes/2001343","2001343")</f>
        <v>2001343</v>
      </c>
      <c r="D3183">
        <v>1</v>
      </c>
      <c r="E3183" t="s">
        <v>3717</v>
      </c>
      <c r="F3183" t="s">
        <v>9</v>
      </c>
    </row>
    <row r="3184" spans="1:6" x14ac:dyDescent="0.3">
      <c r="A3184" t="s">
        <v>712</v>
      </c>
      <c r="B3184" t="s">
        <v>713</v>
      </c>
      <c r="C3184" t="str">
        <f>HYPERLINK("http://service.sap.com/sap/support/notes/2003452","2003452")</f>
        <v>2003452</v>
      </c>
      <c r="D3184">
        <v>3</v>
      </c>
      <c r="E3184" t="s">
        <v>3718</v>
      </c>
      <c r="F3184" t="s">
        <v>9</v>
      </c>
    </row>
    <row r="3185" spans="1:6" x14ac:dyDescent="0.3">
      <c r="A3185" t="s">
        <v>712</v>
      </c>
      <c r="B3185" t="s">
        <v>713</v>
      </c>
      <c r="C3185" t="str">
        <f>HYPERLINK("http://service.sap.com/sap/support/notes/2003814","2003814")</f>
        <v>2003814</v>
      </c>
      <c r="D3185">
        <v>1</v>
      </c>
      <c r="E3185" t="s">
        <v>3719</v>
      </c>
      <c r="F3185" t="s">
        <v>9</v>
      </c>
    </row>
    <row r="3186" spans="1:6" x14ac:dyDescent="0.3">
      <c r="A3186" t="s">
        <v>712</v>
      </c>
      <c r="B3186" t="s">
        <v>713</v>
      </c>
      <c r="C3186" t="str">
        <f>HYPERLINK("http://service.sap.com/sap/support/notes/2005028","2005028")</f>
        <v>2005028</v>
      </c>
      <c r="D3186">
        <v>1</v>
      </c>
      <c r="E3186" t="s">
        <v>3720</v>
      </c>
      <c r="F3186" t="s">
        <v>9</v>
      </c>
    </row>
    <row r="3187" spans="1:6" x14ac:dyDescent="0.3">
      <c r="A3187" t="s">
        <v>712</v>
      </c>
      <c r="B3187" t="s">
        <v>713</v>
      </c>
      <c r="C3187" t="str">
        <f>HYPERLINK("http://service.sap.com/sap/support/notes/2005095","2005095")</f>
        <v>2005095</v>
      </c>
      <c r="D3187">
        <v>1</v>
      </c>
      <c r="E3187" t="s">
        <v>3721</v>
      </c>
      <c r="F3187" t="s">
        <v>9</v>
      </c>
    </row>
    <row r="3188" spans="1:6" x14ac:dyDescent="0.3">
      <c r="A3188" t="s">
        <v>712</v>
      </c>
      <c r="B3188" t="s">
        <v>713</v>
      </c>
      <c r="C3188" t="str">
        <f>HYPERLINK("http://service.sap.com/sap/support/notes/2005178","2005178")</f>
        <v>2005178</v>
      </c>
      <c r="D3188">
        <v>1</v>
      </c>
      <c r="E3188" t="s">
        <v>3722</v>
      </c>
      <c r="F3188" t="s">
        <v>9</v>
      </c>
    </row>
    <row r="3189" spans="1:6" x14ac:dyDescent="0.3">
      <c r="A3189" t="s">
        <v>712</v>
      </c>
      <c r="B3189" t="s">
        <v>713</v>
      </c>
      <c r="C3189" t="str">
        <f>HYPERLINK("http://service.sap.com/sap/support/notes/2005923","2005923")</f>
        <v>2005923</v>
      </c>
      <c r="D3189">
        <v>1</v>
      </c>
      <c r="E3189" t="s">
        <v>3723</v>
      </c>
      <c r="F3189" t="s">
        <v>9</v>
      </c>
    </row>
    <row r="3190" spans="1:6" x14ac:dyDescent="0.3">
      <c r="A3190" t="s">
        <v>712</v>
      </c>
      <c r="B3190" t="s">
        <v>713</v>
      </c>
      <c r="C3190" t="str">
        <f>HYPERLINK("http://service.sap.com/sap/support/notes/2006380","2006380")</f>
        <v>2006380</v>
      </c>
      <c r="D3190">
        <v>1</v>
      </c>
      <c r="E3190" t="s">
        <v>3724</v>
      </c>
      <c r="F3190" t="s">
        <v>9</v>
      </c>
    </row>
    <row r="3191" spans="1:6" x14ac:dyDescent="0.3">
      <c r="A3191" t="s">
        <v>712</v>
      </c>
      <c r="B3191" t="s">
        <v>713</v>
      </c>
      <c r="C3191" t="str">
        <f>HYPERLINK("http://service.sap.com/sap/support/notes/2007857","2007857")</f>
        <v>2007857</v>
      </c>
      <c r="D3191">
        <v>2</v>
      </c>
      <c r="E3191" t="s">
        <v>3725</v>
      </c>
      <c r="F3191" t="s">
        <v>9</v>
      </c>
    </row>
    <row r="3192" spans="1:6" x14ac:dyDescent="0.3">
      <c r="A3192" t="s">
        <v>712</v>
      </c>
      <c r="B3192" t="s">
        <v>713</v>
      </c>
      <c r="C3192" t="str">
        <f>HYPERLINK("http://service.sap.com/sap/support/notes/2007878","2007878")</f>
        <v>2007878</v>
      </c>
      <c r="D3192">
        <v>1</v>
      </c>
      <c r="E3192" t="s">
        <v>3726</v>
      </c>
      <c r="F3192" t="s">
        <v>9</v>
      </c>
    </row>
    <row r="3193" spans="1:6" x14ac:dyDescent="0.3">
      <c r="A3193" t="s">
        <v>712</v>
      </c>
      <c r="B3193" t="s">
        <v>713</v>
      </c>
      <c r="C3193" t="str">
        <f>HYPERLINK("http://service.sap.com/sap/support/notes/2009692","2009692")</f>
        <v>2009692</v>
      </c>
      <c r="D3193">
        <v>1</v>
      </c>
      <c r="E3193" t="s">
        <v>3727</v>
      </c>
      <c r="F3193" t="s">
        <v>9</v>
      </c>
    </row>
    <row r="3194" spans="1:6" x14ac:dyDescent="0.3">
      <c r="A3194" t="s">
        <v>712</v>
      </c>
      <c r="B3194" t="s">
        <v>713</v>
      </c>
      <c r="C3194" t="str">
        <f>HYPERLINK("http://service.sap.com/sap/support/notes/1969075","1969075")</f>
        <v>1969075</v>
      </c>
      <c r="D3194">
        <v>2</v>
      </c>
      <c r="E3194" t="s">
        <v>4211</v>
      </c>
      <c r="F3194" t="s">
        <v>9</v>
      </c>
    </row>
    <row r="3195" spans="1:6" x14ac:dyDescent="0.3">
      <c r="A3195" t="s">
        <v>712</v>
      </c>
      <c r="B3195" t="s">
        <v>713</v>
      </c>
      <c r="C3195" t="str">
        <f>HYPERLINK("http://service.sap.com/sap/support/notes/1969415","1969415")</f>
        <v>1969415</v>
      </c>
      <c r="D3195">
        <v>1</v>
      </c>
      <c r="E3195" t="s">
        <v>4212</v>
      </c>
      <c r="F3195" t="s">
        <v>9</v>
      </c>
    </row>
    <row r="3196" spans="1:6" x14ac:dyDescent="0.3">
      <c r="A3196" t="s">
        <v>712</v>
      </c>
      <c r="B3196" t="s">
        <v>713</v>
      </c>
      <c r="C3196" t="str">
        <f>HYPERLINK("http://service.sap.com/sap/support/notes/1970176","1970176")</f>
        <v>1970176</v>
      </c>
      <c r="D3196">
        <v>2</v>
      </c>
      <c r="E3196" t="s">
        <v>4213</v>
      </c>
      <c r="F3196" t="s">
        <v>9</v>
      </c>
    </row>
    <row r="3197" spans="1:6" x14ac:dyDescent="0.3">
      <c r="A3197" t="s">
        <v>712</v>
      </c>
      <c r="B3197" t="s">
        <v>713</v>
      </c>
      <c r="C3197" t="str">
        <f>HYPERLINK("http://service.sap.com/sap/support/notes/1970335","1970335")</f>
        <v>1970335</v>
      </c>
      <c r="D3197">
        <v>2</v>
      </c>
      <c r="E3197" t="s">
        <v>4214</v>
      </c>
      <c r="F3197" t="s">
        <v>9</v>
      </c>
    </row>
    <row r="3198" spans="1:6" x14ac:dyDescent="0.3">
      <c r="A3198" t="s">
        <v>712</v>
      </c>
      <c r="B3198" t="s">
        <v>713</v>
      </c>
      <c r="C3198" t="str">
        <f>HYPERLINK("http://service.sap.com/sap/support/notes/2006550","2006550")</f>
        <v>2006550</v>
      </c>
      <c r="D3198">
        <v>5</v>
      </c>
      <c r="E3198" t="s">
        <v>4215</v>
      </c>
      <c r="F3198" t="s">
        <v>9</v>
      </c>
    </row>
    <row r="3199" spans="1:6" x14ac:dyDescent="0.3">
      <c r="A3199" t="s">
        <v>712</v>
      </c>
      <c r="B3199" t="s">
        <v>713</v>
      </c>
      <c r="C3199" t="str">
        <f>HYPERLINK("http://service.sap.com/sap/support/notes/2006651","2006651")</f>
        <v>2006651</v>
      </c>
      <c r="D3199">
        <v>3</v>
      </c>
      <c r="E3199" t="s">
        <v>4216</v>
      </c>
      <c r="F3199" t="s">
        <v>9</v>
      </c>
    </row>
    <row r="3200" spans="1:6" x14ac:dyDescent="0.3">
      <c r="A3200" t="s">
        <v>712</v>
      </c>
      <c r="B3200" t="s">
        <v>713</v>
      </c>
      <c r="C3200" t="str">
        <f>HYPERLINK("http://service.sap.com/sap/support/notes/2010321","2010321")</f>
        <v>2010321</v>
      </c>
      <c r="D3200">
        <v>2</v>
      </c>
      <c r="E3200" t="s">
        <v>4217</v>
      </c>
      <c r="F3200" t="s">
        <v>9</v>
      </c>
    </row>
    <row r="3201" spans="1:6" x14ac:dyDescent="0.3">
      <c r="A3201" t="s">
        <v>712</v>
      </c>
      <c r="B3201" t="s">
        <v>713</v>
      </c>
      <c r="C3201" t="str">
        <f>HYPERLINK("http://service.sap.com/sap/support/notes/2011489","2011489")</f>
        <v>2011489</v>
      </c>
      <c r="D3201">
        <v>1</v>
      </c>
      <c r="E3201" t="s">
        <v>4218</v>
      </c>
      <c r="F3201" t="s">
        <v>9</v>
      </c>
    </row>
    <row r="3202" spans="1:6" x14ac:dyDescent="0.3">
      <c r="A3202" t="s">
        <v>712</v>
      </c>
      <c r="B3202" t="s">
        <v>713</v>
      </c>
      <c r="C3202" t="str">
        <f>HYPERLINK("http://service.sap.com/sap/support/notes/2012127","2012127")</f>
        <v>2012127</v>
      </c>
      <c r="D3202">
        <v>2</v>
      </c>
      <c r="E3202" t="s">
        <v>4219</v>
      </c>
      <c r="F3202" t="s">
        <v>9</v>
      </c>
    </row>
    <row r="3203" spans="1:6" x14ac:dyDescent="0.3">
      <c r="A3203" t="s">
        <v>712</v>
      </c>
      <c r="B3203" t="s">
        <v>713</v>
      </c>
      <c r="C3203" t="str">
        <f>HYPERLINK("http://service.sap.com/sap/support/notes/2012530","2012530")</f>
        <v>2012530</v>
      </c>
      <c r="D3203">
        <v>1</v>
      </c>
      <c r="E3203" t="s">
        <v>4220</v>
      </c>
      <c r="F3203" t="s">
        <v>9</v>
      </c>
    </row>
    <row r="3204" spans="1:6" x14ac:dyDescent="0.3">
      <c r="A3204" t="s">
        <v>712</v>
      </c>
      <c r="B3204" t="s">
        <v>713</v>
      </c>
      <c r="C3204" t="str">
        <f>HYPERLINK("http://service.sap.com/sap/support/notes/2012574","2012574")</f>
        <v>2012574</v>
      </c>
      <c r="D3204">
        <v>2</v>
      </c>
      <c r="E3204" t="s">
        <v>4221</v>
      </c>
      <c r="F3204" t="s">
        <v>9</v>
      </c>
    </row>
    <row r="3205" spans="1:6" x14ac:dyDescent="0.3">
      <c r="A3205" t="s">
        <v>712</v>
      </c>
      <c r="B3205" t="s">
        <v>713</v>
      </c>
      <c r="C3205" t="str">
        <f>HYPERLINK("http://service.sap.com/sap/support/notes/2012801","2012801")</f>
        <v>2012801</v>
      </c>
      <c r="D3205">
        <v>1</v>
      </c>
      <c r="E3205" t="s">
        <v>4222</v>
      </c>
      <c r="F3205" t="s">
        <v>16</v>
      </c>
    </row>
    <row r="3206" spans="1:6" x14ac:dyDescent="0.3">
      <c r="A3206" t="s">
        <v>712</v>
      </c>
      <c r="B3206" t="s">
        <v>713</v>
      </c>
      <c r="C3206" t="str">
        <f>HYPERLINK("http://service.sap.com/sap/support/notes/2012913","2012913")</f>
        <v>2012913</v>
      </c>
      <c r="D3206">
        <v>8</v>
      </c>
      <c r="E3206" t="s">
        <v>4223</v>
      </c>
      <c r="F3206" t="s">
        <v>9</v>
      </c>
    </row>
    <row r="3207" spans="1:6" x14ac:dyDescent="0.3">
      <c r="A3207" t="s">
        <v>712</v>
      </c>
      <c r="B3207" t="s">
        <v>713</v>
      </c>
      <c r="C3207" t="str">
        <f>HYPERLINK("http://service.sap.com/sap/support/notes/2013379","2013379")</f>
        <v>2013379</v>
      </c>
      <c r="D3207">
        <v>1</v>
      </c>
      <c r="E3207" t="s">
        <v>4224</v>
      </c>
      <c r="F3207" t="s">
        <v>9</v>
      </c>
    </row>
    <row r="3208" spans="1:6" x14ac:dyDescent="0.3">
      <c r="A3208" t="s">
        <v>712</v>
      </c>
      <c r="B3208" t="s">
        <v>713</v>
      </c>
      <c r="C3208" t="str">
        <f>HYPERLINK("http://service.sap.com/sap/support/notes/2014858","2014858")</f>
        <v>2014858</v>
      </c>
      <c r="D3208">
        <v>2</v>
      </c>
      <c r="E3208" t="s">
        <v>4225</v>
      </c>
      <c r="F3208" t="s">
        <v>9</v>
      </c>
    </row>
    <row r="3209" spans="1:6" x14ac:dyDescent="0.3">
      <c r="A3209" t="s">
        <v>712</v>
      </c>
      <c r="B3209" t="s">
        <v>713</v>
      </c>
      <c r="C3209" t="str">
        <f>HYPERLINK("http://service.sap.com/sap/support/notes/2015256","2015256")</f>
        <v>2015256</v>
      </c>
      <c r="D3209">
        <v>1</v>
      </c>
      <c r="E3209" t="s">
        <v>4226</v>
      </c>
      <c r="F3209" t="s">
        <v>9</v>
      </c>
    </row>
    <row r="3210" spans="1:6" x14ac:dyDescent="0.3">
      <c r="A3210" t="s">
        <v>712</v>
      </c>
      <c r="B3210" t="s">
        <v>713</v>
      </c>
      <c r="C3210" t="str">
        <f>HYPERLINK("http://service.sap.com/sap/support/notes/2015690","2015690")</f>
        <v>2015690</v>
      </c>
      <c r="D3210">
        <v>1</v>
      </c>
      <c r="E3210" t="s">
        <v>4227</v>
      </c>
      <c r="F3210" t="s">
        <v>28</v>
      </c>
    </row>
    <row r="3211" spans="1:6" x14ac:dyDescent="0.3">
      <c r="A3211" t="s">
        <v>712</v>
      </c>
      <c r="B3211" t="s">
        <v>713</v>
      </c>
      <c r="C3211" t="str">
        <f>HYPERLINK("http://service.sap.com/sap/support/notes/2015996","2015996")</f>
        <v>2015996</v>
      </c>
      <c r="D3211">
        <v>1</v>
      </c>
      <c r="E3211" t="s">
        <v>4228</v>
      </c>
      <c r="F3211" t="s">
        <v>9</v>
      </c>
    </row>
    <row r="3212" spans="1:6" x14ac:dyDescent="0.3">
      <c r="A3212" t="s">
        <v>712</v>
      </c>
      <c r="B3212" t="s">
        <v>713</v>
      </c>
      <c r="C3212" t="str">
        <f>HYPERLINK("http://service.sap.com/sap/support/notes/2016031","2016031")</f>
        <v>2016031</v>
      </c>
      <c r="D3212">
        <v>1</v>
      </c>
      <c r="E3212" t="s">
        <v>4229</v>
      </c>
      <c r="F3212" t="s">
        <v>9</v>
      </c>
    </row>
    <row r="3213" spans="1:6" x14ac:dyDescent="0.3">
      <c r="A3213" t="s">
        <v>712</v>
      </c>
      <c r="B3213" t="s">
        <v>713</v>
      </c>
      <c r="C3213" t="str">
        <f>HYPERLINK("http://service.sap.com/sap/support/notes/2017699","2017699")</f>
        <v>2017699</v>
      </c>
      <c r="D3213">
        <v>2</v>
      </c>
      <c r="E3213" t="s">
        <v>4230</v>
      </c>
      <c r="F3213" t="s">
        <v>9</v>
      </c>
    </row>
    <row r="3214" spans="1:6" x14ac:dyDescent="0.3">
      <c r="A3214" t="s">
        <v>712</v>
      </c>
      <c r="B3214" t="s">
        <v>713</v>
      </c>
      <c r="C3214" t="str">
        <f>HYPERLINK("http://service.sap.com/sap/support/notes/2019729","2019729")</f>
        <v>2019729</v>
      </c>
      <c r="D3214">
        <v>1</v>
      </c>
      <c r="E3214" t="s">
        <v>4231</v>
      </c>
      <c r="F3214" t="s">
        <v>9</v>
      </c>
    </row>
    <row r="3215" spans="1:6" x14ac:dyDescent="0.3">
      <c r="A3215" t="s">
        <v>712</v>
      </c>
      <c r="B3215" t="s">
        <v>713</v>
      </c>
      <c r="C3215" t="str">
        <f>HYPERLINK("http://service.sap.com/sap/support/notes/2019999","2019999")</f>
        <v>2019999</v>
      </c>
      <c r="D3215">
        <v>1</v>
      </c>
      <c r="E3215" t="s">
        <v>4232</v>
      </c>
      <c r="F3215" t="s">
        <v>9</v>
      </c>
    </row>
    <row r="3216" spans="1:6" x14ac:dyDescent="0.3">
      <c r="A3216" t="s">
        <v>712</v>
      </c>
      <c r="B3216" t="s">
        <v>713</v>
      </c>
      <c r="C3216" t="str">
        <f>HYPERLINK("http://service.sap.com/sap/support/notes/2020882","2020882")</f>
        <v>2020882</v>
      </c>
      <c r="D3216">
        <v>2</v>
      </c>
      <c r="E3216" t="s">
        <v>4233</v>
      </c>
      <c r="F3216" t="s">
        <v>9</v>
      </c>
    </row>
    <row r="3217" spans="1:6" x14ac:dyDescent="0.3">
      <c r="A3217" t="s">
        <v>712</v>
      </c>
      <c r="B3217" t="s">
        <v>713</v>
      </c>
      <c r="C3217" t="str">
        <f>HYPERLINK("http://service.sap.com/sap/support/notes/1969211","1969211")</f>
        <v>1969211</v>
      </c>
      <c r="D3217">
        <v>1</v>
      </c>
      <c r="E3217" t="s">
        <v>4552</v>
      </c>
      <c r="F3217" t="s">
        <v>16</v>
      </c>
    </row>
    <row r="3218" spans="1:6" x14ac:dyDescent="0.3">
      <c r="A3218" t="s">
        <v>712</v>
      </c>
      <c r="B3218" t="s">
        <v>713</v>
      </c>
      <c r="C3218" t="str">
        <f>HYPERLINK("http://service.sap.com/sap/support/notes/1992269","1992269")</f>
        <v>1992269</v>
      </c>
      <c r="D3218">
        <v>3</v>
      </c>
      <c r="E3218" t="s">
        <v>4553</v>
      </c>
      <c r="F3218" t="s">
        <v>9</v>
      </c>
    </row>
    <row r="3219" spans="1:6" x14ac:dyDescent="0.3">
      <c r="A3219" t="s">
        <v>712</v>
      </c>
      <c r="B3219" t="s">
        <v>713</v>
      </c>
      <c r="C3219" t="str">
        <f>HYPERLINK("http://service.sap.com/sap/support/notes/1998126","1998126")</f>
        <v>1998126</v>
      </c>
      <c r="D3219">
        <v>3</v>
      </c>
      <c r="E3219" t="s">
        <v>4554</v>
      </c>
      <c r="F3219" t="s">
        <v>9</v>
      </c>
    </row>
    <row r="3220" spans="1:6" x14ac:dyDescent="0.3">
      <c r="A3220" t="s">
        <v>712</v>
      </c>
      <c r="B3220" t="s">
        <v>713</v>
      </c>
      <c r="C3220" t="str">
        <f>HYPERLINK("http://service.sap.com/sap/support/notes/2017767","2017767")</f>
        <v>2017767</v>
      </c>
      <c r="D3220">
        <v>1</v>
      </c>
      <c r="E3220" t="s">
        <v>4555</v>
      </c>
      <c r="F3220" t="s">
        <v>9</v>
      </c>
    </row>
    <row r="3221" spans="1:6" x14ac:dyDescent="0.3">
      <c r="A3221" t="s">
        <v>712</v>
      </c>
      <c r="B3221" t="s">
        <v>713</v>
      </c>
      <c r="C3221" t="str">
        <f>HYPERLINK("http://service.sap.com/sap/support/notes/2018835","2018835")</f>
        <v>2018835</v>
      </c>
      <c r="D3221">
        <v>1</v>
      </c>
      <c r="E3221" t="s">
        <v>4556</v>
      </c>
      <c r="F3221" t="s">
        <v>9</v>
      </c>
    </row>
    <row r="3222" spans="1:6" x14ac:dyDescent="0.3">
      <c r="A3222" t="s">
        <v>712</v>
      </c>
      <c r="B3222" t="s">
        <v>713</v>
      </c>
      <c r="C3222" t="str">
        <f>HYPERLINK("http://service.sap.com/sap/support/notes/2021999","2021999")</f>
        <v>2021999</v>
      </c>
      <c r="D3222">
        <v>1</v>
      </c>
      <c r="E3222" t="s">
        <v>4557</v>
      </c>
      <c r="F3222" t="s">
        <v>9</v>
      </c>
    </row>
    <row r="3223" spans="1:6" x14ac:dyDescent="0.3">
      <c r="A3223" t="s">
        <v>712</v>
      </c>
      <c r="B3223" t="s">
        <v>713</v>
      </c>
      <c r="C3223" t="str">
        <f>HYPERLINK("http://service.sap.com/sap/support/notes/2022168","2022168")</f>
        <v>2022168</v>
      </c>
      <c r="D3223">
        <v>1</v>
      </c>
      <c r="E3223" t="s">
        <v>4558</v>
      </c>
      <c r="F3223" t="s">
        <v>9</v>
      </c>
    </row>
    <row r="3224" spans="1:6" x14ac:dyDescent="0.3">
      <c r="A3224" t="s">
        <v>712</v>
      </c>
      <c r="B3224" t="s">
        <v>713</v>
      </c>
      <c r="C3224" t="str">
        <f>HYPERLINK("http://service.sap.com/sap/support/notes/2025431","2025431")</f>
        <v>2025431</v>
      </c>
      <c r="D3224">
        <v>1</v>
      </c>
      <c r="E3224" t="s">
        <v>4559</v>
      </c>
      <c r="F3224" t="s">
        <v>16</v>
      </c>
    </row>
    <row r="3225" spans="1:6" x14ac:dyDescent="0.3">
      <c r="A3225" t="s">
        <v>712</v>
      </c>
      <c r="B3225" t="s">
        <v>713</v>
      </c>
      <c r="C3225" t="str">
        <f>HYPERLINK("http://service.sap.com/sap/support/notes/2025802","2025802")</f>
        <v>2025802</v>
      </c>
      <c r="D3225">
        <v>2</v>
      </c>
      <c r="E3225" t="s">
        <v>4560</v>
      </c>
      <c r="F3225" t="s">
        <v>9</v>
      </c>
    </row>
    <row r="3226" spans="1:6" x14ac:dyDescent="0.3">
      <c r="A3226" t="s">
        <v>712</v>
      </c>
      <c r="B3226" t="s">
        <v>713</v>
      </c>
      <c r="C3226" t="str">
        <f>HYPERLINK("http://service.sap.com/sap/support/notes/2026933","2026933")</f>
        <v>2026933</v>
      </c>
      <c r="D3226">
        <v>1</v>
      </c>
      <c r="E3226" t="s">
        <v>4561</v>
      </c>
      <c r="F3226" t="s">
        <v>9</v>
      </c>
    </row>
    <row r="3227" spans="1:6" x14ac:dyDescent="0.3">
      <c r="A3227" t="s">
        <v>712</v>
      </c>
      <c r="B3227" t="s">
        <v>713</v>
      </c>
      <c r="C3227" t="str">
        <f>HYPERLINK("http://service.sap.com/sap/support/notes/2028889","2028889")</f>
        <v>2028889</v>
      </c>
      <c r="D3227">
        <v>6</v>
      </c>
      <c r="E3227" t="s">
        <v>4562</v>
      </c>
      <c r="F3227" t="s">
        <v>28</v>
      </c>
    </row>
    <row r="3228" spans="1:6" x14ac:dyDescent="0.3">
      <c r="A3228" t="s">
        <v>712</v>
      </c>
      <c r="B3228" t="s">
        <v>713</v>
      </c>
      <c r="C3228" t="str">
        <f>HYPERLINK("http://service.sap.com/sap/support/notes/2029871","2029871")</f>
        <v>2029871</v>
      </c>
      <c r="D3228">
        <v>1</v>
      </c>
      <c r="E3228" t="s">
        <v>4563</v>
      </c>
      <c r="F3228" t="s">
        <v>9</v>
      </c>
    </row>
    <row r="3229" spans="1:6" x14ac:dyDescent="0.3">
      <c r="A3229" t="s">
        <v>712</v>
      </c>
      <c r="B3229" t="s">
        <v>713</v>
      </c>
      <c r="C3229" t="str">
        <f>HYPERLINK("http://service.sap.com/sap/support/notes/2030285","2030285")</f>
        <v>2030285</v>
      </c>
      <c r="D3229">
        <v>3</v>
      </c>
      <c r="E3229" t="s">
        <v>4564</v>
      </c>
      <c r="F3229" t="s">
        <v>9</v>
      </c>
    </row>
    <row r="3230" spans="1:6" x14ac:dyDescent="0.3">
      <c r="A3230" t="s">
        <v>712</v>
      </c>
      <c r="B3230" t="s">
        <v>713</v>
      </c>
      <c r="C3230" t="str">
        <f>HYPERLINK("http://service.sap.com/sap/support/notes/2030303","2030303")</f>
        <v>2030303</v>
      </c>
      <c r="D3230">
        <v>1</v>
      </c>
      <c r="E3230" t="s">
        <v>4565</v>
      </c>
      <c r="F3230" t="s">
        <v>9</v>
      </c>
    </row>
    <row r="3231" spans="1:6" x14ac:dyDescent="0.3">
      <c r="A3231" t="s">
        <v>712</v>
      </c>
      <c r="B3231" t="s">
        <v>713</v>
      </c>
      <c r="C3231" t="str">
        <f>HYPERLINK("http://service.sap.com/sap/support/notes/2030705","2030705")</f>
        <v>2030705</v>
      </c>
      <c r="D3231">
        <v>1</v>
      </c>
      <c r="E3231" t="s">
        <v>4566</v>
      </c>
      <c r="F3231" t="s">
        <v>9</v>
      </c>
    </row>
    <row r="3232" spans="1:6" x14ac:dyDescent="0.3">
      <c r="A3232" t="s">
        <v>712</v>
      </c>
      <c r="B3232" t="s">
        <v>713</v>
      </c>
      <c r="C3232" t="str">
        <f>HYPERLINK("http://service.sap.com/sap/support/notes/2031327","2031327")</f>
        <v>2031327</v>
      </c>
      <c r="D3232">
        <v>1</v>
      </c>
      <c r="E3232" t="s">
        <v>4567</v>
      </c>
      <c r="F3232" t="s">
        <v>9</v>
      </c>
    </row>
    <row r="3233" spans="1:6" x14ac:dyDescent="0.3">
      <c r="A3233" t="s">
        <v>712</v>
      </c>
      <c r="B3233" t="s">
        <v>713</v>
      </c>
      <c r="C3233" t="str">
        <f>HYPERLINK("http://service.sap.com/sap/support/notes/2032426","2032426")</f>
        <v>2032426</v>
      </c>
      <c r="D3233">
        <v>2</v>
      </c>
      <c r="E3233" t="s">
        <v>4568</v>
      </c>
      <c r="F3233" t="s">
        <v>9</v>
      </c>
    </row>
    <row r="3234" spans="1:6" x14ac:dyDescent="0.3">
      <c r="A3234" t="s">
        <v>712</v>
      </c>
      <c r="B3234" t="s">
        <v>713</v>
      </c>
      <c r="C3234" t="str">
        <f>HYPERLINK("http://service.sap.com/sap/support/notes/2033036","2033036")</f>
        <v>2033036</v>
      </c>
      <c r="D3234">
        <v>1</v>
      </c>
      <c r="E3234" t="s">
        <v>4569</v>
      </c>
      <c r="F3234" t="s">
        <v>9</v>
      </c>
    </row>
    <row r="3235" spans="1:6" x14ac:dyDescent="0.3">
      <c r="A3235" t="s">
        <v>712</v>
      </c>
      <c r="B3235" t="s">
        <v>713</v>
      </c>
      <c r="C3235" t="str">
        <f>HYPERLINK("http://service.sap.com/sap/support/notes/2015910","2015910")</f>
        <v>2015910</v>
      </c>
      <c r="D3235">
        <v>1</v>
      </c>
      <c r="E3235" t="s">
        <v>4880</v>
      </c>
      <c r="F3235" t="s">
        <v>9</v>
      </c>
    </row>
    <row r="3236" spans="1:6" x14ac:dyDescent="0.3">
      <c r="A3236" t="s">
        <v>712</v>
      </c>
      <c r="B3236" t="s">
        <v>713</v>
      </c>
      <c r="C3236" t="str">
        <f>HYPERLINK("http://service.sap.com/sap/support/notes/2020476","2020476")</f>
        <v>2020476</v>
      </c>
      <c r="D3236">
        <v>5</v>
      </c>
      <c r="E3236" t="s">
        <v>4881</v>
      </c>
      <c r="F3236" t="s">
        <v>9</v>
      </c>
    </row>
    <row r="3237" spans="1:6" x14ac:dyDescent="0.3">
      <c r="A3237" t="s">
        <v>712</v>
      </c>
      <c r="B3237" t="s">
        <v>713</v>
      </c>
      <c r="C3237" t="str">
        <f>HYPERLINK("http://service.sap.com/sap/support/notes/2027872","2027872")</f>
        <v>2027872</v>
      </c>
      <c r="D3237">
        <v>1</v>
      </c>
      <c r="E3237" t="s">
        <v>4882</v>
      </c>
      <c r="F3237" t="s">
        <v>9</v>
      </c>
    </row>
    <row r="3238" spans="1:6" x14ac:dyDescent="0.3">
      <c r="A3238" t="s">
        <v>712</v>
      </c>
      <c r="B3238" t="s">
        <v>713</v>
      </c>
      <c r="C3238" t="str">
        <f>HYPERLINK("http://service.sap.com/sap/support/notes/2029277","2029277")</f>
        <v>2029277</v>
      </c>
      <c r="D3238">
        <v>1</v>
      </c>
      <c r="E3238" t="s">
        <v>4883</v>
      </c>
      <c r="F3238" t="s">
        <v>16</v>
      </c>
    </row>
    <row r="3239" spans="1:6" x14ac:dyDescent="0.3">
      <c r="A3239" t="s">
        <v>712</v>
      </c>
      <c r="B3239" t="s">
        <v>713</v>
      </c>
      <c r="C3239" t="str">
        <f>HYPERLINK("http://service.sap.com/sap/support/notes/2030443","2030443")</f>
        <v>2030443</v>
      </c>
      <c r="D3239">
        <v>7</v>
      </c>
      <c r="E3239" t="s">
        <v>4884</v>
      </c>
      <c r="F3239" t="s">
        <v>9</v>
      </c>
    </row>
    <row r="3240" spans="1:6" x14ac:dyDescent="0.3">
      <c r="A3240" t="s">
        <v>712</v>
      </c>
      <c r="B3240" t="s">
        <v>713</v>
      </c>
      <c r="C3240" t="str">
        <f>HYPERLINK("http://service.sap.com/sap/support/notes/2033025","2033025")</f>
        <v>2033025</v>
      </c>
      <c r="D3240">
        <v>1</v>
      </c>
      <c r="E3240" t="s">
        <v>4885</v>
      </c>
      <c r="F3240" t="s">
        <v>9</v>
      </c>
    </row>
    <row r="3241" spans="1:6" x14ac:dyDescent="0.3">
      <c r="A3241" t="s">
        <v>712</v>
      </c>
      <c r="B3241" t="s">
        <v>713</v>
      </c>
      <c r="C3241" t="str">
        <f>HYPERLINK("http://service.sap.com/sap/support/notes/2033036","2033036")</f>
        <v>2033036</v>
      </c>
      <c r="D3241">
        <v>1</v>
      </c>
      <c r="E3241" t="s">
        <v>4569</v>
      </c>
      <c r="F3241" t="s">
        <v>9</v>
      </c>
    </row>
    <row r="3242" spans="1:6" x14ac:dyDescent="0.3">
      <c r="A3242" t="s">
        <v>712</v>
      </c>
      <c r="B3242" t="s">
        <v>713</v>
      </c>
      <c r="C3242" t="str">
        <f>HYPERLINK("http://service.sap.com/sap/support/notes/2033993","2033993")</f>
        <v>2033993</v>
      </c>
      <c r="D3242">
        <v>6</v>
      </c>
      <c r="E3242" t="s">
        <v>4886</v>
      </c>
      <c r="F3242" t="s">
        <v>9</v>
      </c>
    </row>
    <row r="3243" spans="1:6" x14ac:dyDescent="0.3">
      <c r="A3243" t="s">
        <v>712</v>
      </c>
      <c r="B3243" t="s">
        <v>713</v>
      </c>
      <c r="C3243" t="str">
        <f>HYPERLINK("http://service.sap.com/sap/support/notes/2034075","2034075")</f>
        <v>2034075</v>
      </c>
      <c r="D3243">
        <v>1</v>
      </c>
      <c r="E3243" t="s">
        <v>4887</v>
      </c>
      <c r="F3243" t="s">
        <v>9</v>
      </c>
    </row>
    <row r="3244" spans="1:6" x14ac:dyDescent="0.3">
      <c r="A3244" t="s">
        <v>712</v>
      </c>
      <c r="B3244" t="s">
        <v>713</v>
      </c>
      <c r="C3244" t="str">
        <f>HYPERLINK("http://service.sap.com/sap/support/notes/2034335","2034335")</f>
        <v>2034335</v>
      </c>
      <c r="D3244">
        <v>1</v>
      </c>
      <c r="E3244" t="s">
        <v>4888</v>
      </c>
      <c r="F3244" t="s">
        <v>16</v>
      </c>
    </row>
    <row r="3245" spans="1:6" x14ac:dyDescent="0.3">
      <c r="A3245" t="s">
        <v>712</v>
      </c>
      <c r="B3245" t="s">
        <v>713</v>
      </c>
      <c r="C3245" t="str">
        <f>HYPERLINK("http://service.sap.com/sap/support/notes/2034573","2034573")</f>
        <v>2034573</v>
      </c>
      <c r="D3245">
        <v>1</v>
      </c>
      <c r="E3245" t="s">
        <v>4889</v>
      </c>
      <c r="F3245" t="s">
        <v>16</v>
      </c>
    </row>
    <row r="3246" spans="1:6" x14ac:dyDescent="0.3">
      <c r="A3246" t="s">
        <v>712</v>
      </c>
      <c r="B3246" t="s">
        <v>713</v>
      </c>
      <c r="C3246" t="str">
        <f>HYPERLINK("http://service.sap.com/sap/support/notes/2036948","2036948")</f>
        <v>2036948</v>
      </c>
      <c r="D3246">
        <v>2</v>
      </c>
      <c r="E3246" t="s">
        <v>4890</v>
      </c>
      <c r="F3246" t="s">
        <v>16</v>
      </c>
    </row>
    <row r="3247" spans="1:6" x14ac:dyDescent="0.3">
      <c r="A3247" t="s">
        <v>712</v>
      </c>
      <c r="B3247" t="s">
        <v>713</v>
      </c>
      <c r="C3247" t="str">
        <f>HYPERLINK("http://service.sap.com/sap/support/notes/2037624","2037624")</f>
        <v>2037624</v>
      </c>
      <c r="D3247">
        <v>3</v>
      </c>
      <c r="E3247" t="s">
        <v>4891</v>
      </c>
      <c r="F3247" t="s">
        <v>9</v>
      </c>
    </row>
    <row r="3248" spans="1:6" x14ac:dyDescent="0.3">
      <c r="A3248" t="s">
        <v>712</v>
      </c>
      <c r="B3248" t="s">
        <v>713</v>
      </c>
      <c r="C3248" t="str">
        <f>HYPERLINK("http://service.sap.com/sap/support/notes/2037746","2037746")</f>
        <v>2037746</v>
      </c>
      <c r="D3248">
        <v>5</v>
      </c>
      <c r="E3248" t="s">
        <v>4892</v>
      </c>
      <c r="F3248" t="s">
        <v>9</v>
      </c>
    </row>
    <row r="3249" spans="1:6" x14ac:dyDescent="0.3">
      <c r="A3249" t="s">
        <v>712</v>
      </c>
      <c r="B3249" t="s">
        <v>713</v>
      </c>
      <c r="C3249" t="str">
        <f>HYPERLINK("http://service.sap.com/sap/support/notes/2038007","2038007")</f>
        <v>2038007</v>
      </c>
      <c r="D3249">
        <v>3</v>
      </c>
      <c r="E3249" t="s">
        <v>4893</v>
      </c>
      <c r="F3249" t="s">
        <v>9</v>
      </c>
    </row>
    <row r="3250" spans="1:6" x14ac:dyDescent="0.3">
      <c r="A3250" t="s">
        <v>712</v>
      </c>
      <c r="B3250" t="s">
        <v>713</v>
      </c>
      <c r="C3250" t="str">
        <f>HYPERLINK("http://service.sap.com/sap/support/notes/2038551","2038551")</f>
        <v>2038551</v>
      </c>
      <c r="D3250">
        <v>1</v>
      </c>
      <c r="E3250" t="s">
        <v>4894</v>
      </c>
      <c r="F3250" t="s">
        <v>9</v>
      </c>
    </row>
    <row r="3251" spans="1:6" x14ac:dyDescent="0.3">
      <c r="A3251" t="s">
        <v>712</v>
      </c>
      <c r="B3251" t="s">
        <v>713</v>
      </c>
      <c r="C3251" t="str">
        <f>HYPERLINK("http://service.sap.com/sap/support/notes/2039691","2039691")</f>
        <v>2039691</v>
      </c>
      <c r="D3251">
        <v>1</v>
      </c>
      <c r="E3251" t="s">
        <v>4895</v>
      </c>
      <c r="F3251" t="s">
        <v>16</v>
      </c>
    </row>
    <row r="3252" spans="1:6" x14ac:dyDescent="0.3">
      <c r="A3252" t="s">
        <v>712</v>
      </c>
      <c r="B3252" t="s">
        <v>713</v>
      </c>
      <c r="C3252" t="str">
        <f>HYPERLINK("http://service.sap.com/sap/support/notes/2040102","2040102")</f>
        <v>2040102</v>
      </c>
      <c r="D3252">
        <v>2</v>
      </c>
      <c r="E3252" t="s">
        <v>4896</v>
      </c>
      <c r="F3252" t="s">
        <v>9</v>
      </c>
    </row>
    <row r="3253" spans="1:6" x14ac:dyDescent="0.3">
      <c r="A3253" t="s">
        <v>712</v>
      </c>
      <c r="B3253" t="s">
        <v>713</v>
      </c>
      <c r="C3253" t="str">
        <f>HYPERLINK("http://service.sap.com/sap/support/notes/2040554","2040554")</f>
        <v>2040554</v>
      </c>
      <c r="D3253">
        <v>1</v>
      </c>
      <c r="E3253" t="s">
        <v>4897</v>
      </c>
      <c r="F3253" t="s">
        <v>9</v>
      </c>
    </row>
    <row r="3254" spans="1:6" x14ac:dyDescent="0.3">
      <c r="A3254" t="s">
        <v>712</v>
      </c>
      <c r="B3254" t="s">
        <v>713</v>
      </c>
      <c r="C3254" t="str">
        <f>HYPERLINK("http://service.sap.com/sap/support/notes/2040594","2040594")</f>
        <v>2040594</v>
      </c>
      <c r="D3254">
        <v>2</v>
      </c>
      <c r="E3254" t="s">
        <v>4898</v>
      </c>
      <c r="F3254" t="s">
        <v>9</v>
      </c>
    </row>
    <row r="3255" spans="1:6" x14ac:dyDescent="0.3">
      <c r="A3255" t="s">
        <v>712</v>
      </c>
      <c r="B3255" t="s">
        <v>713</v>
      </c>
      <c r="C3255" t="str">
        <f>HYPERLINK("http://service.sap.com/sap/support/notes/2042247","2042247")</f>
        <v>2042247</v>
      </c>
      <c r="D3255">
        <v>1</v>
      </c>
      <c r="E3255" t="s">
        <v>4899</v>
      </c>
      <c r="F3255" t="s">
        <v>16</v>
      </c>
    </row>
    <row r="3256" spans="1:6" x14ac:dyDescent="0.3">
      <c r="A3256" t="s">
        <v>712</v>
      </c>
      <c r="B3256" t="s">
        <v>713</v>
      </c>
      <c r="C3256" t="str">
        <f>HYPERLINK("http://service.sap.com/sap/support/notes/2044387","2044387")</f>
        <v>2044387</v>
      </c>
      <c r="D3256">
        <v>1</v>
      </c>
      <c r="E3256" t="s">
        <v>4900</v>
      </c>
      <c r="F3256" t="s">
        <v>9</v>
      </c>
    </row>
    <row r="3257" spans="1:6" x14ac:dyDescent="0.3">
      <c r="A3257" t="s">
        <v>712</v>
      </c>
      <c r="B3257" t="s">
        <v>713</v>
      </c>
      <c r="C3257" t="str">
        <f>HYPERLINK("http://service.sap.com/sap/support/notes/2044612","2044612")</f>
        <v>2044612</v>
      </c>
      <c r="D3257">
        <v>1</v>
      </c>
      <c r="E3257" t="s">
        <v>4901</v>
      </c>
      <c r="F3257" t="s">
        <v>9</v>
      </c>
    </row>
    <row r="3258" spans="1:6" x14ac:dyDescent="0.3">
      <c r="A3258" t="s">
        <v>712</v>
      </c>
      <c r="B3258" t="s">
        <v>713</v>
      </c>
      <c r="C3258" t="str">
        <f>HYPERLINK("http://service.sap.com/sap/support/notes/1772171","1772171")</f>
        <v>1772171</v>
      </c>
      <c r="D3258">
        <v>2</v>
      </c>
      <c r="E3258" t="s">
        <v>5253</v>
      </c>
      <c r="F3258" t="s">
        <v>28</v>
      </c>
    </row>
    <row r="3259" spans="1:6" x14ac:dyDescent="0.3">
      <c r="A3259" t="s">
        <v>712</v>
      </c>
      <c r="B3259" t="s">
        <v>713</v>
      </c>
      <c r="C3259" t="str">
        <f>HYPERLINK("http://service.sap.com/sap/support/notes/1990285","1990285")</f>
        <v>1990285</v>
      </c>
      <c r="D3259">
        <v>2</v>
      </c>
      <c r="E3259" t="s">
        <v>5254</v>
      </c>
      <c r="F3259" t="s">
        <v>9</v>
      </c>
    </row>
    <row r="3260" spans="1:6" x14ac:dyDescent="0.3">
      <c r="A3260" t="s">
        <v>712</v>
      </c>
      <c r="B3260" t="s">
        <v>713</v>
      </c>
      <c r="C3260" t="str">
        <f>HYPERLINK("http://service.sap.com/sap/support/notes/2037227","2037227")</f>
        <v>2037227</v>
      </c>
      <c r="D3260">
        <v>3</v>
      </c>
      <c r="E3260" t="s">
        <v>5255</v>
      </c>
      <c r="F3260" t="s">
        <v>9</v>
      </c>
    </row>
    <row r="3261" spans="1:6" x14ac:dyDescent="0.3">
      <c r="A3261" t="s">
        <v>712</v>
      </c>
      <c r="B3261" t="s">
        <v>713</v>
      </c>
      <c r="C3261" t="str">
        <f>HYPERLINK("http://service.sap.com/sap/support/notes/2045008","2045008")</f>
        <v>2045008</v>
      </c>
      <c r="D3261">
        <v>3</v>
      </c>
      <c r="E3261" t="s">
        <v>5256</v>
      </c>
      <c r="F3261" t="s">
        <v>9</v>
      </c>
    </row>
    <row r="3262" spans="1:6" x14ac:dyDescent="0.3">
      <c r="A3262" t="s">
        <v>712</v>
      </c>
      <c r="B3262" t="s">
        <v>713</v>
      </c>
      <c r="C3262" t="str">
        <f>HYPERLINK("http://service.sap.com/sap/support/notes/2047432","2047432")</f>
        <v>2047432</v>
      </c>
      <c r="D3262">
        <v>2</v>
      </c>
      <c r="E3262" t="s">
        <v>5257</v>
      </c>
      <c r="F3262" t="s">
        <v>16</v>
      </c>
    </row>
    <row r="3263" spans="1:6" x14ac:dyDescent="0.3">
      <c r="A3263" t="s">
        <v>712</v>
      </c>
      <c r="B3263" t="s">
        <v>713</v>
      </c>
      <c r="C3263" t="str">
        <f>HYPERLINK("http://service.sap.com/sap/support/notes/2048755","2048755")</f>
        <v>2048755</v>
      </c>
      <c r="D3263">
        <v>1</v>
      </c>
      <c r="E3263" t="s">
        <v>5258</v>
      </c>
      <c r="F3263" t="s">
        <v>9</v>
      </c>
    </row>
    <row r="3264" spans="1:6" x14ac:dyDescent="0.3">
      <c r="A3264" t="s">
        <v>712</v>
      </c>
      <c r="B3264" t="s">
        <v>713</v>
      </c>
      <c r="C3264" t="str">
        <f>HYPERLINK("http://service.sap.com/sap/support/notes/2049455","2049455")</f>
        <v>2049455</v>
      </c>
      <c r="D3264">
        <v>1</v>
      </c>
      <c r="E3264" t="s">
        <v>5259</v>
      </c>
      <c r="F3264" t="s">
        <v>9</v>
      </c>
    </row>
    <row r="3265" spans="1:6" x14ac:dyDescent="0.3">
      <c r="A3265" t="s">
        <v>712</v>
      </c>
      <c r="B3265" t="s">
        <v>713</v>
      </c>
      <c r="C3265" t="str">
        <f>HYPERLINK("http://service.sap.com/sap/support/notes/2050057","2050057")</f>
        <v>2050057</v>
      </c>
      <c r="D3265">
        <v>4</v>
      </c>
      <c r="E3265" t="s">
        <v>5260</v>
      </c>
      <c r="F3265" t="s">
        <v>9</v>
      </c>
    </row>
    <row r="3266" spans="1:6" x14ac:dyDescent="0.3">
      <c r="A3266" t="s">
        <v>712</v>
      </c>
      <c r="B3266" t="s">
        <v>713</v>
      </c>
      <c r="C3266" t="str">
        <f>HYPERLINK("http://service.sap.com/sap/support/notes/2051223","2051223")</f>
        <v>2051223</v>
      </c>
      <c r="D3266">
        <v>1</v>
      </c>
      <c r="E3266" t="s">
        <v>5261</v>
      </c>
      <c r="F3266" t="s">
        <v>9</v>
      </c>
    </row>
    <row r="3267" spans="1:6" x14ac:dyDescent="0.3">
      <c r="A3267" t="s">
        <v>712</v>
      </c>
      <c r="B3267" t="s">
        <v>713</v>
      </c>
      <c r="C3267" t="str">
        <f>HYPERLINK("http://service.sap.com/sap/support/notes/2053620","2053620")</f>
        <v>2053620</v>
      </c>
      <c r="D3267">
        <v>1</v>
      </c>
      <c r="E3267" t="s">
        <v>5262</v>
      </c>
      <c r="F3267" t="s">
        <v>9</v>
      </c>
    </row>
    <row r="3268" spans="1:6" x14ac:dyDescent="0.3">
      <c r="A3268" t="s">
        <v>712</v>
      </c>
      <c r="B3268" t="s">
        <v>713</v>
      </c>
      <c r="C3268" t="str">
        <f>HYPERLINK("http://service.sap.com/sap/support/notes/2054701","2054701")</f>
        <v>2054701</v>
      </c>
      <c r="D3268">
        <v>1</v>
      </c>
      <c r="E3268" t="s">
        <v>5263</v>
      </c>
      <c r="F3268" t="s">
        <v>9</v>
      </c>
    </row>
    <row r="3269" spans="1:6" x14ac:dyDescent="0.3">
      <c r="A3269" t="s">
        <v>712</v>
      </c>
      <c r="B3269" t="s">
        <v>713</v>
      </c>
      <c r="C3269" t="str">
        <f>HYPERLINK("http://service.sap.com/sap/support/notes/2054942","2054942")</f>
        <v>2054942</v>
      </c>
      <c r="D3269">
        <v>1</v>
      </c>
      <c r="E3269" t="s">
        <v>5264</v>
      </c>
      <c r="F3269" t="s">
        <v>9</v>
      </c>
    </row>
    <row r="3270" spans="1:6" x14ac:dyDescent="0.3">
      <c r="A3270" t="s">
        <v>712</v>
      </c>
      <c r="B3270" t="s">
        <v>713</v>
      </c>
      <c r="C3270" t="str">
        <f>HYPERLINK("http://service.sap.com/sap/support/notes/2040670","2040670")</f>
        <v>2040670</v>
      </c>
      <c r="D3270">
        <v>2</v>
      </c>
      <c r="E3270" t="s">
        <v>5582</v>
      </c>
      <c r="F3270" t="s">
        <v>9</v>
      </c>
    </row>
    <row r="3271" spans="1:6" x14ac:dyDescent="0.3">
      <c r="A3271" t="s">
        <v>712</v>
      </c>
      <c r="B3271" t="s">
        <v>713</v>
      </c>
      <c r="C3271" t="str">
        <f>HYPERLINK("http://service.sap.com/sap/support/notes/2059731","2059731")</f>
        <v>2059731</v>
      </c>
      <c r="D3271">
        <v>1</v>
      </c>
      <c r="E3271" t="s">
        <v>5583</v>
      </c>
      <c r="F3271" t="s">
        <v>9</v>
      </c>
    </row>
    <row r="3272" spans="1:6" x14ac:dyDescent="0.3">
      <c r="A3272" t="s">
        <v>712</v>
      </c>
      <c r="B3272" t="s">
        <v>713</v>
      </c>
      <c r="C3272" t="str">
        <f>HYPERLINK("http://service.sap.com/sap/support/notes/2059851","2059851")</f>
        <v>2059851</v>
      </c>
      <c r="D3272">
        <v>2</v>
      </c>
      <c r="E3272" t="s">
        <v>5584</v>
      </c>
      <c r="F3272" t="s">
        <v>9</v>
      </c>
    </row>
    <row r="3273" spans="1:6" x14ac:dyDescent="0.3">
      <c r="A3273" t="s">
        <v>712</v>
      </c>
      <c r="B3273" t="s">
        <v>713</v>
      </c>
      <c r="C3273" t="str">
        <f>HYPERLINK("http://service.sap.com/sap/support/notes/2059908","2059908")</f>
        <v>2059908</v>
      </c>
      <c r="D3273">
        <v>3</v>
      </c>
      <c r="E3273" t="s">
        <v>5585</v>
      </c>
      <c r="F3273" t="s">
        <v>9</v>
      </c>
    </row>
    <row r="3274" spans="1:6" x14ac:dyDescent="0.3">
      <c r="A3274" t="s">
        <v>712</v>
      </c>
      <c r="B3274" t="s">
        <v>713</v>
      </c>
      <c r="C3274" t="str">
        <f>HYPERLINK("http://service.sap.com/sap/support/notes/2062216","2062216")</f>
        <v>2062216</v>
      </c>
      <c r="D3274">
        <v>1</v>
      </c>
      <c r="E3274" t="s">
        <v>5586</v>
      </c>
      <c r="F3274" t="s">
        <v>16</v>
      </c>
    </row>
    <row r="3275" spans="1:6" x14ac:dyDescent="0.3">
      <c r="A3275" t="s">
        <v>712</v>
      </c>
      <c r="B3275" t="s">
        <v>713</v>
      </c>
      <c r="C3275" t="str">
        <f>HYPERLINK("http://service.sap.com/sap/support/notes/2063328","2063328")</f>
        <v>2063328</v>
      </c>
      <c r="D3275">
        <v>1</v>
      </c>
      <c r="E3275" t="s">
        <v>5587</v>
      </c>
      <c r="F3275" t="s">
        <v>9</v>
      </c>
    </row>
    <row r="3276" spans="1:6" x14ac:dyDescent="0.3">
      <c r="A3276" t="s">
        <v>712</v>
      </c>
      <c r="B3276" t="s">
        <v>713</v>
      </c>
      <c r="C3276" t="str">
        <f>HYPERLINK("http://service.sap.com/sap/support/notes/2064086","2064086")</f>
        <v>2064086</v>
      </c>
      <c r="D3276">
        <v>1</v>
      </c>
      <c r="E3276" t="s">
        <v>5588</v>
      </c>
      <c r="F3276" t="s">
        <v>9</v>
      </c>
    </row>
    <row r="3277" spans="1:6" x14ac:dyDescent="0.3">
      <c r="A3277" t="s">
        <v>712</v>
      </c>
      <c r="B3277" t="s">
        <v>713</v>
      </c>
      <c r="C3277" t="str">
        <f>HYPERLINK("http://service.sap.com/sap/support/notes/2064166","2064166")</f>
        <v>2064166</v>
      </c>
      <c r="D3277">
        <v>1</v>
      </c>
      <c r="E3277" t="s">
        <v>5589</v>
      </c>
      <c r="F3277" t="s">
        <v>9</v>
      </c>
    </row>
    <row r="3278" spans="1:6" x14ac:dyDescent="0.3">
      <c r="A3278" t="s">
        <v>712</v>
      </c>
      <c r="B3278" t="s">
        <v>713</v>
      </c>
      <c r="C3278" t="str">
        <f>HYPERLINK("http://service.sap.com/sap/support/notes/2067741","2067741")</f>
        <v>2067741</v>
      </c>
      <c r="D3278">
        <v>1</v>
      </c>
      <c r="E3278" t="s">
        <v>5590</v>
      </c>
      <c r="F3278" t="s">
        <v>16</v>
      </c>
    </row>
    <row r="3279" spans="1:6" x14ac:dyDescent="0.3">
      <c r="A3279" t="s">
        <v>743</v>
      </c>
      <c r="B3279" t="s">
        <v>744</v>
      </c>
      <c r="C3279" t="str">
        <f>HYPERLINK("http://service.sap.com/sap/support/notes/1904353","1904353")</f>
        <v>1904353</v>
      </c>
      <c r="D3279">
        <v>1</v>
      </c>
      <c r="E3279" t="s">
        <v>745</v>
      </c>
      <c r="F3279" t="s">
        <v>9</v>
      </c>
    </row>
    <row r="3280" spans="1:6" x14ac:dyDescent="0.3">
      <c r="A3280" t="s">
        <v>746</v>
      </c>
      <c r="B3280" t="s">
        <v>471</v>
      </c>
      <c r="C3280" t="str">
        <f>HYPERLINK("http://service.sap.com/sap/support/notes/1915495","1915495")</f>
        <v>1915495</v>
      </c>
      <c r="D3280">
        <v>1</v>
      </c>
      <c r="E3280" t="s">
        <v>747</v>
      </c>
      <c r="F3280" t="s">
        <v>9</v>
      </c>
    </row>
    <row r="3281" spans="1:6" x14ac:dyDescent="0.3">
      <c r="A3281" t="s">
        <v>746</v>
      </c>
      <c r="B3281" t="s">
        <v>471</v>
      </c>
      <c r="C3281" t="str">
        <f>HYPERLINK("http://service.sap.com/sap/support/notes/1916118","1916118")</f>
        <v>1916118</v>
      </c>
      <c r="D3281">
        <v>1</v>
      </c>
      <c r="E3281" t="s">
        <v>748</v>
      </c>
      <c r="F3281" t="s">
        <v>9</v>
      </c>
    </row>
    <row r="3282" spans="1:6" x14ac:dyDescent="0.3">
      <c r="A3282" t="s">
        <v>746</v>
      </c>
      <c r="B3282" t="s">
        <v>471</v>
      </c>
      <c r="C3282" t="str">
        <f>HYPERLINK("http://service.sap.com/sap/support/notes/1916713","1916713")</f>
        <v>1916713</v>
      </c>
      <c r="D3282">
        <v>2</v>
      </c>
      <c r="E3282" t="s">
        <v>749</v>
      </c>
      <c r="F3282" t="s">
        <v>9</v>
      </c>
    </row>
    <row r="3283" spans="1:6" x14ac:dyDescent="0.3">
      <c r="A3283" t="s">
        <v>746</v>
      </c>
      <c r="B3283" t="s">
        <v>471</v>
      </c>
      <c r="C3283" t="str">
        <f>HYPERLINK("http://service.sap.com/sap/support/notes/1917802","1917802")</f>
        <v>1917802</v>
      </c>
      <c r="D3283">
        <v>1</v>
      </c>
      <c r="E3283" t="s">
        <v>750</v>
      </c>
      <c r="F3283" t="s">
        <v>9</v>
      </c>
    </row>
    <row r="3284" spans="1:6" x14ac:dyDescent="0.3">
      <c r="A3284" t="s">
        <v>746</v>
      </c>
      <c r="B3284" t="s">
        <v>471</v>
      </c>
      <c r="C3284" t="str">
        <f>HYPERLINK("http://service.sap.com/sap/support/notes/1919470","1919470")</f>
        <v>1919470</v>
      </c>
      <c r="D3284">
        <v>1</v>
      </c>
      <c r="E3284" t="s">
        <v>751</v>
      </c>
      <c r="F3284" t="s">
        <v>9</v>
      </c>
    </row>
    <row r="3285" spans="1:6" x14ac:dyDescent="0.3">
      <c r="A3285" t="s">
        <v>746</v>
      </c>
      <c r="B3285" t="s">
        <v>471</v>
      </c>
      <c r="C3285" t="str">
        <f>HYPERLINK("http://service.sap.com/sap/support/notes/1919672","1919672")</f>
        <v>1919672</v>
      </c>
      <c r="D3285">
        <v>1</v>
      </c>
      <c r="E3285" t="s">
        <v>752</v>
      </c>
      <c r="F3285" t="s">
        <v>9</v>
      </c>
    </row>
    <row r="3286" spans="1:6" x14ac:dyDescent="0.3">
      <c r="A3286" t="s">
        <v>746</v>
      </c>
      <c r="B3286" t="s">
        <v>471</v>
      </c>
      <c r="C3286" t="str">
        <f>HYPERLINK("http://service.sap.com/sap/support/notes/1922945","1922945")</f>
        <v>1922945</v>
      </c>
      <c r="D3286">
        <v>1</v>
      </c>
      <c r="E3286" t="s">
        <v>753</v>
      </c>
      <c r="F3286" t="s">
        <v>9</v>
      </c>
    </row>
    <row r="3287" spans="1:6" x14ac:dyDescent="0.3">
      <c r="A3287" t="s">
        <v>746</v>
      </c>
      <c r="B3287" t="s">
        <v>471</v>
      </c>
      <c r="C3287" t="str">
        <f>HYPERLINK("http://service.sap.com/sap/support/notes/1924860","1924860")</f>
        <v>1924860</v>
      </c>
      <c r="D3287">
        <v>2</v>
      </c>
      <c r="E3287" t="s">
        <v>754</v>
      </c>
      <c r="F3287" t="s">
        <v>9</v>
      </c>
    </row>
    <row r="3288" spans="1:6" x14ac:dyDescent="0.3">
      <c r="A3288" t="s">
        <v>746</v>
      </c>
      <c r="B3288" t="s">
        <v>471</v>
      </c>
      <c r="C3288" t="str">
        <f>HYPERLINK("http://service.sap.com/sap/support/notes/1894670","1894670")</f>
        <v>1894670</v>
      </c>
      <c r="D3288">
        <v>5</v>
      </c>
      <c r="E3288" t="s">
        <v>1306</v>
      </c>
      <c r="F3288" t="s">
        <v>9</v>
      </c>
    </row>
    <row r="3289" spans="1:6" x14ac:dyDescent="0.3">
      <c r="A3289" t="s">
        <v>746</v>
      </c>
      <c r="B3289" t="s">
        <v>471</v>
      </c>
      <c r="C3289" t="str">
        <f>HYPERLINK("http://service.sap.com/sap/support/notes/1933016","1933016")</f>
        <v>1933016</v>
      </c>
      <c r="D3289">
        <v>3</v>
      </c>
      <c r="E3289" t="s">
        <v>1814</v>
      </c>
      <c r="F3289" t="s">
        <v>16</v>
      </c>
    </row>
    <row r="3290" spans="1:6" x14ac:dyDescent="0.3">
      <c r="A3290" t="s">
        <v>746</v>
      </c>
      <c r="B3290" t="s">
        <v>471</v>
      </c>
      <c r="C3290" t="str">
        <f>HYPERLINK("http://service.sap.com/sap/support/notes/1938430","1938430")</f>
        <v>1938430</v>
      </c>
      <c r="D3290">
        <v>2</v>
      </c>
      <c r="E3290" t="s">
        <v>1815</v>
      </c>
      <c r="F3290" t="s">
        <v>9</v>
      </c>
    </row>
    <row r="3291" spans="1:6" x14ac:dyDescent="0.3">
      <c r="A3291" t="s">
        <v>746</v>
      </c>
      <c r="B3291" t="s">
        <v>471</v>
      </c>
      <c r="C3291" t="str">
        <f>HYPERLINK("http://service.sap.com/sap/support/notes/1942571","1942571")</f>
        <v>1942571</v>
      </c>
      <c r="D3291">
        <v>3</v>
      </c>
      <c r="E3291" t="s">
        <v>1816</v>
      </c>
      <c r="F3291" t="s">
        <v>9</v>
      </c>
    </row>
    <row r="3292" spans="1:6" x14ac:dyDescent="0.3">
      <c r="A3292" t="s">
        <v>746</v>
      </c>
      <c r="B3292" t="s">
        <v>471</v>
      </c>
      <c r="C3292" t="str">
        <f>HYPERLINK("http://service.sap.com/sap/support/notes/1955259","1955259")</f>
        <v>1955259</v>
      </c>
      <c r="D3292">
        <v>5</v>
      </c>
      <c r="E3292" t="s">
        <v>2245</v>
      </c>
      <c r="F3292" t="s">
        <v>9</v>
      </c>
    </row>
    <row r="3293" spans="1:6" x14ac:dyDescent="0.3">
      <c r="A3293" t="s">
        <v>746</v>
      </c>
      <c r="B3293" t="s">
        <v>471</v>
      </c>
      <c r="C3293" t="str">
        <f>HYPERLINK("http://service.sap.com/sap/support/notes/1973774","1973774")</f>
        <v>1973774</v>
      </c>
      <c r="D3293">
        <v>3</v>
      </c>
      <c r="E3293" t="s">
        <v>2618</v>
      </c>
      <c r="F3293" t="s">
        <v>28</v>
      </c>
    </row>
    <row r="3294" spans="1:6" x14ac:dyDescent="0.3">
      <c r="A3294" t="s">
        <v>746</v>
      </c>
      <c r="B3294" t="s">
        <v>471</v>
      </c>
      <c r="C3294" t="str">
        <f>HYPERLINK("http://service.sap.com/sap/support/notes/1973976","1973976")</f>
        <v>1973976</v>
      </c>
      <c r="D3294">
        <v>1</v>
      </c>
      <c r="E3294" t="s">
        <v>2619</v>
      </c>
      <c r="F3294" t="s">
        <v>28</v>
      </c>
    </row>
    <row r="3295" spans="1:6" x14ac:dyDescent="0.3">
      <c r="A3295" t="s">
        <v>746</v>
      </c>
      <c r="B3295" t="s">
        <v>471</v>
      </c>
      <c r="C3295" t="str">
        <f>HYPERLINK("http://service.sap.com/sap/support/notes/1974529","1974529")</f>
        <v>1974529</v>
      </c>
      <c r="D3295">
        <v>1</v>
      </c>
      <c r="E3295" t="s">
        <v>2620</v>
      </c>
      <c r="F3295" t="s">
        <v>9</v>
      </c>
    </row>
    <row r="3296" spans="1:6" x14ac:dyDescent="0.3">
      <c r="A3296" t="s">
        <v>746</v>
      </c>
      <c r="B3296" t="s">
        <v>471</v>
      </c>
      <c r="C3296" t="str">
        <f>HYPERLINK("http://service.sap.com/sap/support/notes/1975013","1975013")</f>
        <v>1975013</v>
      </c>
      <c r="D3296">
        <v>3</v>
      </c>
      <c r="E3296" t="s">
        <v>2621</v>
      </c>
      <c r="F3296" t="s">
        <v>9</v>
      </c>
    </row>
    <row r="3297" spans="1:6" x14ac:dyDescent="0.3">
      <c r="A3297" t="s">
        <v>746</v>
      </c>
      <c r="B3297" t="s">
        <v>471</v>
      </c>
      <c r="C3297" t="str">
        <f>HYPERLINK("http://service.sap.com/sap/support/notes/1975823","1975823")</f>
        <v>1975823</v>
      </c>
      <c r="D3297">
        <v>1</v>
      </c>
      <c r="E3297" t="s">
        <v>2622</v>
      </c>
      <c r="F3297" t="s">
        <v>9</v>
      </c>
    </row>
    <row r="3298" spans="1:6" x14ac:dyDescent="0.3">
      <c r="A3298" t="s">
        <v>746</v>
      </c>
      <c r="B3298" t="s">
        <v>471</v>
      </c>
      <c r="C3298" t="str">
        <f>HYPERLINK("http://service.sap.com/sap/support/notes/1980789","1980789")</f>
        <v>1980789</v>
      </c>
      <c r="D3298">
        <v>1</v>
      </c>
      <c r="E3298" t="s">
        <v>2623</v>
      </c>
      <c r="F3298" t="s">
        <v>9</v>
      </c>
    </row>
    <row r="3299" spans="1:6" x14ac:dyDescent="0.3">
      <c r="A3299" t="s">
        <v>746</v>
      </c>
      <c r="B3299" t="s">
        <v>471</v>
      </c>
      <c r="C3299" t="str">
        <f>HYPERLINK("http://service.sap.com/sap/support/notes/1980791","1980791")</f>
        <v>1980791</v>
      </c>
      <c r="D3299">
        <v>1</v>
      </c>
      <c r="E3299" t="s">
        <v>3078</v>
      </c>
      <c r="F3299" t="s">
        <v>9</v>
      </c>
    </row>
    <row r="3300" spans="1:6" x14ac:dyDescent="0.3">
      <c r="A3300" t="s">
        <v>746</v>
      </c>
      <c r="B3300" t="s">
        <v>471</v>
      </c>
      <c r="C3300" t="str">
        <f>HYPERLINK("http://service.sap.com/sap/support/notes/1980792","1980792")</f>
        <v>1980792</v>
      </c>
      <c r="D3300">
        <v>1</v>
      </c>
      <c r="E3300" t="s">
        <v>3079</v>
      </c>
      <c r="F3300" t="s">
        <v>9</v>
      </c>
    </row>
    <row r="3301" spans="1:6" x14ac:dyDescent="0.3">
      <c r="A3301" t="s">
        <v>746</v>
      </c>
      <c r="B3301" t="s">
        <v>471</v>
      </c>
      <c r="C3301" t="str">
        <f>HYPERLINK("http://service.sap.com/sap/support/notes/1991145","1991145")</f>
        <v>1991145</v>
      </c>
      <c r="D3301">
        <v>1</v>
      </c>
      <c r="E3301" t="s">
        <v>3080</v>
      </c>
      <c r="F3301" t="s">
        <v>28</v>
      </c>
    </row>
    <row r="3302" spans="1:6" x14ac:dyDescent="0.3">
      <c r="A3302" t="s">
        <v>746</v>
      </c>
      <c r="B3302" t="s">
        <v>471</v>
      </c>
      <c r="C3302" t="str">
        <f>HYPERLINK("http://service.sap.com/sap/support/notes/1992408","1992408")</f>
        <v>1992408</v>
      </c>
      <c r="D3302">
        <v>1</v>
      </c>
      <c r="E3302" t="s">
        <v>3081</v>
      </c>
      <c r="F3302" t="s">
        <v>9</v>
      </c>
    </row>
    <row r="3303" spans="1:6" x14ac:dyDescent="0.3">
      <c r="A3303" t="s">
        <v>746</v>
      </c>
      <c r="B3303" t="s">
        <v>471</v>
      </c>
      <c r="C3303" t="str">
        <f>HYPERLINK("http://service.sap.com/sap/support/notes/1994783","1994783")</f>
        <v>1994783</v>
      </c>
      <c r="D3303">
        <v>1</v>
      </c>
      <c r="E3303" t="s">
        <v>3082</v>
      </c>
      <c r="F3303" t="s">
        <v>9</v>
      </c>
    </row>
    <row r="3304" spans="1:6" x14ac:dyDescent="0.3">
      <c r="A3304" t="s">
        <v>746</v>
      </c>
      <c r="B3304" t="s">
        <v>471</v>
      </c>
      <c r="C3304" t="str">
        <f>HYPERLINK("http://service.sap.com/sap/support/notes/1992896","1992896")</f>
        <v>1992896</v>
      </c>
      <c r="D3304">
        <v>2</v>
      </c>
      <c r="E3304" t="s">
        <v>3728</v>
      </c>
      <c r="F3304" t="s">
        <v>9</v>
      </c>
    </row>
    <row r="3305" spans="1:6" x14ac:dyDescent="0.3">
      <c r="A3305" t="s">
        <v>746</v>
      </c>
      <c r="B3305" t="s">
        <v>471</v>
      </c>
      <c r="C3305" t="str">
        <f>HYPERLINK("http://service.sap.com/sap/support/notes/1994783","1994783")</f>
        <v>1994783</v>
      </c>
      <c r="D3305">
        <v>1</v>
      </c>
      <c r="E3305" t="s">
        <v>3082</v>
      </c>
      <c r="F3305" t="s">
        <v>9</v>
      </c>
    </row>
    <row r="3306" spans="1:6" x14ac:dyDescent="0.3">
      <c r="A3306" t="s">
        <v>746</v>
      </c>
      <c r="B3306" t="s">
        <v>471</v>
      </c>
      <c r="C3306" t="str">
        <f>HYPERLINK("http://service.sap.com/sap/support/notes/1999434","1999434")</f>
        <v>1999434</v>
      </c>
      <c r="D3306">
        <v>2</v>
      </c>
      <c r="E3306" t="s">
        <v>3729</v>
      </c>
      <c r="F3306" t="s">
        <v>9</v>
      </c>
    </row>
    <row r="3307" spans="1:6" x14ac:dyDescent="0.3">
      <c r="A3307" t="s">
        <v>746</v>
      </c>
      <c r="B3307" t="s">
        <v>471</v>
      </c>
      <c r="C3307" t="str">
        <f>HYPERLINK("http://service.sap.com/sap/support/notes/2001764","2001764")</f>
        <v>2001764</v>
      </c>
      <c r="D3307">
        <v>1</v>
      </c>
      <c r="E3307" t="s">
        <v>3730</v>
      </c>
      <c r="F3307" t="s">
        <v>9</v>
      </c>
    </row>
    <row r="3308" spans="1:6" x14ac:dyDescent="0.3">
      <c r="A3308" t="s">
        <v>746</v>
      </c>
      <c r="B3308" t="s">
        <v>471</v>
      </c>
      <c r="C3308" t="str">
        <f>HYPERLINK("http://service.sap.com/sap/support/notes/2001765","2001765")</f>
        <v>2001765</v>
      </c>
      <c r="D3308">
        <v>1</v>
      </c>
      <c r="E3308" t="s">
        <v>3731</v>
      </c>
      <c r="F3308" t="s">
        <v>9</v>
      </c>
    </row>
    <row r="3309" spans="1:6" x14ac:dyDescent="0.3">
      <c r="A3309" t="s">
        <v>746</v>
      </c>
      <c r="B3309" t="s">
        <v>471</v>
      </c>
      <c r="C3309" t="str">
        <f>HYPERLINK("http://service.sap.com/sap/support/notes/2002860","2002860")</f>
        <v>2002860</v>
      </c>
      <c r="D3309">
        <v>2</v>
      </c>
      <c r="E3309" t="s">
        <v>3732</v>
      </c>
      <c r="F3309" t="s">
        <v>9</v>
      </c>
    </row>
    <row r="3310" spans="1:6" x14ac:dyDescent="0.3">
      <c r="A3310" t="s">
        <v>746</v>
      </c>
      <c r="B3310" t="s">
        <v>471</v>
      </c>
      <c r="C3310" t="str">
        <f>HYPERLINK("http://service.sap.com/sap/support/notes/2019401","2019401")</f>
        <v>2019401</v>
      </c>
      <c r="D3310">
        <v>1</v>
      </c>
      <c r="E3310" t="s">
        <v>4234</v>
      </c>
      <c r="F3310" t="s">
        <v>9</v>
      </c>
    </row>
    <row r="3311" spans="1:6" x14ac:dyDescent="0.3">
      <c r="A3311" t="s">
        <v>746</v>
      </c>
      <c r="B3311" t="s">
        <v>471</v>
      </c>
      <c r="C3311" t="str">
        <f>HYPERLINK("http://service.sap.com/sap/support/notes/2032443","2032443")</f>
        <v>2032443</v>
      </c>
      <c r="D3311">
        <v>1</v>
      </c>
      <c r="E3311" t="s">
        <v>4570</v>
      </c>
      <c r="F3311" t="s">
        <v>9</v>
      </c>
    </row>
    <row r="3312" spans="1:6" x14ac:dyDescent="0.3">
      <c r="A3312" t="s">
        <v>746</v>
      </c>
      <c r="B3312" t="s">
        <v>471</v>
      </c>
      <c r="C3312" t="str">
        <f>HYPERLINK("http://service.sap.com/sap/support/notes/2032442","2032442")</f>
        <v>2032442</v>
      </c>
      <c r="D3312">
        <v>1</v>
      </c>
      <c r="E3312" t="s">
        <v>4902</v>
      </c>
      <c r="F3312" t="s">
        <v>9</v>
      </c>
    </row>
    <row r="3313" spans="1:6" x14ac:dyDescent="0.3">
      <c r="A3313" t="s">
        <v>746</v>
      </c>
      <c r="B3313" t="s">
        <v>471</v>
      </c>
      <c r="C3313" t="str">
        <f>HYPERLINK("http://service.sap.com/sap/support/notes/2035836","2035836")</f>
        <v>2035836</v>
      </c>
      <c r="D3313">
        <v>3</v>
      </c>
      <c r="E3313" t="s">
        <v>4903</v>
      </c>
      <c r="F3313" t="s">
        <v>9</v>
      </c>
    </row>
    <row r="3314" spans="1:6" x14ac:dyDescent="0.3">
      <c r="A3314" t="s">
        <v>746</v>
      </c>
      <c r="B3314" t="s">
        <v>471</v>
      </c>
      <c r="C3314" t="str">
        <f>HYPERLINK("http://service.sap.com/sap/support/notes/2040151","2040151")</f>
        <v>2040151</v>
      </c>
      <c r="D3314">
        <v>1</v>
      </c>
      <c r="E3314" t="s">
        <v>4904</v>
      </c>
      <c r="F3314" t="s">
        <v>9</v>
      </c>
    </row>
    <row r="3315" spans="1:6" x14ac:dyDescent="0.3">
      <c r="A3315" t="s">
        <v>746</v>
      </c>
      <c r="B3315" t="s">
        <v>471</v>
      </c>
      <c r="C3315" t="str">
        <f>HYPERLINK("http://service.sap.com/sap/support/notes/2040880","2040880")</f>
        <v>2040880</v>
      </c>
      <c r="D3315">
        <v>1</v>
      </c>
      <c r="E3315" t="s">
        <v>4905</v>
      </c>
      <c r="F3315" t="s">
        <v>9</v>
      </c>
    </row>
    <row r="3316" spans="1:6" x14ac:dyDescent="0.3">
      <c r="A3316" t="s">
        <v>746</v>
      </c>
      <c r="B3316" t="s">
        <v>471</v>
      </c>
      <c r="C3316" t="str">
        <f>HYPERLINK("http://service.sap.com/sap/support/notes/2040951","2040951")</f>
        <v>2040951</v>
      </c>
      <c r="D3316">
        <v>1</v>
      </c>
      <c r="E3316" t="s">
        <v>4906</v>
      </c>
      <c r="F3316" t="s">
        <v>9</v>
      </c>
    </row>
    <row r="3317" spans="1:6" x14ac:dyDescent="0.3">
      <c r="A3317" t="s">
        <v>746</v>
      </c>
      <c r="B3317" t="s">
        <v>471</v>
      </c>
      <c r="C3317" t="str">
        <f>HYPERLINK("http://service.sap.com/sap/support/notes/2043782","2043782")</f>
        <v>2043782</v>
      </c>
      <c r="D3317">
        <v>1</v>
      </c>
      <c r="E3317" t="s">
        <v>4907</v>
      </c>
      <c r="F3317" t="s">
        <v>9</v>
      </c>
    </row>
    <row r="3318" spans="1:6" x14ac:dyDescent="0.3">
      <c r="A3318" t="s">
        <v>746</v>
      </c>
      <c r="B3318" t="s">
        <v>471</v>
      </c>
      <c r="C3318" t="str">
        <f>HYPERLINK("http://service.sap.com/sap/support/notes/2043783","2043783")</f>
        <v>2043783</v>
      </c>
      <c r="D3318">
        <v>1</v>
      </c>
      <c r="E3318" t="s">
        <v>4908</v>
      </c>
      <c r="F3318" t="s">
        <v>9</v>
      </c>
    </row>
    <row r="3319" spans="1:6" x14ac:dyDescent="0.3">
      <c r="A3319" t="s">
        <v>746</v>
      </c>
      <c r="B3319" t="s">
        <v>471</v>
      </c>
      <c r="C3319" t="str">
        <f>HYPERLINK("http://service.sap.com/sap/support/notes/2044916","2044916")</f>
        <v>2044916</v>
      </c>
      <c r="D3319">
        <v>2</v>
      </c>
      <c r="E3319" t="s">
        <v>4909</v>
      </c>
      <c r="F3319" t="s">
        <v>16</v>
      </c>
    </row>
    <row r="3320" spans="1:6" x14ac:dyDescent="0.3">
      <c r="A3320" t="s">
        <v>746</v>
      </c>
      <c r="B3320" t="s">
        <v>471</v>
      </c>
      <c r="C3320" t="str">
        <f>HYPERLINK("http://service.sap.com/sap/support/notes/2049211","2049211")</f>
        <v>2049211</v>
      </c>
      <c r="D3320">
        <v>1</v>
      </c>
      <c r="E3320" t="s">
        <v>5265</v>
      </c>
      <c r="F3320" t="s">
        <v>9</v>
      </c>
    </row>
    <row r="3321" spans="1:6" x14ac:dyDescent="0.3">
      <c r="A3321" t="s">
        <v>746</v>
      </c>
      <c r="B3321" t="s">
        <v>471</v>
      </c>
      <c r="C3321" t="str">
        <f>HYPERLINK("http://service.sap.com/sap/support/notes/2051598","2051598")</f>
        <v>2051598</v>
      </c>
      <c r="D3321">
        <v>1</v>
      </c>
      <c r="E3321" t="s">
        <v>5266</v>
      </c>
      <c r="F3321" t="s">
        <v>9</v>
      </c>
    </row>
    <row r="3322" spans="1:6" x14ac:dyDescent="0.3">
      <c r="A3322" t="s">
        <v>746</v>
      </c>
      <c r="B3322" t="s">
        <v>471</v>
      </c>
      <c r="C3322" t="str">
        <f>HYPERLINK("http://service.sap.com/sap/support/notes/2051599","2051599")</f>
        <v>2051599</v>
      </c>
      <c r="D3322">
        <v>1</v>
      </c>
      <c r="E3322" t="s">
        <v>5267</v>
      </c>
      <c r="F3322" t="s">
        <v>9</v>
      </c>
    </row>
    <row r="3323" spans="1:6" x14ac:dyDescent="0.3">
      <c r="A3323" t="s">
        <v>746</v>
      </c>
      <c r="B3323" t="s">
        <v>471</v>
      </c>
      <c r="C3323" t="str">
        <f>HYPERLINK("http://service.sap.com/sap/support/notes/2052983","2052983")</f>
        <v>2052983</v>
      </c>
      <c r="D3323">
        <v>1</v>
      </c>
      <c r="E3323" t="s">
        <v>5268</v>
      </c>
      <c r="F3323" t="s">
        <v>9</v>
      </c>
    </row>
    <row r="3324" spans="1:6" x14ac:dyDescent="0.3">
      <c r="A3324" t="s">
        <v>746</v>
      </c>
      <c r="B3324" t="s">
        <v>471</v>
      </c>
      <c r="C3324" t="str">
        <f>HYPERLINK("http://service.sap.com/sap/support/notes/2053647","2053647")</f>
        <v>2053647</v>
      </c>
      <c r="D3324">
        <v>1</v>
      </c>
      <c r="E3324" t="s">
        <v>5269</v>
      </c>
      <c r="F3324" t="s">
        <v>9</v>
      </c>
    </row>
    <row r="3325" spans="1:6" x14ac:dyDescent="0.3">
      <c r="A3325" t="s">
        <v>746</v>
      </c>
      <c r="B3325" t="s">
        <v>471</v>
      </c>
      <c r="C3325" t="str">
        <f>HYPERLINK("http://service.sap.com/sap/support/notes/2062999","2062999")</f>
        <v>2062999</v>
      </c>
      <c r="D3325">
        <v>1</v>
      </c>
      <c r="E3325" t="s">
        <v>5591</v>
      </c>
      <c r="F3325" t="s">
        <v>28</v>
      </c>
    </row>
    <row r="3326" spans="1:6" x14ac:dyDescent="0.3">
      <c r="A3326" t="s">
        <v>746</v>
      </c>
      <c r="B3326" t="s">
        <v>471</v>
      </c>
      <c r="C3326" t="str">
        <f>HYPERLINK("http://service.sap.com/sap/support/notes/2063322","2063322")</f>
        <v>2063322</v>
      </c>
      <c r="D3326">
        <v>1</v>
      </c>
      <c r="E3326" t="s">
        <v>5592</v>
      </c>
      <c r="F3326" t="s">
        <v>9</v>
      </c>
    </row>
    <row r="3327" spans="1:6" x14ac:dyDescent="0.3">
      <c r="A3327" t="s">
        <v>755</v>
      </c>
      <c r="B3327" t="s">
        <v>525</v>
      </c>
      <c r="C3327" t="str">
        <f>HYPERLINK("http://service.sap.com/sap/support/notes/2008026","2008026")</f>
        <v>2008026</v>
      </c>
      <c r="D3327">
        <v>1</v>
      </c>
      <c r="E3327" t="s">
        <v>3733</v>
      </c>
      <c r="F3327" t="s">
        <v>9</v>
      </c>
    </row>
    <row r="3328" spans="1:6" x14ac:dyDescent="0.3">
      <c r="A3328" t="s">
        <v>756</v>
      </c>
      <c r="B3328" t="s">
        <v>757</v>
      </c>
      <c r="C3328" t="str">
        <f>HYPERLINK("http://service.sap.com/sap/support/notes/1911486","1911486")</f>
        <v>1911486</v>
      </c>
      <c r="D3328">
        <v>2</v>
      </c>
      <c r="E3328" t="s">
        <v>758</v>
      </c>
      <c r="F3328" t="s">
        <v>9</v>
      </c>
    </row>
    <row r="3329" spans="1:6" x14ac:dyDescent="0.3">
      <c r="A3329" t="s">
        <v>756</v>
      </c>
      <c r="B3329" t="s">
        <v>757</v>
      </c>
      <c r="C3329" t="str">
        <f>HYPERLINK("http://service.sap.com/sap/support/notes/1921397","1921397")</f>
        <v>1921397</v>
      </c>
      <c r="D3329">
        <v>2</v>
      </c>
      <c r="E3329" t="s">
        <v>759</v>
      </c>
      <c r="F3329" t="s">
        <v>9</v>
      </c>
    </row>
    <row r="3330" spans="1:6" x14ac:dyDescent="0.3">
      <c r="A3330" t="s">
        <v>756</v>
      </c>
      <c r="B3330" t="s">
        <v>757</v>
      </c>
      <c r="C3330" t="str">
        <f>HYPERLINK("http://service.sap.com/sap/support/notes/1922966","1922966")</f>
        <v>1922966</v>
      </c>
      <c r="D3330">
        <v>1</v>
      </c>
      <c r="E3330" t="s">
        <v>760</v>
      </c>
      <c r="F3330" t="s">
        <v>9</v>
      </c>
    </row>
    <row r="3331" spans="1:6" x14ac:dyDescent="0.3">
      <c r="A3331" t="s">
        <v>756</v>
      </c>
      <c r="B3331" t="s">
        <v>757</v>
      </c>
      <c r="C3331" t="str">
        <f>HYPERLINK("http://service.sap.com/sap/support/notes/1928064","1928064")</f>
        <v>1928064</v>
      </c>
      <c r="D3331">
        <v>3</v>
      </c>
      <c r="E3331" t="s">
        <v>761</v>
      </c>
      <c r="F3331" t="s">
        <v>9</v>
      </c>
    </row>
    <row r="3332" spans="1:6" x14ac:dyDescent="0.3">
      <c r="A3332" t="s">
        <v>756</v>
      </c>
      <c r="B3332" t="s">
        <v>757</v>
      </c>
      <c r="C3332" t="str">
        <f>HYPERLINK("http://service.sap.com/sap/support/notes/1962688","1962688")</f>
        <v>1962688</v>
      </c>
      <c r="D3332">
        <v>2</v>
      </c>
      <c r="E3332" t="s">
        <v>2246</v>
      </c>
      <c r="F3332" t="s">
        <v>28</v>
      </c>
    </row>
    <row r="3333" spans="1:6" x14ac:dyDescent="0.3">
      <c r="A3333" t="s">
        <v>756</v>
      </c>
      <c r="B3333" t="s">
        <v>757</v>
      </c>
      <c r="C3333" t="str">
        <f>HYPERLINK("http://service.sap.com/sap/support/notes/1974689","1974689")</f>
        <v>1974689</v>
      </c>
      <c r="D3333">
        <v>1</v>
      </c>
      <c r="E3333" t="s">
        <v>2624</v>
      </c>
      <c r="F3333" t="s">
        <v>9</v>
      </c>
    </row>
    <row r="3334" spans="1:6" x14ac:dyDescent="0.3">
      <c r="A3334" t="s">
        <v>756</v>
      </c>
      <c r="B3334" t="s">
        <v>757</v>
      </c>
      <c r="C3334" t="str">
        <f>HYPERLINK("http://service.sap.com/sap/support/notes/2012872","2012872")</f>
        <v>2012872</v>
      </c>
      <c r="D3334">
        <v>1</v>
      </c>
      <c r="E3334" t="s">
        <v>4235</v>
      </c>
      <c r="F3334" t="s">
        <v>9</v>
      </c>
    </row>
    <row r="3335" spans="1:6" x14ac:dyDescent="0.3">
      <c r="A3335" t="s">
        <v>756</v>
      </c>
      <c r="B3335" t="s">
        <v>757</v>
      </c>
      <c r="C3335" t="str">
        <f>HYPERLINK("http://service.sap.com/sap/support/notes/2032487","2032487")</f>
        <v>2032487</v>
      </c>
      <c r="D3335">
        <v>1</v>
      </c>
      <c r="E3335" t="s">
        <v>4571</v>
      </c>
      <c r="F3335" t="s">
        <v>9</v>
      </c>
    </row>
    <row r="3336" spans="1:6" x14ac:dyDescent="0.3">
      <c r="A3336" t="s">
        <v>756</v>
      </c>
      <c r="B3336" t="s">
        <v>757</v>
      </c>
      <c r="C3336" t="str">
        <f>HYPERLINK("http://service.sap.com/sap/support/notes/2034474","2034474")</f>
        <v>2034474</v>
      </c>
      <c r="D3336">
        <v>1</v>
      </c>
      <c r="E3336" t="s">
        <v>4910</v>
      </c>
      <c r="F3336" t="s">
        <v>9</v>
      </c>
    </row>
    <row r="3337" spans="1:6" x14ac:dyDescent="0.3">
      <c r="A3337" t="s">
        <v>762</v>
      </c>
      <c r="B3337" t="s">
        <v>763</v>
      </c>
      <c r="C3337" t="str">
        <f>HYPERLINK("http://service.sap.com/sap/support/notes/1884447","1884447")</f>
        <v>1884447</v>
      </c>
      <c r="D3337">
        <v>1</v>
      </c>
      <c r="E3337" t="s">
        <v>764</v>
      </c>
      <c r="F3337" t="s">
        <v>28</v>
      </c>
    </row>
    <row r="3338" spans="1:6" x14ac:dyDescent="0.3">
      <c r="A3338" t="s">
        <v>762</v>
      </c>
      <c r="B3338" t="s">
        <v>763</v>
      </c>
      <c r="C3338" t="str">
        <f>HYPERLINK("http://service.sap.com/sap/support/notes/1908677","1908677")</f>
        <v>1908677</v>
      </c>
      <c r="D3338">
        <v>1</v>
      </c>
      <c r="E3338" t="s">
        <v>765</v>
      </c>
      <c r="F3338" t="s">
        <v>9</v>
      </c>
    </row>
    <row r="3339" spans="1:6" x14ac:dyDescent="0.3">
      <c r="A3339" t="s">
        <v>762</v>
      </c>
      <c r="B3339" t="s">
        <v>763</v>
      </c>
      <c r="C3339" t="str">
        <f>HYPERLINK("http://service.sap.com/sap/support/notes/1913172","1913172")</f>
        <v>1913172</v>
      </c>
      <c r="D3339">
        <v>1</v>
      </c>
      <c r="E3339" t="s">
        <v>766</v>
      </c>
      <c r="F3339" t="s">
        <v>28</v>
      </c>
    </row>
    <row r="3340" spans="1:6" x14ac:dyDescent="0.3">
      <c r="A3340" t="s">
        <v>762</v>
      </c>
      <c r="B3340" t="s">
        <v>763</v>
      </c>
      <c r="C3340" t="str">
        <f>HYPERLINK("http://service.sap.com/sap/support/notes/1917002","1917002")</f>
        <v>1917002</v>
      </c>
      <c r="D3340">
        <v>2</v>
      </c>
      <c r="E3340" t="s">
        <v>767</v>
      </c>
      <c r="F3340" t="s">
        <v>28</v>
      </c>
    </row>
    <row r="3341" spans="1:6" x14ac:dyDescent="0.3">
      <c r="A3341" t="s">
        <v>762</v>
      </c>
      <c r="B3341" t="s">
        <v>763</v>
      </c>
      <c r="C3341" t="str">
        <f>HYPERLINK("http://service.sap.com/sap/support/notes/1918307","1918307")</f>
        <v>1918307</v>
      </c>
      <c r="D3341">
        <v>1</v>
      </c>
      <c r="E3341" t="s">
        <v>768</v>
      </c>
      <c r="F3341" t="s">
        <v>28</v>
      </c>
    </row>
    <row r="3342" spans="1:6" x14ac:dyDescent="0.3">
      <c r="A3342" t="s">
        <v>762</v>
      </c>
      <c r="B3342" t="s">
        <v>763</v>
      </c>
      <c r="C3342" t="str">
        <f>HYPERLINK("http://service.sap.com/sap/support/notes/1921705","1921705")</f>
        <v>1921705</v>
      </c>
      <c r="D3342">
        <v>2</v>
      </c>
      <c r="E3342" t="s">
        <v>769</v>
      </c>
      <c r="F3342" t="s">
        <v>9</v>
      </c>
    </row>
    <row r="3343" spans="1:6" x14ac:dyDescent="0.3">
      <c r="A3343" t="s">
        <v>762</v>
      </c>
      <c r="B3343" t="s">
        <v>763</v>
      </c>
      <c r="C3343" t="str">
        <f>HYPERLINK("http://service.sap.com/sap/support/notes/1924920","1924920")</f>
        <v>1924920</v>
      </c>
      <c r="D3343">
        <v>2</v>
      </c>
      <c r="E3343" t="s">
        <v>770</v>
      </c>
      <c r="F3343" t="s">
        <v>28</v>
      </c>
    </row>
    <row r="3344" spans="1:6" x14ac:dyDescent="0.3">
      <c r="A3344" t="s">
        <v>762</v>
      </c>
      <c r="B3344" t="s">
        <v>763</v>
      </c>
      <c r="C3344" t="str">
        <f>HYPERLINK("http://service.sap.com/sap/support/notes/1927211","1927211")</f>
        <v>1927211</v>
      </c>
      <c r="D3344">
        <v>1</v>
      </c>
      <c r="E3344" t="s">
        <v>771</v>
      </c>
      <c r="F3344" t="s">
        <v>9</v>
      </c>
    </row>
    <row r="3345" spans="1:6" x14ac:dyDescent="0.3">
      <c r="A3345" t="s">
        <v>762</v>
      </c>
      <c r="B3345" t="s">
        <v>763</v>
      </c>
      <c r="C3345" t="str">
        <f>HYPERLINK("http://service.sap.com/sap/support/notes/1929284","1929284")</f>
        <v>1929284</v>
      </c>
      <c r="D3345">
        <v>1</v>
      </c>
      <c r="E3345" t="s">
        <v>772</v>
      </c>
      <c r="F3345" t="s">
        <v>28</v>
      </c>
    </row>
    <row r="3346" spans="1:6" x14ac:dyDescent="0.3">
      <c r="A3346" t="s">
        <v>762</v>
      </c>
      <c r="B3346" t="s">
        <v>763</v>
      </c>
      <c r="C3346" t="str">
        <f>HYPERLINK("http://service.sap.com/sap/support/notes/1943721","1943721")</f>
        <v>1943721</v>
      </c>
      <c r="D3346">
        <v>1</v>
      </c>
      <c r="E3346" t="s">
        <v>1817</v>
      </c>
      <c r="F3346" t="s">
        <v>9</v>
      </c>
    </row>
    <row r="3347" spans="1:6" x14ac:dyDescent="0.3">
      <c r="A3347" t="s">
        <v>762</v>
      </c>
      <c r="B3347" t="s">
        <v>763</v>
      </c>
      <c r="C3347" t="str">
        <f>HYPERLINK("http://service.sap.com/sap/support/notes/1946461","1946461")</f>
        <v>1946461</v>
      </c>
      <c r="D3347">
        <v>2</v>
      </c>
      <c r="E3347" t="s">
        <v>1818</v>
      </c>
      <c r="F3347" t="s">
        <v>9</v>
      </c>
    </row>
    <row r="3348" spans="1:6" x14ac:dyDescent="0.3">
      <c r="A3348" t="s">
        <v>762</v>
      </c>
      <c r="B3348" t="s">
        <v>763</v>
      </c>
      <c r="C3348" t="str">
        <f>HYPERLINK("http://service.sap.com/sap/support/notes/1948991","1948991")</f>
        <v>1948991</v>
      </c>
      <c r="D3348">
        <v>1</v>
      </c>
      <c r="E3348" t="s">
        <v>1819</v>
      </c>
      <c r="F3348" t="s">
        <v>9</v>
      </c>
    </row>
    <row r="3349" spans="1:6" x14ac:dyDescent="0.3">
      <c r="A3349" t="s">
        <v>762</v>
      </c>
      <c r="B3349" t="s">
        <v>763</v>
      </c>
      <c r="C3349" t="str">
        <f>HYPERLINK("http://service.sap.com/sap/support/notes/1956436","1956436")</f>
        <v>1956436</v>
      </c>
      <c r="D3349">
        <v>2</v>
      </c>
      <c r="E3349" t="s">
        <v>1820</v>
      </c>
      <c r="F3349" t="s">
        <v>9</v>
      </c>
    </row>
    <row r="3350" spans="1:6" x14ac:dyDescent="0.3">
      <c r="A3350" t="s">
        <v>762</v>
      </c>
      <c r="B3350" t="s">
        <v>763</v>
      </c>
      <c r="C3350" t="str">
        <f>HYPERLINK("http://service.sap.com/sap/support/notes/1957173","1957173")</f>
        <v>1957173</v>
      </c>
      <c r="D3350">
        <v>1</v>
      </c>
      <c r="E3350" t="s">
        <v>1821</v>
      </c>
      <c r="F3350" t="s">
        <v>9</v>
      </c>
    </row>
    <row r="3351" spans="1:6" x14ac:dyDescent="0.3">
      <c r="A3351" t="s">
        <v>762</v>
      </c>
      <c r="B3351" t="s">
        <v>763</v>
      </c>
      <c r="C3351" t="str">
        <f>HYPERLINK("http://service.sap.com/sap/support/notes/1957268","1957268")</f>
        <v>1957268</v>
      </c>
      <c r="D3351">
        <v>1</v>
      </c>
      <c r="E3351" t="s">
        <v>1822</v>
      </c>
      <c r="F3351" t="s">
        <v>9</v>
      </c>
    </row>
    <row r="3352" spans="1:6" x14ac:dyDescent="0.3">
      <c r="A3352" t="s">
        <v>762</v>
      </c>
      <c r="B3352" t="s">
        <v>763</v>
      </c>
      <c r="C3352" t="str">
        <f>HYPERLINK("http://service.sap.com/sap/support/notes/1968834","1968834")</f>
        <v>1968834</v>
      </c>
      <c r="D3352">
        <v>1</v>
      </c>
      <c r="E3352" t="s">
        <v>2247</v>
      </c>
      <c r="F3352" t="s">
        <v>9</v>
      </c>
    </row>
    <row r="3353" spans="1:6" x14ac:dyDescent="0.3">
      <c r="A3353" t="s">
        <v>762</v>
      </c>
      <c r="B3353" t="s">
        <v>763</v>
      </c>
      <c r="C3353" t="str">
        <f>HYPERLINK("http://service.sap.com/sap/support/notes/1975943","1975943")</f>
        <v>1975943</v>
      </c>
      <c r="D3353">
        <v>2</v>
      </c>
      <c r="E3353" t="s">
        <v>2625</v>
      </c>
      <c r="F3353" t="s">
        <v>9</v>
      </c>
    </row>
    <row r="3354" spans="1:6" x14ac:dyDescent="0.3">
      <c r="A3354" t="s">
        <v>762</v>
      </c>
      <c r="B3354" t="s">
        <v>763</v>
      </c>
      <c r="C3354" t="str">
        <f>HYPERLINK("http://service.sap.com/sap/support/notes/1977227","1977227")</f>
        <v>1977227</v>
      </c>
      <c r="D3354">
        <v>3</v>
      </c>
      <c r="E3354" t="s">
        <v>2626</v>
      </c>
      <c r="F3354" t="s">
        <v>9</v>
      </c>
    </row>
    <row r="3355" spans="1:6" x14ac:dyDescent="0.3">
      <c r="A3355" t="s">
        <v>762</v>
      </c>
      <c r="B3355" t="s">
        <v>763</v>
      </c>
      <c r="C3355" t="str">
        <f>HYPERLINK("http://service.sap.com/sap/support/notes/1978484","1978484")</f>
        <v>1978484</v>
      </c>
      <c r="D3355">
        <v>2</v>
      </c>
      <c r="E3355" t="s">
        <v>2627</v>
      </c>
      <c r="F3355" t="s">
        <v>9</v>
      </c>
    </row>
    <row r="3356" spans="1:6" x14ac:dyDescent="0.3">
      <c r="A3356" t="s">
        <v>762</v>
      </c>
      <c r="B3356" t="s">
        <v>763</v>
      </c>
      <c r="C3356" t="str">
        <f>HYPERLINK("http://service.sap.com/sap/support/notes/1979058","1979058")</f>
        <v>1979058</v>
      </c>
      <c r="D3356">
        <v>3</v>
      </c>
      <c r="E3356" t="s">
        <v>2628</v>
      </c>
      <c r="F3356" t="s">
        <v>9</v>
      </c>
    </row>
    <row r="3357" spans="1:6" x14ac:dyDescent="0.3">
      <c r="A3357" t="s">
        <v>762</v>
      </c>
      <c r="B3357" t="s">
        <v>763</v>
      </c>
      <c r="C3357" t="str">
        <f>HYPERLINK("http://service.sap.com/sap/support/notes/1982189","1982189")</f>
        <v>1982189</v>
      </c>
      <c r="D3357">
        <v>1</v>
      </c>
      <c r="E3357" t="s">
        <v>2629</v>
      </c>
      <c r="F3357" t="s">
        <v>28</v>
      </c>
    </row>
    <row r="3358" spans="1:6" x14ac:dyDescent="0.3">
      <c r="A3358" t="s">
        <v>762</v>
      </c>
      <c r="B3358" t="s">
        <v>763</v>
      </c>
      <c r="C3358" t="str">
        <f>HYPERLINK("http://service.sap.com/sap/support/notes/1986252","1986252")</f>
        <v>1986252</v>
      </c>
      <c r="D3358">
        <v>2</v>
      </c>
      <c r="E3358" t="s">
        <v>3083</v>
      </c>
      <c r="F3358" t="s">
        <v>9</v>
      </c>
    </row>
    <row r="3359" spans="1:6" x14ac:dyDescent="0.3">
      <c r="A3359" t="s">
        <v>762</v>
      </c>
      <c r="B3359" t="s">
        <v>763</v>
      </c>
      <c r="C3359" t="str">
        <f>HYPERLINK("http://service.sap.com/sap/support/notes/1986359","1986359")</f>
        <v>1986359</v>
      </c>
      <c r="D3359">
        <v>1</v>
      </c>
      <c r="E3359" t="s">
        <v>3084</v>
      </c>
      <c r="F3359" t="s">
        <v>16</v>
      </c>
    </row>
    <row r="3360" spans="1:6" x14ac:dyDescent="0.3">
      <c r="A3360" t="s">
        <v>762</v>
      </c>
      <c r="B3360" t="s">
        <v>763</v>
      </c>
      <c r="C3360" t="str">
        <f>HYPERLINK("http://service.sap.com/sap/support/notes/1987483","1987483")</f>
        <v>1987483</v>
      </c>
      <c r="D3360">
        <v>1</v>
      </c>
      <c r="E3360" t="s">
        <v>3085</v>
      </c>
      <c r="F3360" t="s">
        <v>9</v>
      </c>
    </row>
    <row r="3361" spans="1:6" x14ac:dyDescent="0.3">
      <c r="A3361" t="s">
        <v>762</v>
      </c>
      <c r="B3361" t="s">
        <v>763</v>
      </c>
      <c r="C3361" t="str">
        <f>HYPERLINK("http://service.sap.com/sap/support/notes/1987996","1987996")</f>
        <v>1987996</v>
      </c>
      <c r="D3361">
        <v>3</v>
      </c>
      <c r="E3361" t="s">
        <v>3086</v>
      </c>
      <c r="F3361" t="s">
        <v>9</v>
      </c>
    </row>
    <row r="3362" spans="1:6" x14ac:dyDescent="0.3">
      <c r="A3362" t="s">
        <v>762</v>
      </c>
      <c r="B3362" t="s">
        <v>763</v>
      </c>
      <c r="C3362" t="str">
        <f>HYPERLINK("http://service.sap.com/sap/support/notes/1991727","1991727")</f>
        <v>1991727</v>
      </c>
      <c r="D3362">
        <v>2</v>
      </c>
      <c r="E3362" t="s">
        <v>3087</v>
      </c>
      <c r="F3362" t="s">
        <v>9</v>
      </c>
    </row>
    <row r="3363" spans="1:6" x14ac:dyDescent="0.3">
      <c r="A3363" t="s">
        <v>762</v>
      </c>
      <c r="B3363" t="s">
        <v>763</v>
      </c>
      <c r="C3363" t="str">
        <f>HYPERLINK("http://service.sap.com/sap/support/notes/1991728","1991728")</f>
        <v>1991728</v>
      </c>
      <c r="D3363">
        <v>1</v>
      </c>
      <c r="E3363" t="s">
        <v>3088</v>
      </c>
      <c r="F3363" t="s">
        <v>9</v>
      </c>
    </row>
    <row r="3364" spans="1:6" x14ac:dyDescent="0.3">
      <c r="A3364" t="s">
        <v>762</v>
      </c>
      <c r="B3364" t="s">
        <v>763</v>
      </c>
      <c r="C3364" t="str">
        <f>HYPERLINK("http://service.sap.com/sap/support/notes/1992414","1992414")</f>
        <v>1992414</v>
      </c>
      <c r="D3364">
        <v>1</v>
      </c>
      <c r="E3364" t="s">
        <v>3089</v>
      </c>
      <c r="F3364" t="s">
        <v>9</v>
      </c>
    </row>
    <row r="3365" spans="1:6" x14ac:dyDescent="0.3">
      <c r="A3365" t="s">
        <v>762</v>
      </c>
      <c r="B3365" t="s">
        <v>763</v>
      </c>
      <c r="C3365" t="str">
        <f>HYPERLINK("http://service.sap.com/sap/support/notes/1996791","1996791")</f>
        <v>1996791</v>
      </c>
      <c r="D3365">
        <v>1</v>
      </c>
      <c r="E3365" t="s">
        <v>3734</v>
      </c>
      <c r="F3365" t="s">
        <v>9</v>
      </c>
    </row>
    <row r="3366" spans="1:6" x14ac:dyDescent="0.3">
      <c r="A3366" t="s">
        <v>762</v>
      </c>
      <c r="B3366" t="s">
        <v>763</v>
      </c>
      <c r="C3366" t="str">
        <f>HYPERLINK("http://service.sap.com/sap/support/notes/1997354","1997354")</f>
        <v>1997354</v>
      </c>
      <c r="D3366">
        <v>4</v>
      </c>
      <c r="E3366" t="s">
        <v>3735</v>
      </c>
      <c r="F3366" t="s">
        <v>9</v>
      </c>
    </row>
    <row r="3367" spans="1:6" x14ac:dyDescent="0.3">
      <c r="A3367" t="s">
        <v>762</v>
      </c>
      <c r="B3367" t="s">
        <v>763</v>
      </c>
      <c r="C3367" t="str">
        <f>HYPERLINK("http://service.sap.com/sap/support/notes/1999688","1999688")</f>
        <v>1999688</v>
      </c>
      <c r="D3367">
        <v>1</v>
      </c>
      <c r="E3367" t="s">
        <v>3736</v>
      </c>
      <c r="F3367" t="s">
        <v>9</v>
      </c>
    </row>
    <row r="3368" spans="1:6" x14ac:dyDescent="0.3">
      <c r="A3368" t="s">
        <v>762</v>
      </c>
      <c r="B3368" t="s">
        <v>763</v>
      </c>
      <c r="C3368" t="str">
        <f>HYPERLINK("http://service.sap.com/sap/support/notes/2000590","2000590")</f>
        <v>2000590</v>
      </c>
      <c r="D3368">
        <v>5</v>
      </c>
      <c r="E3368" t="s">
        <v>3737</v>
      </c>
      <c r="F3368" t="s">
        <v>9</v>
      </c>
    </row>
    <row r="3369" spans="1:6" x14ac:dyDescent="0.3">
      <c r="A3369" t="s">
        <v>762</v>
      </c>
      <c r="B3369" t="s">
        <v>763</v>
      </c>
      <c r="C3369" t="str">
        <f>HYPERLINK("http://service.sap.com/sap/support/notes/2000712","2000712")</f>
        <v>2000712</v>
      </c>
      <c r="D3369">
        <v>1</v>
      </c>
      <c r="E3369" t="s">
        <v>3738</v>
      </c>
      <c r="F3369" t="s">
        <v>9</v>
      </c>
    </row>
    <row r="3370" spans="1:6" x14ac:dyDescent="0.3">
      <c r="A3370" t="s">
        <v>762</v>
      </c>
      <c r="B3370" t="s">
        <v>763</v>
      </c>
      <c r="C3370" t="str">
        <f>HYPERLINK("http://service.sap.com/sap/support/notes/2004960","2004960")</f>
        <v>2004960</v>
      </c>
      <c r="D3370">
        <v>3</v>
      </c>
      <c r="E3370" t="s">
        <v>3739</v>
      </c>
      <c r="F3370" t="s">
        <v>9</v>
      </c>
    </row>
    <row r="3371" spans="1:6" x14ac:dyDescent="0.3">
      <c r="A3371" t="s">
        <v>762</v>
      </c>
      <c r="B3371" t="s">
        <v>763</v>
      </c>
      <c r="C3371" t="str">
        <f>HYPERLINK("http://service.sap.com/sap/support/notes/2005523","2005523")</f>
        <v>2005523</v>
      </c>
      <c r="D3371">
        <v>1</v>
      </c>
      <c r="E3371" t="s">
        <v>3740</v>
      </c>
      <c r="F3371" t="s">
        <v>28</v>
      </c>
    </row>
    <row r="3372" spans="1:6" x14ac:dyDescent="0.3">
      <c r="A3372" t="s">
        <v>762</v>
      </c>
      <c r="B3372" t="s">
        <v>763</v>
      </c>
      <c r="C3372" t="str">
        <f>HYPERLINK("http://service.sap.com/sap/support/notes/2006330","2006330")</f>
        <v>2006330</v>
      </c>
      <c r="D3372">
        <v>1</v>
      </c>
      <c r="E3372" t="s">
        <v>3741</v>
      </c>
      <c r="F3372" t="s">
        <v>9</v>
      </c>
    </row>
    <row r="3373" spans="1:6" x14ac:dyDescent="0.3">
      <c r="A3373" t="s">
        <v>762</v>
      </c>
      <c r="B3373" t="s">
        <v>763</v>
      </c>
      <c r="C3373" t="str">
        <f>HYPERLINK("http://service.sap.com/sap/support/notes/2007199","2007199")</f>
        <v>2007199</v>
      </c>
      <c r="D3373">
        <v>1</v>
      </c>
      <c r="E3373" t="s">
        <v>3742</v>
      </c>
      <c r="F3373" t="s">
        <v>9</v>
      </c>
    </row>
    <row r="3374" spans="1:6" x14ac:dyDescent="0.3">
      <c r="A3374" t="s">
        <v>762</v>
      </c>
      <c r="B3374" t="s">
        <v>763</v>
      </c>
      <c r="C3374" t="str">
        <f>HYPERLINK("http://service.sap.com/sap/support/notes/1930636","1930636")</f>
        <v>1930636</v>
      </c>
      <c r="D3374">
        <v>2</v>
      </c>
      <c r="E3374" t="s">
        <v>4236</v>
      </c>
      <c r="F3374" t="s">
        <v>28</v>
      </c>
    </row>
    <row r="3375" spans="1:6" x14ac:dyDescent="0.3">
      <c r="A3375" t="s">
        <v>762</v>
      </c>
      <c r="B3375" t="s">
        <v>763</v>
      </c>
      <c r="C3375" t="str">
        <f>HYPERLINK("http://service.sap.com/sap/support/notes/2012404","2012404")</f>
        <v>2012404</v>
      </c>
      <c r="D3375">
        <v>1</v>
      </c>
      <c r="E3375" t="s">
        <v>4237</v>
      </c>
      <c r="F3375" t="s">
        <v>9</v>
      </c>
    </row>
    <row r="3376" spans="1:6" x14ac:dyDescent="0.3">
      <c r="A3376" t="s">
        <v>762</v>
      </c>
      <c r="B3376" t="s">
        <v>763</v>
      </c>
      <c r="C3376" t="str">
        <f>HYPERLINK("http://service.sap.com/sap/support/notes/2015125","2015125")</f>
        <v>2015125</v>
      </c>
      <c r="D3376">
        <v>2</v>
      </c>
      <c r="E3376" t="s">
        <v>4238</v>
      </c>
      <c r="F3376" t="s">
        <v>9</v>
      </c>
    </row>
    <row r="3377" spans="1:6" x14ac:dyDescent="0.3">
      <c r="A3377" t="s">
        <v>762</v>
      </c>
      <c r="B3377" t="s">
        <v>763</v>
      </c>
      <c r="C3377" t="str">
        <f>HYPERLINK("http://service.sap.com/sap/support/notes/2015480","2015480")</f>
        <v>2015480</v>
      </c>
      <c r="D3377">
        <v>1</v>
      </c>
      <c r="E3377" t="s">
        <v>4239</v>
      </c>
      <c r="F3377" t="s">
        <v>9</v>
      </c>
    </row>
    <row r="3378" spans="1:6" x14ac:dyDescent="0.3">
      <c r="A3378" t="s">
        <v>762</v>
      </c>
      <c r="B3378" t="s">
        <v>763</v>
      </c>
      <c r="C3378" t="str">
        <f>HYPERLINK("http://service.sap.com/sap/support/notes/2020626","2020626")</f>
        <v>2020626</v>
      </c>
      <c r="D3378">
        <v>1</v>
      </c>
      <c r="E3378" t="s">
        <v>4572</v>
      </c>
      <c r="F3378" t="s">
        <v>9</v>
      </c>
    </row>
    <row r="3379" spans="1:6" x14ac:dyDescent="0.3">
      <c r="A3379" t="s">
        <v>762</v>
      </c>
      <c r="B3379" t="s">
        <v>763</v>
      </c>
      <c r="C3379" t="str">
        <f>HYPERLINK("http://service.sap.com/sap/support/notes/2026857","2026857")</f>
        <v>2026857</v>
      </c>
      <c r="D3379">
        <v>1</v>
      </c>
      <c r="E3379" t="s">
        <v>4573</v>
      </c>
      <c r="F3379" t="s">
        <v>9</v>
      </c>
    </row>
    <row r="3380" spans="1:6" x14ac:dyDescent="0.3">
      <c r="A3380" t="s">
        <v>762</v>
      </c>
      <c r="B3380" t="s">
        <v>763</v>
      </c>
      <c r="C3380" t="str">
        <f>HYPERLINK("http://service.sap.com/sap/support/notes/2027505","2027505")</f>
        <v>2027505</v>
      </c>
      <c r="D3380">
        <v>2</v>
      </c>
      <c r="E3380" t="s">
        <v>4574</v>
      </c>
      <c r="F3380" t="s">
        <v>9</v>
      </c>
    </row>
    <row r="3381" spans="1:6" x14ac:dyDescent="0.3">
      <c r="A3381" t="s">
        <v>762</v>
      </c>
      <c r="B3381" t="s">
        <v>763</v>
      </c>
      <c r="C3381" t="str">
        <f>HYPERLINK("http://service.sap.com/sap/support/notes/2029084","2029084")</f>
        <v>2029084</v>
      </c>
      <c r="D3381">
        <v>1</v>
      </c>
      <c r="E3381" t="s">
        <v>4575</v>
      </c>
      <c r="F3381" t="s">
        <v>9</v>
      </c>
    </row>
    <row r="3382" spans="1:6" x14ac:dyDescent="0.3">
      <c r="A3382" t="s">
        <v>762</v>
      </c>
      <c r="B3382" t="s">
        <v>763</v>
      </c>
      <c r="C3382" t="str">
        <f>HYPERLINK("http://service.sap.com/sap/support/notes/2029572","2029572")</f>
        <v>2029572</v>
      </c>
      <c r="D3382">
        <v>1</v>
      </c>
      <c r="E3382" t="s">
        <v>4576</v>
      </c>
      <c r="F3382" t="s">
        <v>9</v>
      </c>
    </row>
    <row r="3383" spans="1:6" x14ac:dyDescent="0.3">
      <c r="A3383" t="s">
        <v>762</v>
      </c>
      <c r="B3383" t="s">
        <v>763</v>
      </c>
      <c r="C3383" t="str">
        <f>HYPERLINK("http://service.sap.com/sap/support/notes/2029577","2029577")</f>
        <v>2029577</v>
      </c>
      <c r="D3383">
        <v>1</v>
      </c>
      <c r="E3383" t="s">
        <v>4577</v>
      </c>
      <c r="F3383" t="s">
        <v>9</v>
      </c>
    </row>
    <row r="3384" spans="1:6" x14ac:dyDescent="0.3">
      <c r="A3384" t="s">
        <v>762</v>
      </c>
      <c r="B3384" t="s">
        <v>763</v>
      </c>
      <c r="C3384" t="str">
        <f>HYPERLINK("http://service.sap.com/sap/support/notes/2031754","2031754")</f>
        <v>2031754</v>
      </c>
      <c r="D3384">
        <v>1</v>
      </c>
      <c r="E3384" t="s">
        <v>4911</v>
      </c>
      <c r="F3384" t="s">
        <v>9</v>
      </c>
    </row>
    <row r="3385" spans="1:6" x14ac:dyDescent="0.3">
      <c r="A3385" t="s">
        <v>762</v>
      </c>
      <c r="B3385" t="s">
        <v>763</v>
      </c>
      <c r="C3385" t="str">
        <f>HYPERLINK("http://service.sap.com/sap/support/notes/2034401","2034401")</f>
        <v>2034401</v>
      </c>
      <c r="D3385">
        <v>1</v>
      </c>
      <c r="E3385" t="s">
        <v>4912</v>
      </c>
      <c r="F3385" t="s">
        <v>9</v>
      </c>
    </row>
    <row r="3386" spans="1:6" x14ac:dyDescent="0.3">
      <c r="A3386" t="s">
        <v>762</v>
      </c>
      <c r="B3386" t="s">
        <v>763</v>
      </c>
      <c r="C3386" t="str">
        <f>HYPERLINK("http://service.sap.com/sap/support/notes/2034420","2034420")</f>
        <v>2034420</v>
      </c>
      <c r="D3386">
        <v>1</v>
      </c>
      <c r="E3386" t="s">
        <v>4913</v>
      </c>
      <c r="F3386" t="s">
        <v>9</v>
      </c>
    </row>
    <row r="3387" spans="1:6" x14ac:dyDescent="0.3">
      <c r="A3387" t="s">
        <v>762</v>
      </c>
      <c r="B3387" t="s">
        <v>763</v>
      </c>
      <c r="C3387" t="str">
        <f>HYPERLINK("http://service.sap.com/sap/support/notes/2036801","2036801")</f>
        <v>2036801</v>
      </c>
      <c r="D3387">
        <v>1</v>
      </c>
      <c r="E3387" t="s">
        <v>4914</v>
      </c>
      <c r="F3387" t="s">
        <v>9</v>
      </c>
    </row>
    <row r="3388" spans="1:6" x14ac:dyDescent="0.3">
      <c r="A3388" t="s">
        <v>762</v>
      </c>
      <c r="B3388" t="s">
        <v>763</v>
      </c>
      <c r="C3388" t="str">
        <f>HYPERLINK("http://service.sap.com/sap/support/notes/2037226","2037226")</f>
        <v>2037226</v>
      </c>
      <c r="D3388">
        <v>1</v>
      </c>
      <c r="E3388" t="s">
        <v>4915</v>
      </c>
      <c r="F3388" t="s">
        <v>28</v>
      </c>
    </row>
    <row r="3389" spans="1:6" x14ac:dyDescent="0.3">
      <c r="A3389" t="s">
        <v>762</v>
      </c>
      <c r="B3389" t="s">
        <v>763</v>
      </c>
      <c r="C3389" t="str">
        <f>HYPERLINK("http://service.sap.com/sap/support/notes/2037639","2037639")</f>
        <v>2037639</v>
      </c>
      <c r="D3389">
        <v>1</v>
      </c>
      <c r="E3389" t="s">
        <v>4916</v>
      </c>
      <c r="F3389" t="s">
        <v>9</v>
      </c>
    </row>
    <row r="3390" spans="1:6" x14ac:dyDescent="0.3">
      <c r="A3390" t="s">
        <v>762</v>
      </c>
      <c r="B3390" t="s">
        <v>763</v>
      </c>
      <c r="C3390" t="str">
        <f>HYPERLINK("http://service.sap.com/sap/support/notes/2041141","2041141")</f>
        <v>2041141</v>
      </c>
      <c r="D3390">
        <v>1</v>
      </c>
      <c r="E3390" t="s">
        <v>4917</v>
      </c>
      <c r="F3390" t="s">
        <v>9</v>
      </c>
    </row>
    <row r="3391" spans="1:6" x14ac:dyDescent="0.3">
      <c r="A3391" t="s">
        <v>762</v>
      </c>
      <c r="B3391" t="s">
        <v>763</v>
      </c>
      <c r="C3391" t="str">
        <f>HYPERLINK("http://service.sap.com/sap/support/notes/2061279","2061279")</f>
        <v>2061279</v>
      </c>
      <c r="D3391">
        <v>1</v>
      </c>
      <c r="E3391" t="s">
        <v>5593</v>
      </c>
      <c r="F3391" t="s">
        <v>9</v>
      </c>
    </row>
    <row r="3392" spans="1:6" x14ac:dyDescent="0.3">
      <c r="A3392" t="s">
        <v>762</v>
      </c>
      <c r="B3392" t="s">
        <v>763</v>
      </c>
      <c r="C3392" t="str">
        <f>HYPERLINK("http://service.sap.com/sap/support/notes/2061654","2061654")</f>
        <v>2061654</v>
      </c>
      <c r="D3392">
        <v>1</v>
      </c>
      <c r="E3392" t="s">
        <v>5594</v>
      </c>
      <c r="F3392" t="s">
        <v>9</v>
      </c>
    </row>
    <row r="3393" spans="1:6" x14ac:dyDescent="0.3">
      <c r="A3393" t="s">
        <v>762</v>
      </c>
      <c r="B3393" t="s">
        <v>763</v>
      </c>
      <c r="C3393" t="str">
        <f>HYPERLINK("http://service.sap.com/sap/support/notes/2064349","2064349")</f>
        <v>2064349</v>
      </c>
      <c r="D3393">
        <v>1</v>
      </c>
      <c r="E3393" t="s">
        <v>5595</v>
      </c>
      <c r="F3393" t="s">
        <v>9</v>
      </c>
    </row>
    <row r="3394" spans="1:6" x14ac:dyDescent="0.3">
      <c r="A3394" t="s">
        <v>773</v>
      </c>
      <c r="B3394" t="s">
        <v>774</v>
      </c>
      <c r="C3394" t="str">
        <f>HYPERLINK("http://service.sap.com/sap/support/notes/1917158","1917158")</f>
        <v>1917158</v>
      </c>
      <c r="D3394">
        <v>2</v>
      </c>
      <c r="E3394" t="s">
        <v>775</v>
      </c>
      <c r="F3394" t="s">
        <v>9</v>
      </c>
    </row>
    <row r="3395" spans="1:6" x14ac:dyDescent="0.3">
      <c r="A3395" t="s">
        <v>773</v>
      </c>
      <c r="B3395" t="s">
        <v>774</v>
      </c>
      <c r="C3395" t="str">
        <f>HYPERLINK("http://service.sap.com/sap/support/notes/1925529","1925529")</f>
        <v>1925529</v>
      </c>
      <c r="D3395">
        <v>2</v>
      </c>
      <c r="E3395" t="s">
        <v>776</v>
      </c>
      <c r="F3395" t="s">
        <v>9</v>
      </c>
    </row>
    <row r="3396" spans="1:6" x14ac:dyDescent="0.3">
      <c r="A3396" t="s">
        <v>773</v>
      </c>
      <c r="B3396" t="s">
        <v>774</v>
      </c>
      <c r="C3396" t="str">
        <f>HYPERLINK("http://service.sap.com/sap/support/notes/1929230","1929230")</f>
        <v>1929230</v>
      </c>
      <c r="D3396">
        <v>1</v>
      </c>
      <c r="E3396" t="s">
        <v>777</v>
      </c>
      <c r="F3396" t="s">
        <v>9</v>
      </c>
    </row>
    <row r="3397" spans="1:6" x14ac:dyDescent="0.3">
      <c r="A3397" t="s">
        <v>773</v>
      </c>
      <c r="B3397" t="s">
        <v>774</v>
      </c>
      <c r="C3397" t="str">
        <f>HYPERLINK("http://service.sap.com/sap/support/notes/1946759","1946759")</f>
        <v>1946759</v>
      </c>
      <c r="D3397">
        <v>2</v>
      </c>
      <c r="E3397" t="s">
        <v>1823</v>
      </c>
      <c r="F3397" t="s">
        <v>9</v>
      </c>
    </row>
    <row r="3398" spans="1:6" x14ac:dyDescent="0.3">
      <c r="A3398" t="s">
        <v>773</v>
      </c>
      <c r="B3398" t="s">
        <v>774</v>
      </c>
      <c r="C3398" t="str">
        <f>HYPERLINK("http://service.sap.com/sap/support/notes/1950368","1950368")</f>
        <v>1950368</v>
      </c>
      <c r="D3398">
        <v>1</v>
      </c>
      <c r="E3398" t="s">
        <v>1824</v>
      </c>
      <c r="F3398" t="s">
        <v>9</v>
      </c>
    </row>
    <row r="3399" spans="1:6" x14ac:dyDescent="0.3">
      <c r="A3399" t="s">
        <v>773</v>
      </c>
      <c r="B3399" t="s">
        <v>774</v>
      </c>
      <c r="C3399" t="str">
        <f>HYPERLINK("http://service.sap.com/sap/support/notes/1956600","1956600")</f>
        <v>1956600</v>
      </c>
      <c r="D3399">
        <v>1</v>
      </c>
      <c r="E3399" t="s">
        <v>1825</v>
      </c>
      <c r="F3399" t="s">
        <v>9</v>
      </c>
    </row>
    <row r="3400" spans="1:6" x14ac:dyDescent="0.3">
      <c r="A3400" t="s">
        <v>773</v>
      </c>
      <c r="B3400" t="s">
        <v>774</v>
      </c>
      <c r="C3400" t="str">
        <f>HYPERLINK("http://service.sap.com/sap/support/notes/1961138","1961138")</f>
        <v>1961138</v>
      </c>
      <c r="D3400">
        <v>1</v>
      </c>
      <c r="E3400" t="s">
        <v>1826</v>
      </c>
      <c r="F3400" t="s">
        <v>28</v>
      </c>
    </row>
    <row r="3401" spans="1:6" x14ac:dyDescent="0.3">
      <c r="A3401" t="s">
        <v>773</v>
      </c>
      <c r="B3401" t="s">
        <v>774</v>
      </c>
      <c r="C3401" t="str">
        <f>HYPERLINK("http://service.sap.com/sap/support/notes/1961097","1961097")</f>
        <v>1961097</v>
      </c>
      <c r="D3401">
        <v>1</v>
      </c>
      <c r="E3401" t="s">
        <v>2248</v>
      </c>
      <c r="F3401" t="s">
        <v>9</v>
      </c>
    </row>
    <row r="3402" spans="1:6" x14ac:dyDescent="0.3">
      <c r="A3402" t="s">
        <v>773</v>
      </c>
      <c r="B3402" t="s">
        <v>774</v>
      </c>
      <c r="C3402" t="str">
        <f>HYPERLINK("http://service.sap.com/sap/support/notes/1962492","1962492")</f>
        <v>1962492</v>
      </c>
      <c r="D3402">
        <v>1</v>
      </c>
      <c r="E3402" t="s">
        <v>2249</v>
      </c>
      <c r="F3402" t="s">
        <v>9</v>
      </c>
    </row>
    <row r="3403" spans="1:6" x14ac:dyDescent="0.3">
      <c r="A3403" t="s">
        <v>773</v>
      </c>
      <c r="B3403" t="s">
        <v>774</v>
      </c>
      <c r="C3403" t="str">
        <f>HYPERLINK("http://service.sap.com/sap/support/notes/1963029","1963029")</f>
        <v>1963029</v>
      </c>
      <c r="D3403">
        <v>1</v>
      </c>
      <c r="E3403" t="s">
        <v>2250</v>
      </c>
      <c r="F3403" t="s">
        <v>9</v>
      </c>
    </row>
    <row r="3404" spans="1:6" x14ac:dyDescent="0.3">
      <c r="A3404" t="s">
        <v>773</v>
      </c>
      <c r="B3404" t="s">
        <v>774</v>
      </c>
      <c r="C3404" t="str">
        <f>HYPERLINK("http://service.sap.com/sap/support/notes/1964245","1964245")</f>
        <v>1964245</v>
      </c>
      <c r="D3404">
        <v>2</v>
      </c>
      <c r="E3404" t="s">
        <v>2630</v>
      </c>
      <c r="F3404" t="s">
        <v>9</v>
      </c>
    </row>
    <row r="3405" spans="1:6" x14ac:dyDescent="0.3">
      <c r="A3405" t="s">
        <v>773</v>
      </c>
      <c r="B3405" t="s">
        <v>774</v>
      </c>
      <c r="C3405" t="str">
        <f>HYPERLINK("http://service.sap.com/sap/support/notes/1979230","1979230")</f>
        <v>1979230</v>
      </c>
      <c r="D3405">
        <v>1</v>
      </c>
      <c r="E3405" t="s">
        <v>2631</v>
      </c>
      <c r="F3405" t="s">
        <v>28</v>
      </c>
    </row>
    <row r="3406" spans="1:6" x14ac:dyDescent="0.3">
      <c r="A3406" t="s">
        <v>773</v>
      </c>
      <c r="B3406" t="s">
        <v>774</v>
      </c>
      <c r="C3406" t="str">
        <f>HYPERLINK("http://service.sap.com/sap/support/notes/1979632","1979632")</f>
        <v>1979632</v>
      </c>
      <c r="D3406">
        <v>1</v>
      </c>
      <c r="E3406" t="s">
        <v>2632</v>
      </c>
      <c r="F3406" t="s">
        <v>9</v>
      </c>
    </row>
    <row r="3407" spans="1:6" x14ac:dyDescent="0.3">
      <c r="A3407" t="s">
        <v>773</v>
      </c>
      <c r="B3407" t="s">
        <v>774</v>
      </c>
      <c r="C3407" t="str">
        <f>HYPERLINK("http://service.sap.com/sap/support/notes/1982746","1982746")</f>
        <v>1982746</v>
      </c>
      <c r="D3407">
        <v>1</v>
      </c>
      <c r="E3407" t="s">
        <v>2633</v>
      </c>
      <c r="F3407" t="s">
        <v>9</v>
      </c>
    </row>
    <row r="3408" spans="1:6" x14ac:dyDescent="0.3">
      <c r="A3408" t="s">
        <v>773</v>
      </c>
      <c r="B3408" t="s">
        <v>774</v>
      </c>
      <c r="C3408" t="str">
        <f>HYPERLINK("http://service.sap.com/sap/support/notes/1982813","1982813")</f>
        <v>1982813</v>
      </c>
      <c r="D3408">
        <v>1</v>
      </c>
      <c r="E3408" t="s">
        <v>3090</v>
      </c>
      <c r="F3408" t="s">
        <v>9</v>
      </c>
    </row>
    <row r="3409" spans="1:6" x14ac:dyDescent="0.3">
      <c r="A3409" t="s">
        <v>773</v>
      </c>
      <c r="B3409" t="s">
        <v>774</v>
      </c>
      <c r="C3409" t="str">
        <f>HYPERLINK("http://service.sap.com/sap/support/notes/1984484","1984484")</f>
        <v>1984484</v>
      </c>
      <c r="D3409">
        <v>3</v>
      </c>
      <c r="E3409" t="s">
        <v>3091</v>
      </c>
      <c r="F3409" t="s">
        <v>9</v>
      </c>
    </row>
    <row r="3410" spans="1:6" x14ac:dyDescent="0.3">
      <c r="A3410" t="s">
        <v>773</v>
      </c>
      <c r="B3410" t="s">
        <v>774</v>
      </c>
      <c r="C3410" t="str">
        <f>HYPERLINK("http://service.sap.com/sap/support/notes/1991198","1991198")</f>
        <v>1991198</v>
      </c>
      <c r="D3410">
        <v>2</v>
      </c>
      <c r="E3410" t="s">
        <v>3092</v>
      </c>
      <c r="F3410" t="s">
        <v>9</v>
      </c>
    </row>
    <row r="3411" spans="1:6" x14ac:dyDescent="0.3">
      <c r="A3411" t="s">
        <v>773</v>
      </c>
      <c r="B3411" t="s">
        <v>774</v>
      </c>
      <c r="C3411" t="str">
        <f>HYPERLINK("http://service.sap.com/sap/support/notes/1801484","1801484")</f>
        <v>1801484</v>
      </c>
      <c r="D3411">
        <v>2</v>
      </c>
      <c r="E3411" t="s">
        <v>3743</v>
      </c>
      <c r="F3411" t="s">
        <v>28</v>
      </c>
    </row>
    <row r="3412" spans="1:6" x14ac:dyDescent="0.3">
      <c r="A3412" t="s">
        <v>773</v>
      </c>
      <c r="B3412" t="s">
        <v>774</v>
      </c>
      <c r="C3412" t="str">
        <f>HYPERLINK("http://service.sap.com/sap/support/notes/1966790","1966790")</f>
        <v>1966790</v>
      </c>
      <c r="D3412">
        <v>3</v>
      </c>
      <c r="E3412" t="s">
        <v>3744</v>
      </c>
      <c r="F3412" t="s">
        <v>9</v>
      </c>
    </row>
    <row r="3413" spans="1:6" x14ac:dyDescent="0.3">
      <c r="A3413" t="s">
        <v>773</v>
      </c>
      <c r="B3413" t="s">
        <v>774</v>
      </c>
      <c r="C3413" t="str">
        <f>HYPERLINK("http://service.sap.com/sap/support/notes/1996091","1996091")</f>
        <v>1996091</v>
      </c>
      <c r="D3413">
        <v>1</v>
      </c>
      <c r="E3413" t="s">
        <v>3745</v>
      </c>
      <c r="F3413" t="s">
        <v>9</v>
      </c>
    </row>
    <row r="3414" spans="1:6" x14ac:dyDescent="0.3">
      <c r="A3414" t="s">
        <v>773</v>
      </c>
      <c r="B3414" t="s">
        <v>774</v>
      </c>
      <c r="C3414" t="str">
        <f>HYPERLINK("http://service.sap.com/sap/support/notes/2003755","2003755")</f>
        <v>2003755</v>
      </c>
      <c r="D3414">
        <v>1</v>
      </c>
      <c r="E3414" t="s">
        <v>3746</v>
      </c>
      <c r="F3414" t="s">
        <v>9</v>
      </c>
    </row>
    <row r="3415" spans="1:6" x14ac:dyDescent="0.3">
      <c r="A3415" t="s">
        <v>773</v>
      </c>
      <c r="B3415" t="s">
        <v>774</v>
      </c>
      <c r="C3415" t="str">
        <f>HYPERLINK("http://service.sap.com/sap/support/notes/2006174","2006174")</f>
        <v>2006174</v>
      </c>
      <c r="D3415">
        <v>1</v>
      </c>
      <c r="E3415" t="s">
        <v>3747</v>
      </c>
      <c r="F3415" t="s">
        <v>9</v>
      </c>
    </row>
    <row r="3416" spans="1:6" x14ac:dyDescent="0.3">
      <c r="A3416" t="s">
        <v>773</v>
      </c>
      <c r="B3416" t="s">
        <v>774</v>
      </c>
      <c r="C3416" t="str">
        <f>HYPERLINK("http://service.sap.com/sap/support/notes/2015701","2015701")</f>
        <v>2015701</v>
      </c>
      <c r="D3416">
        <v>1</v>
      </c>
      <c r="E3416" t="s">
        <v>4240</v>
      </c>
      <c r="F3416" t="s">
        <v>28</v>
      </c>
    </row>
    <row r="3417" spans="1:6" x14ac:dyDescent="0.3">
      <c r="A3417" t="s">
        <v>773</v>
      </c>
      <c r="B3417" t="s">
        <v>774</v>
      </c>
      <c r="C3417" t="str">
        <f>HYPERLINK("http://service.sap.com/sap/support/notes/2035243","2035243")</f>
        <v>2035243</v>
      </c>
      <c r="D3417">
        <v>2</v>
      </c>
      <c r="E3417" t="s">
        <v>4918</v>
      </c>
      <c r="F3417" t="s">
        <v>9</v>
      </c>
    </row>
    <row r="3418" spans="1:6" x14ac:dyDescent="0.3">
      <c r="A3418" t="s">
        <v>778</v>
      </c>
      <c r="B3418" t="s">
        <v>779</v>
      </c>
      <c r="C3418" t="str">
        <f>HYPERLINK("http://service.sap.com/sap/support/notes/1920279","1920279")</f>
        <v>1920279</v>
      </c>
      <c r="D3418">
        <v>1</v>
      </c>
      <c r="E3418" t="s">
        <v>780</v>
      </c>
      <c r="F3418" t="s">
        <v>9</v>
      </c>
    </row>
    <row r="3419" spans="1:6" x14ac:dyDescent="0.3">
      <c r="A3419" t="s">
        <v>778</v>
      </c>
      <c r="B3419" t="s">
        <v>779</v>
      </c>
      <c r="C3419" t="str">
        <f>HYPERLINK("http://service.sap.com/sap/support/notes/1920568","1920568")</f>
        <v>1920568</v>
      </c>
      <c r="D3419">
        <v>1</v>
      </c>
      <c r="E3419" t="s">
        <v>781</v>
      </c>
      <c r="F3419" t="s">
        <v>9</v>
      </c>
    </row>
    <row r="3420" spans="1:6" x14ac:dyDescent="0.3">
      <c r="A3420" t="s">
        <v>778</v>
      </c>
      <c r="B3420" t="s">
        <v>779</v>
      </c>
      <c r="C3420" t="str">
        <f>HYPERLINK("http://service.sap.com/sap/support/notes/1920928","1920928")</f>
        <v>1920928</v>
      </c>
      <c r="D3420">
        <v>1</v>
      </c>
      <c r="E3420" t="s">
        <v>782</v>
      </c>
      <c r="F3420" t="s">
        <v>9</v>
      </c>
    </row>
    <row r="3421" spans="1:6" x14ac:dyDescent="0.3">
      <c r="A3421" t="s">
        <v>778</v>
      </c>
      <c r="B3421" t="s">
        <v>779</v>
      </c>
      <c r="C3421" t="str">
        <f>HYPERLINK("http://service.sap.com/sap/support/notes/1884358","1884358")</f>
        <v>1884358</v>
      </c>
      <c r="D3421">
        <v>1</v>
      </c>
      <c r="E3421" t="s">
        <v>1307</v>
      </c>
      <c r="F3421" t="s">
        <v>28</v>
      </c>
    </row>
    <row r="3422" spans="1:6" x14ac:dyDescent="0.3">
      <c r="A3422" t="s">
        <v>778</v>
      </c>
      <c r="B3422" t="s">
        <v>779</v>
      </c>
      <c r="C3422" t="str">
        <f>HYPERLINK("http://service.sap.com/sap/support/notes/1928309","1928309")</f>
        <v>1928309</v>
      </c>
      <c r="D3422">
        <v>1</v>
      </c>
      <c r="E3422" t="s">
        <v>1308</v>
      </c>
      <c r="F3422" t="s">
        <v>16</v>
      </c>
    </row>
    <row r="3423" spans="1:6" x14ac:dyDescent="0.3">
      <c r="A3423" t="s">
        <v>778</v>
      </c>
      <c r="B3423" t="s">
        <v>779</v>
      </c>
      <c r="C3423" t="str">
        <f>HYPERLINK("http://service.sap.com/sap/support/notes/1934523","1934523")</f>
        <v>1934523</v>
      </c>
      <c r="D3423">
        <v>1</v>
      </c>
      <c r="E3423" t="s">
        <v>1309</v>
      </c>
      <c r="F3423" t="s">
        <v>9</v>
      </c>
    </row>
    <row r="3424" spans="1:6" x14ac:dyDescent="0.3">
      <c r="A3424" t="s">
        <v>778</v>
      </c>
      <c r="B3424" t="s">
        <v>779</v>
      </c>
      <c r="C3424" t="str">
        <f>HYPERLINK("http://service.sap.com/sap/support/notes/1940825","1940825")</f>
        <v>1940825</v>
      </c>
      <c r="D3424">
        <v>1</v>
      </c>
      <c r="E3424" t="s">
        <v>1310</v>
      </c>
      <c r="F3424" t="s">
        <v>9</v>
      </c>
    </row>
    <row r="3425" spans="1:6" x14ac:dyDescent="0.3">
      <c r="A3425" t="s">
        <v>778</v>
      </c>
      <c r="B3425" t="s">
        <v>779</v>
      </c>
      <c r="C3425" t="str">
        <f>HYPERLINK("http://service.sap.com/sap/support/notes/1926482","1926482")</f>
        <v>1926482</v>
      </c>
      <c r="D3425">
        <v>8</v>
      </c>
      <c r="E3425" t="s">
        <v>1827</v>
      </c>
      <c r="F3425" t="s">
        <v>28</v>
      </c>
    </row>
    <row r="3426" spans="1:6" x14ac:dyDescent="0.3">
      <c r="A3426" t="s">
        <v>778</v>
      </c>
      <c r="B3426" t="s">
        <v>779</v>
      </c>
      <c r="C3426" t="str">
        <f>HYPERLINK("http://service.sap.com/sap/support/notes/1940863","1940863")</f>
        <v>1940863</v>
      </c>
      <c r="D3426">
        <v>3</v>
      </c>
      <c r="E3426" t="s">
        <v>1828</v>
      </c>
      <c r="F3426" t="s">
        <v>9</v>
      </c>
    </row>
    <row r="3427" spans="1:6" x14ac:dyDescent="0.3">
      <c r="A3427" t="s">
        <v>778</v>
      </c>
      <c r="B3427" t="s">
        <v>779</v>
      </c>
      <c r="C3427" t="str">
        <f>HYPERLINK("http://service.sap.com/sap/support/notes/1952434","1952434")</f>
        <v>1952434</v>
      </c>
      <c r="D3427">
        <v>1</v>
      </c>
      <c r="E3427" t="s">
        <v>1829</v>
      </c>
      <c r="F3427" t="s">
        <v>9</v>
      </c>
    </row>
    <row r="3428" spans="1:6" x14ac:dyDescent="0.3">
      <c r="A3428" t="s">
        <v>778</v>
      </c>
      <c r="B3428" t="s">
        <v>779</v>
      </c>
      <c r="C3428" t="str">
        <f>HYPERLINK("http://service.sap.com/sap/support/notes/1952438","1952438")</f>
        <v>1952438</v>
      </c>
      <c r="D3428">
        <v>2</v>
      </c>
      <c r="E3428" t="s">
        <v>1830</v>
      </c>
      <c r="F3428" t="s">
        <v>9</v>
      </c>
    </row>
    <row r="3429" spans="1:6" x14ac:dyDescent="0.3">
      <c r="A3429" t="s">
        <v>778</v>
      </c>
      <c r="B3429" t="s">
        <v>779</v>
      </c>
      <c r="C3429" t="str">
        <f>HYPERLINK("http://service.sap.com/sap/support/notes/1953317","1953317")</f>
        <v>1953317</v>
      </c>
      <c r="D3429">
        <v>1</v>
      </c>
      <c r="E3429" t="s">
        <v>1831</v>
      </c>
      <c r="F3429" t="s">
        <v>9</v>
      </c>
    </row>
    <row r="3430" spans="1:6" x14ac:dyDescent="0.3">
      <c r="A3430" t="s">
        <v>778</v>
      </c>
      <c r="B3430" t="s">
        <v>779</v>
      </c>
      <c r="C3430" t="str">
        <f>HYPERLINK("http://service.sap.com/sap/support/notes/1954690","1954690")</f>
        <v>1954690</v>
      </c>
      <c r="D3430">
        <v>1</v>
      </c>
      <c r="E3430" t="s">
        <v>1832</v>
      </c>
      <c r="F3430" t="s">
        <v>9</v>
      </c>
    </row>
    <row r="3431" spans="1:6" x14ac:dyDescent="0.3">
      <c r="A3431" t="s">
        <v>778</v>
      </c>
      <c r="B3431" t="s">
        <v>779</v>
      </c>
      <c r="C3431" t="str">
        <f>HYPERLINK("http://service.sap.com/sap/support/notes/1958612","1958612")</f>
        <v>1958612</v>
      </c>
      <c r="D3431">
        <v>1</v>
      </c>
      <c r="E3431" t="s">
        <v>1833</v>
      </c>
      <c r="F3431" t="s">
        <v>9</v>
      </c>
    </row>
    <row r="3432" spans="1:6" x14ac:dyDescent="0.3">
      <c r="A3432" t="s">
        <v>778</v>
      </c>
      <c r="B3432" t="s">
        <v>779</v>
      </c>
      <c r="C3432" t="str">
        <f>HYPERLINK("http://service.sap.com/sap/support/notes/1961284","1961284")</f>
        <v>1961284</v>
      </c>
      <c r="D3432">
        <v>1</v>
      </c>
      <c r="E3432" t="s">
        <v>1834</v>
      </c>
      <c r="F3432" t="s">
        <v>9</v>
      </c>
    </row>
    <row r="3433" spans="1:6" x14ac:dyDescent="0.3">
      <c r="A3433" t="s">
        <v>778</v>
      </c>
      <c r="B3433" t="s">
        <v>779</v>
      </c>
      <c r="C3433" t="str">
        <f>HYPERLINK("http://service.sap.com/sap/support/notes/1950546","1950546")</f>
        <v>1950546</v>
      </c>
      <c r="D3433">
        <v>2</v>
      </c>
      <c r="E3433" t="s">
        <v>2251</v>
      </c>
      <c r="F3433" t="s">
        <v>9</v>
      </c>
    </row>
    <row r="3434" spans="1:6" x14ac:dyDescent="0.3">
      <c r="A3434" t="s">
        <v>778</v>
      </c>
      <c r="B3434" t="s">
        <v>779</v>
      </c>
      <c r="C3434" t="str">
        <f>HYPERLINK("http://service.sap.com/sap/support/notes/1968517","1968517")</f>
        <v>1968517</v>
      </c>
      <c r="D3434">
        <v>1</v>
      </c>
      <c r="E3434" t="s">
        <v>2252</v>
      </c>
      <c r="F3434" t="s">
        <v>9</v>
      </c>
    </row>
    <row r="3435" spans="1:6" x14ac:dyDescent="0.3">
      <c r="A3435" t="s">
        <v>778</v>
      </c>
      <c r="B3435" t="s">
        <v>779</v>
      </c>
      <c r="C3435" t="str">
        <f>HYPERLINK("http://service.sap.com/sap/support/notes/1928769","1928769")</f>
        <v>1928769</v>
      </c>
      <c r="D3435">
        <v>2</v>
      </c>
      <c r="E3435" t="s">
        <v>2634</v>
      </c>
      <c r="F3435" t="s">
        <v>9</v>
      </c>
    </row>
    <row r="3436" spans="1:6" x14ac:dyDescent="0.3">
      <c r="A3436" t="s">
        <v>778</v>
      </c>
      <c r="B3436" t="s">
        <v>779</v>
      </c>
      <c r="C3436" t="str">
        <f>HYPERLINK("http://service.sap.com/sap/support/notes/1968440","1968440")</f>
        <v>1968440</v>
      </c>
      <c r="D3436">
        <v>3</v>
      </c>
      <c r="E3436" t="s">
        <v>2635</v>
      </c>
      <c r="F3436" t="s">
        <v>9</v>
      </c>
    </row>
    <row r="3437" spans="1:6" x14ac:dyDescent="0.3">
      <c r="A3437" t="s">
        <v>778</v>
      </c>
      <c r="B3437" t="s">
        <v>779</v>
      </c>
      <c r="C3437" t="str">
        <f>HYPERLINK("http://service.sap.com/sap/support/notes/1969804","1969804")</f>
        <v>1969804</v>
      </c>
      <c r="D3437">
        <v>1</v>
      </c>
      <c r="E3437" t="s">
        <v>2636</v>
      </c>
      <c r="F3437" t="s">
        <v>9</v>
      </c>
    </row>
    <row r="3438" spans="1:6" x14ac:dyDescent="0.3">
      <c r="A3438" t="s">
        <v>778</v>
      </c>
      <c r="B3438" t="s">
        <v>779</v>
      </c>
      <c r="C3438" t="str">
        <f>HYPERLINK("http://service.sap.com/sap/support/notes/1970724","1970724")</f>
        <v>1970724</v>
      </c>
      <c r="D3438">
        <v>1</v>
      </c>
      <c r="E3438" t="s">
        <v>2637</v>
      </c>
      <c r="F3438" t="s">
        <v>9</v>
      </c>
    </row>
    <row r="3439" spans="1:6" x14ac:dyDescent="0.3">
      <c r="A3439" t="s">
        <v>778</v>
      </c>
      <c r="B3439" t="s">
        <v>779</v>
      </c>
      <c r="C3439" t="str">
        <f>HYPERLINK("http://service.sap.com/sap/support/notes/1974989","1974989")</f>
        <v>1974989</v>
      </c>
      <c r="D3439">
        <v>1</v>
      </c>
      <c r="E3439" t="s">
        <v>2638</v>
      </c>
      <c r="F3439" t="s">
        <v>9</v>
      </c>
    </row>
    <row r="3440" spans="1:6" x14ac:dyDescent="0.3">
      <c r="A3440" t="s">
        <v>778</v>
      </c>
      <c r="B3440" t="s">
        <v>779</v>
      </c>
      <c r="C3440" t="str">
        <f>HYPERLINK("http://service.sap.com/sap/support/notes/1976928","1976928")</f>
        <v>1976928</v>
      </c>
      <c r="D3440">
        <v>1</v>
      </c>
      <c r="E3440" t="s">
        <v>2639</v>
      </c>
      <c r="F3440" t="s">
        <v>9</v>
      </c>
    </row>
    <row r="3441" spans="1:6" x14ac:dyDescent="0.3">
      <c r="A3441" t="s">
        <v>778</v>
      </c>
      <c r="B3441" t="s">
        <v>779</v>
      </c>
      <c r="C3441" t="str">
        <f>HYPERLINK("http://service.sap.com/sap/support/notes/1981153","1981153")</f>
        <v>1981153</v>
      </c>
      <c r="D3441">
        <v>1</v>
      </c>
      <c r="E3441" t="s">
        <v>2640</v>
      </c>
      <c r="F3441" t="s">
        <v>9</v>
      </c>
    </row>
    <row r="3442" spans="1:6" x14ac:dyDescent="0.3">
      <c r="A3442" t="s">
        <v>778</v>
      </c>
      <c r="B3442" t="s">
        <v>779</v>
      </c>
      <c r="C3442" t="str">
        <f>HYPERLINK("http://service.sap.com/sap/support/notes/1979226","1979226")</f>
        <v>1979226</v>
      </c>
      <c r="D3442">
        <v>2</v>
      </c>
      <c r="E3442" t="s">
        <v>3093</v>
      </c>
      <c r="F3442" t="s">
        <v>9</v>
      </c>
    </row>
    <row r="3443" spans="1:6" x14ac:dyDescent="0.3">
      <c r="A3443" t="s">
        <v>778</v>
      </c>
      <c r="B3443" t="s">
        <v>779</v>
      </c>
      <c r="C3443" t="str">
        <f>HYPERLINK("http://service.sap.com/sap/support/notes/1986279","1986279")</f>
        <v>1986279</v>
      </c>
      <c r="D3443">
        <v>1</v>
      </c>
      <c r="E3443" t="s">
        <v>3094</v>
      </c>
      <c r="F3443" t="s">
        <v>16</v>
      </c>
    </row>
    <row r="3444" spans="1:6" x14ac:dyDescent="0.3">
      <c r="A3444" t="s">
        <v>778</v>
      </c>
      <c r="B3444" t="s">
        <v>779</v>
      </c>
      <c r="C3444" t="str">
        <f>HYPERLINK("http://service.sap.com/sap/support/notes/1986784","1986784")</f>
        <v>1986784</v>
      </c>
      <c r="D3444">
        <v>2</v>
      </c>
      <c r="E3444" t="s">
        <v>3748</v>
      </c>
      <c r="F3444" t="s">
        <v>9</v>
      </c>
    </row>
    <row r="3445" spans="1:6" x14ac:dyDescent="0.3">
      <c r="A3445" t="s">
        <v>778</v>
      </c>
      <c r="B3445" t="s">
        <v>779</v>
      </c>
      <c r="C3445" t="str">
        <f>HYPERLINK("http://service.sap.com/sap/support/notes/1996417","1996417")</f>
        <v>1996417</v>
      </c>
      <c r="D3445">
        <v>1</v>
      </c>
      <c r="E3445" t="s">
        <v>3749</v>
      </c>
      <c r="F3445" t="s">
        <v>9</v>
      </c>
    </row>
    <row r="3446" spans="1:6" x14ac:dyDescent="0.3">
      <c r="A3446" t="s">
        <v>778</v>
      </c>
      <c r="B3446" t="s">
        <v>779</v>
      </c>
      <c r="C3446" t="str">
        <f>HYPERLINK("http://service.sap.com/sap/support/notes/1998745","1998745")</f>
        <v>1998745</v>
      </c>
      <c r="D3446">
        <v>2</v>
      </c>
      <c r="E3446" t="s">
        <v>3750</v>
      </c>
      <c r="F3446" t="s">
        <v>9</v>
      </c>
    </row>
    <row r="3447" spans="1:6" x14ac:dyDescent="0.3">
      <c r="A3447" t="s">
        <v>778</v>
      </c>
      <c r="B3447" t="s">
        <v>779</v>
      </c>
      <c r="C3447" t="str">
        <f>HYPERLINK("http://service.sap.com/sap/support/notes/2006360","2006360")</f>
        <v>2006360</v>
      </c>
      <c r="D3447">
        <v>1</v>
      </c>
      <c r="E3447" t="s">
        <v>3751</v>
      </c>
      <c r="F3447" t="s">
        <v>9</v>
      </c>
    </row>
    <row r="3448" spans="1:6" x14ac:dyDescent="0.3">
      <c r="A3448" t="s">
        <v>778</v>
      </c>
      <c r="B3448" t="s">
        <v>779</v>
      </c>
      <c r="C3448" t="str">
        <f>HYPERLINK("http://service.sap.com/sap/support/notes/2006537","2006537")</f>
        <v>2006537</v>
      </c>
      <c r="D3448">
        <v>1</v>
      </c>
      <c r="E3448" t="s">
        <v>3752</v>
      </c>
      <c r="F3448" t="s">
        <v>9</v>
      </c>
    </row>
    <row r="3449" spans="1:6" x14ac:dyDescent="0.3">
      <c r="A3449" t="s">
        <v>778</v>
      </c>
      <c r="B3449" t="s">
        <v>779</v>
      </c>
      <c r="C3449" t="str">
        <f>HYPERLINK("http://service.sap.com/sap/support/notes/2009818","2009818")</f>
        <v>2009818</v>
      </c>
      <c r="D3449">
        <v>1</v>
      </c>
      <c r="E3449" t="s">
        <v>3753</v>
      </c>
      <c r="F3449" t="s">
        <v>9</v>
      </c>
    </row>
    <row r="3450" spans="1:6" x14ac:dyDescent="0.3">
      <c r="A3450" t="s">
        <v>778</v>
      </c>
      <c r="B3450" t="s">
        <v>779</v>
      </c>
      <c r="C3450" t="str">
        <f>HYPERLINK("http://service.sap.com/sap/support/notes/2018537","2018537")</f>
        <v>2018537</v>
      </c>
      <c r="D3450">
        <v>1</v>
      </c>
      <c r="E3450" t="s">
        <v>4241</v>
      </c>
      <c r="F3450" t="s">
        <v>9</v>
      </c>
    </row>
    <row r="3451" spans="1:6" x14ac:dyDescent="0.3">
      <c r="A3451" t="s">
        <v>778</v>
      </c>
      <c r="B3451" t="s">
        <v>779</v>
      </c>
      <c r="C3451" t="str">
        <f>HYPERLINK("http://service.sap.com/sap/support/notes/2019062","2019062")</f>
        <v>2019062</v>
      </c>
      <c r="D3451">
        <v>1</v>
      </c>
      <c r="E3451" t="s">
        <v>4242</v>
      </c>
      <c r="F3451" t="s">
        <v>9</v>
      </c>
    </row>
    <row r="3452" spans="1:6" x14ac:dyDescent="0.3">
      <c r="A3452" t="s">
        <v>778</v>
      </c>
      <c r="B3452" t="s">
        <v>779</v>
      </c>
      <c r="C3452" t="str">
        <f>HYPERLINK("http://service.sap.com/sap/support/notes/1990636","1990636")</f>
        <v>1990636</v>
      </c>
      <c r="D3452">
        <v>2</v>
      </c>
      <c r="E3452" t="s">
        <v>4578</v>
      </c>
      <c r="F3452" t="s">
        <v>9</v>
      </c>
    </row>
    <row r="3453" spans="1:6" x14ac:dyDescent="0.3">
      <c r="A3453" t="s">
        <v>778</v>
      </c>
      <c r="B3453" t="s">
        <v>779</v>
      </c>
      <c r="C3453" t="str">
        <f>HYPERLINK("http://service.sap.com/sap/support/notes/2025721","2025721")</f>
        <v>2025721</v>
      </c>
      <c r="D3453">
        <v>1</v>
      </c>
      <c r="E3453" t="s">
        <v>4579</v>
      </c>
      <c r="F3453" t="s">
        <v>9</v>
      </c>
    </row>
    <row r="3454" spans="1:6" x14ac:dyDescent="0.3">
      <c r="A3454" t="s">
        <v>778</v>
      </c>
      <c r="B3454" t="s">
        <v>779</v>
      </c>
      <c r="C3454" t="str">
        <f>HYPERLINK("http://service.sap.com/sap/support/notes/2026378","2026378")</f>
        <v>2026378</v>
      </c>
      <c r="D3454">
        <v>1</v>
      </c>
      <c r="E3454" t="s">
        <v>4580</v>
      </c>
      <c r="F3454" t="s">
        <v>9</v>
      </c>
    </row>
    <row r="3455" spans="1:6" x14ac:dyDescent="0.3">
      <c r="A3455" t="s">
        <v>778</v>
      </c>
      <c r="B3455" t="s">
        <v>779</v>
      </c>
      <c r="C3455" t="str">
        <f>HYPERLINK("http://service.sap.com/sap/support/notes/2025721","2025721")</f>
        <v>2025721</v>
      </c>
      <c r="D3455">
        <v>1</v>
      </c>
      <c r="E3455" t="s">
        <v>4579</v>
      </c>
      <c r="F3455" t="s">
        <v>9</v>
      </c>
    </row>
    <row r="3456" spans="1:6" x14ac:dyDescent="0.3">
      <c r="A3456" t="s">
        <v>778</v>
      </c>
      <c r="B3456" t="s">
        <v>779</v>
      </c>
      <c r="C3456" t="str">
        <f>HYPERLINK("http://service.sap.com/sap/support/notes/2031257","2031257")</f>
        <v>2031257</v>
      </c>
      <c r="D3456">
        <v>2</v>
      </c>
      <c r="E3456" t="s">
        <v>4919</v>
      </c>
      <c r="F3456" t="s">
        <v>9</v>
      </c>
    </row>
    <row r="3457" spans="1:6" x14ac:dyDescent="0.3">
      <c r="A3457" t="s">
        <v>778</v>
      </c>
      <c r="B3457" t="s">
        <v>779</v>
      </c>
      <c r="C3457" t="str">
        <f>HYPERLINK("http://service.sap.com/sap/support/notes/2034000","2034000")</f>
        <v>2034000</v>
      </c>
      <c r="D3457">
        <v>1</v>
      </c>
      <c r="E3457" t="s">
        <v>4920</v>
      </c>
      <c r="F3457" t="s">
        <v>9</v>
      </c>
    </row>
    <row r="3458" spans="1:6" x14ac:dyDescent="0.3">
      <c r="A3458" t="s">
        <v>778</v>
      </c>
      <c r="B3458" t="s">
        <v>779</v>
      </c>
      <c r="C3458" t="str">
        <f>HYPERLINK("http://service.sap.com/sap/support/notes/2035124","2035124")</f>
        <v>2035124</v>
      </c>
      <c r="D3458">
        <v>2</v>
      </c>
      <c r="E3458" t="s">
        <v>4921</v>
      </c>
      <c r="F3458" t="s">
        <v>9</v>
      </c>
    </row>
    <row r="3459" spans="1:6" x14ac:dyDescent="0.3">
      <c r="A3459" t="s">
        <v>778</v>
      </c>
      <c r="B3459" t="s">
        <v>779</v>
      </c>
      <c r="C3459" t="str">
        <f>HYPERLINK("http://service.sap.com/sap/support/notes/2018537","2018537")</f>
        <v>2018537</v>
      </c>
      <c r="D3459">
        <v>1</v>
      </c>
      <c r="E3459" t="s">
        <v>4241</v>
      </c>
      <c r="F3459" t="s">
        <v>9</v>
      </c>
    </row>
    <row r="3460" spans="1:6" x14ac:dyDescent="0.3">
      <c r="A3460" t="s">
        <v>778</v>
      </c>
      <c r="B3460" t="s">
        <v>779</v>
      </c>
      <c r="C3460" t="str">
        <f>HYPERLINK("http://service.sap.com/sap/support/notes/2059855","2059855")</f>
        <v>2059855</v>
      </c>
      <c r="D3460">
        <v>1</v>
      </c>
      <c r="E3460" t="s">
        <v>5596</v>
      </c>
      <c r="F3460" t="s">
        <v>9</v>
      </c>
    </row>
    <row r="3461" spans="1:6" x14ac:dyDescent="0.3">
      <c r="A3461" t="s">
        <v>778</v>
      </c>
      <c r="B3461" t="s">
        <v>779</v>
      </c>
      <c r="C3461" t="str">
        <f>HYPERLINK("http://service.sap.com/sap/support/notes/2063568","2063568")</f>
        <v>2063568</v>
      </c>
      <c r="D3461">
        <v>1</v>
      </c>
      <c r="E3461" t="s">
        <v>5597</v>
      </c>
      <c r="F3461" t="s">
        <v>9</v>
      </c>
    </row>
    <row r="3462" spans="1:6" x14ac:dyDescent="0.3">
      <c r="A3462" t="s">
        <v>778</v>
      </c>
      <c r="B3462" t="s">
        <v>779</v>
      </c>
      <c r="C3462" t="str">
        <f>HYPERLINK("http://service.sap.com/sap/support/notes/2066353","2066353")</f>
        <v>2066353</v>
      </c>
      <c r="D3462">
        <v>1</v>
      </c>
      <c r="E3462" t="s">
        <v>5598</v>
      </c>
      <c r="F3462" t="s">
        <v>9</v>
      </c>
    </row>
    <row r="3463" spans="1:6" x14ac:dyDescent="0.3">
      <c r="A3463" t="s">
        <v>1311</v>
      </c>
      <c r="B3463" t="s">
        <v>525</v>
      </c>
      <c r="C3463" t="str">
        <f>HYPERLINK("http://service.sap.com/sap/support/notes/1985195","1985195")</f>
        <v>1985195</v>
      </c>
      <c r="D3463">
        <v>2</v>
      </c>
      <c r="E3463" t="s">
        <v>3095</v>
      </c>
      <c r="F3463" t="s">
        <v>9</v>
      </c>
    </row>
    <row r="3464" spans="1:6" x14ac:dyDescent="0.3">
      <c r="A3464" t="s">
        <v>1311</v>
      </c>
      <c r="B3464" t="s">
        <v>525</v>
      </c>
      <c r="C3464" t="str">
        <f>HYPERLINK("http://service.sap.com/sap/support/notes/1986907","1986907")</f>
        <v>1986907</v>
      </c>
      <c r="D3464">
        <v>4</v>
      </c>
      <c r="E3464" t="s">
        <v>3754</v>
      </c>
      <c r="F3464" t="s">
        <v>9</v>
      </c>
    </row>
    <row r="3465" spans="1:6" x14ac:dyDescent="0.3">
      <c r="A3465" t="s">
        <v>1311</v>
      </c>
      <c r="B3465" t="s">
        <v>525</v>
      </c>
      <c r="C3465" t="str">
        <f>HYPERLINK("http://service.sap.com/sap/support/notes/1989885","1989885")</f>
        <v>1989885</v>
      </c>
      <c r="D3465">
        <v>1</v>
      </c>
      <c r="E3465" t="s">
        <v>3755</v>
      </c>
      <c r="F3465" t="s">
        <v>9</v>
      </c>
    </row>
    <row r="3466" spans="1:6" x14ac:dyDescent="0.3">
      <c r="A3466" t="s">
        <v>1312</v>
      </c>
      <c r="B3466" t="s">
        <v>757</v>
      </c>
      <c r="C3466" t="str">
        <f>HYPERLINK("http://service.sap.com/sap/support/notes/1856438","1856438")</f>
        <v>1856438</v>
      </c>
      <c r="D3466">
        <v>3</v>
      </c>
      <c r="E3466" t="s">
        <v>1313</v>
      </c>
      <c r="F3466" t="s">
        <v>9</v>
      </c>
    </row>
    <row r="3467" spans="1:6" x14ac:dyDescent="0.3">
      <c r="A3467" t="s">
        <v>1312</v>
      </c>
      <c r="B3467" t="s">
        <v>757</v>
      </c>
      <c r="C3467" t="str">
        <f>HYPERLINK("http://service.sap.com/sap/support/notes/1934589","1934589")</f>
        <v>1934589</v>
      </c>
      <c r="D3467">
        <v>2</v>
      </c>
      <c r="E3467" t="s">
        <v>1314</v>
      </c>
      <c r="F3467" t="s">
        <v>9</v>
      </c>
    </row>
    <row r="3468" spans="1:6" x14ac:dyDescent="0.3">
      <c r="A3468" t="s">
        <v>1312</v>
      </c>
      <c r="B3468" t="s">
        <v>757</v>
      </c>
      <c r="C3468" t="str">
        <f>HYPERLINK("http://service.sap.com/sap/support/notes/1939820","1939820")</f>
        <v>1939820</v>
      </c>
      <c r="D3468">
        <v>1</v>
      </c>
      <c r="E3468" t="s">
        <v>1427</v>
      </c>
      <c r="F3468" t="s">
        <v>9</v>
      </c>
    </row>
    <row r="3469" spans="1:6" x14ac:dyDescent="0.3">
      <c r="A3469" t="s">
        <v>1312</v>
      </c>
      <c r="B3469" t="s">
        <v>757</v>
      </c>
      <c r="C3469" t="str">
        <f>HYPERLINK("http://service.sap.com/sap/support/notes/1920614","1920614")</f>
        <v>1920614</v>
      </c>
      <c r="D3469">
        <v>2</v>
      </c>
      <c r="E3469" t="s">
        <v>2253</v>
      </c>
      <c r="F3469" t="s">
        <v>9</v>
      </c>
    </row>
    <row r="3470" spans="1:6" x14ac:dyDescent="0.3">
      <c r="A3470" t="s">
        <v>1312</v>
      </c>
      <c r="B3470" t="s">
        <v>757</v>
      </c>
      <c r="C3470" t="str">
        <f>HYPERLINK("http://service.sap.com/sap/support/notes/1964476","1964476")</f>
        <v>1964476</v>
      </c>
      <c r="D3470">
        <v>1</v>
      </c>
      <c r="E3470" t="s">
        <v>2254</v>
      </c>
      <c r="F3470" t="s">
        <v>9</v>
      </c>
    </row>
    <row r="3471" spans="1:6" x14ac:dyDescent="0.3">
      <c r="A3471" t="s">
        <v>1312</v>
      </c>
      <c r="B3471" t="s">
        <v>757</v>
      </c>
      <c r="C3471" t="str">
        <f>HYPERLINK("http://service.sap.com/sap/support/notes/1968401","1968401")</f>
        <v>1968401</v>
      </c>
      <c r="D3471">
        <v>2</v>
      </c>
      <c r="E3471" t="s">
        <v>2255</v>
      </c>
      <c r="F3471" t="s">
        <v>9</v>
      </c>
    </row>
    <row r="3472" spans="1:6" x14ac:dyDescent="0.3">
      <c r="A3472" t="s">
        <v>1312</v>
      </c>
      <c r="B3472" t="s">
        <v>757</v>
      </c>
      <c r="C3472" t="str">
        <f>HYPERLINK("http://service.sap.com/sap/support/notes/1977973","1977973")</f>
        <v>1977973</v>
      </c>
      <c r="D3472">
        <v>1</v>
      </c>
      <c r="E3472" t="s">
        <v>2641</v>
      </c>
      <c r="F3472" t="s">
        <v>9</v>
      </c>
    </row>
    <row r="3473" spans="1:6" x14ac:dyDescent="0.3">
      <c r="A3473" t="s">
        <v>1312</v>
      </c>
      <c r="B3473" t="s">
        <v>757</v>
      </c>
      <c r="C3473" t="str">
        <f>HYPERLINK("http://service.sap.com/sap/support/notes/1988867","1988867")</f>
        <v>1988867</v>
      </c>
      <c r="D3473">
        <v>1</v>
      </c>
      <c r="E3473" t="s">
        <v>3096</v>
      </c>
      <c r="F3473" t="s">
        <v>9</v>
      </c>
    </row>
    <row r="3474" spans="1:6" x14ac:dyDescent="0.3">
      <c r="A3474" t="s">
        <v>1312</v>
      </c>
      <c r="B3474" t="s">
        <v>757</v>
      </c>
      <c r="C3474" t="str">
        <f>HYPERLINK("http://service.sap.com/sap/support/notes/1993803","1993803")</f>
        <v>1993803</v>
      </c>
      <c r="D3474">
        <v>1</v>
      </c>
      <c r="E3474" t="s">
        <v>3097</v>
      </c>
      <c r="F3474" t="s">
        <v>9</v>
      </c>
    </row>
    <row r="3475" spans="1:6" x14ac:dyDescent="0.3">
      <c r="A3475" t="s">
        <v>1312</v>
      </c>
      <c r="B3475" t="s">
        <v>757</v>
      </c>
      <c r="C3475" t="str">
        <f>HYPERLINK("http://service.sap.com/sap/support/notes/1990375","1990375")</f>
        <v>1990375</v>
      </c>
      <c r="D3475">
        <v>2</v>
      </c>
      <c r="E3475" t="s">
        <v>3756</v>
      </c>
      <c r="F3475" t="s">
        <v>9</v>
      </c>
    </row>
    <row r="3476" spans="1:6" x14ac:dyDescent="0.3">
      <c r="A3476" t="s">
        <v>1312</v>
      </c>
      <c r="B3476" t="s">
        <v>757</v>
      </c>
      <c r="C3476" t="str">
        <f>HYPERLINK("http://service.sap.com/sap/support/notes/1990377","1990377")</f>
        <v>1990377</v>
      </c>
      <c r="D3476">
        <v>4</v>
      </c>
      <c r="E3476" t="s">
        <v>3757</v>
      </c>
      <c r="F3476" t="s">
        <v>9</v>
      </c>
    </row>
    <row r="3477" spans="1:6" x14ac:dyDescent="0.3">
      <c r="A3477" t="s">
        <v>1312</v>
      </c>
      <c r="B3477" t="s">
        <v>757</v>
      </c>
      <c r="C3477" t="str">
        <f>HYPERLINK("http://service.sap.com/sap/support/notes/1998154","1998154")</f>
        <v>1998154</v>
      </c>
      <c r="D3477">
        <v>1</v>
      </c>
      <c r="E3477" t="s">
        <v>3758</v>
      </c>
      <c r="F3477" t="s">
        <v>9</v>
      </c>
    </row>
    <row r="3478" spans="1:6" x14ac:dyDescent="0.3">
      <c r="A3478" t="s">
        <v>1312</v>
      </c>
      <c r="B3478" t="s">
        <v>757</v>
      </c>
      <c r="C3478" t="str">
        <f>HYPERLINK("http://service.sap.com/sap/support/notes/2004636","2004636")</f>
        <v>2004636</v>
      </c>
      <c r="D3478">
        <v>1</v>
      </c>
      <c r="E3478" t="s">
        <v>3759</v>
      </c>
      <c r="F3478" t="s">
        <v>9</v>
      </c>
    </row>
    <row r="3479" spans="1:6" x14ac:dyDescent="0.3">
      <c r="A3479" t="s">
        <v>1312</v>
      </c>
      <c r="B3479" t="s">
        <v>757</v>
      </c>
      <c r="C3479" t="str">
        <f>HYPERLINK("http://service.sap.com/sap/support/notes/2010185","2010185")</f>
        <v>2010185</v>
      </c>
      <c r="D3479">
        <v>3</v>
      </c>
      <c r="E3479" t="s">
        <v>3760</v>
      </c>
      <c r="F3479" t="s">
        <v>9</v>
      </c>
    </row>
    <row r="3480" spans="1:6" x14ac:dyDescent="0.3">
      <c r="A3480" t="s">
        <v>1312</v>
      </c>
      <c r="B3480" t="s">
        <v>757</v>
      </c>
      <c r="C3480" t="str">
        <f>HYPERLINK("http://service.sap.com/sap/support/notes/2020870","2020870")</f>
        <v>2020870</v>
      </c>
      <c r="D3480">
        <v>1</v>
      </c>
      <c r="E3480" t="s">
        <v>4243</v>
      </c>
      <c r="F3480" t="s">
        <v>9</v>
      </c>
    </row>
    <row r="3481" spans="1:6" x14ac:dyDescent="0.3">
      <c r="A3481" t="s">
        <v>1312</v>
      </c>
      <c r="B3481" t="s">
        <v>757</v>
      </c>
      <c r="C3481" t="str">
        <f>HYPERLINK("http://service.sap.com/sap/support/notes/2031566","2031566")</f>
        <v>2031566</v>
      </c>
      <c r="D3481">
        <v>2</v>
      </c>
      <c r="E3481" t="s">
        <v>4922</v>
      </c>
      <c r="F3481" t="s">
        <v>9</v>
      </c>
    </row>
    <row r="3482" spans="1:6" x14ac:dyDescent="0.3">
      <c r="A3482" t="s">
        <v>1312</v>
      </c>
      <c r="B3482" t="s">
        <v>757</v>
      </c>
      <c r="C3482" t="str">
        <f>HYPERLINK("http://service.sap.com/sap/support/notes/2052137","2052137")</f>
        <v>2052137</v>
      </c>
      <c r="D3482">
        <v>1</v>
      </c>
      <c r="E3482" t="s">
        <v>5270</v>
      </c>
      <c r="F3482" t="s">
        <v>9</v>
      </c>
    </row>
    <row r="3483" spans="1:6" x14ac:dyDescent="0.3">
      <c r="A3483" t="s">
        <v>1312</v>
      </c>
      <c r="B3483" t="s">
        <v>757</v>
      </c>
      <c r="C3483" t="str">
        <f>HYPERLINK("http://service.sap.com/sap/support/notes/2063676","2063676")</f>
        <v>2063676</v>
      </c>
      <c r="D3483">
        <v>1</v>
      </c>
      <c r="E3483" t="s">
        <v>5599</v>
      </c>
      <c r="F3483" t="s">
        <v>9</v>
      </c>
    </row>
    <row r="3484" spans="1:6" x14ac:dyDescent="0.3">
      <c r="A3484" t="s">
        <v>1312</v>
      </c>
      <c r="B3484" t="s">
        <v>757</v>
      </c>
      <c r="C3484" t="str">
        <f>HYPERLINK("http://service.sap.com/sap/support/notes/2063937","2063937")</f>
        <v>2063937</v>
      </c>
      <c r="D3484">
        <v>2</v>
      </c>
      <c r="E3484" t="s">
        <v>5600</v>
      </c>
      <c r="F3484" t="s">
        <v>9</v>
      </c>
    </row>
    <row r="3485" spans="1:6" x14ac:dyDescent="0.3">
      <c r="A3485" t="s">
        <v>783</v>
      </c>
      <c r="B3485" t="s">
        <v>784</v>
      </c>
      <c r="C3485" t="str">
        <f>HYPERLINK("http://service.sap.com/sap/support/notes/1897389","1897389")</f>
        <v>1897389</v>
      </c>
      <c r="D3485">
        <v>2</v>
      </c>
      <c r="E3485" t="s">
        <v>785</v>
      </c>
      <c r="F3485" t="s">
        <v>9</v>
      </c>
    </row>
    <row r="3486" spans="1:6" x14ac:dyDescent="0.3">
      <c r="A3486" t="s">
        <v>783</v>
      </c>
      <c r="B3486" t="s">
        <v>784</v>
      </c>
      <c r="C3486" t="str">
        <f>HYPERLINK("http://service.sap.com/sap/support/notes/1904801","1904801")</f>
        <v>1904801</v>
      </c>
      <c r="D3486">
        <v>3</v>
      </c>
      <c r="E3486" t="s">
        <v>786</v>
      </c>
      <c r="F3486" t="s">
        <v>9</v>
      </c>
    </row>
    <row r="3487" spans="1:6" x14ac:dyDescent="0.3">
      <c r="A3487" t="s">
        <v>783</v>
      </c>
      <c r="B3487" t="s">
        <v>784</v>
      </c>
      <c r="C3487" t="str">
        <f>HYPERLINK("http://service.sap.com/sap/support/notes/1915902","1915902")</f>
        <v>1915902</v>
      </c>
      <c r="D3487">
        <v>3</v>
      </c>
      <c r="E3487" t="s">
        <v>787</v>
      </c>
      <c r="F3487" t="s">
        <v>9</v>
      </c>
    </row>
    <row r="3488" spans="1:6" x14ac:dyDescent="0.3">
      <c r="A3488" t="s">
        <v>783</v>
      </c>
      <c r="B3488" t="s">
        <v>784</v>
      </c>
      <c r="C3488" t="str">
        <f>HYPERLINK("http://service.sap.com/sap/support/notes/1917140","1917140")</f>
        <v>1917140</v>
      </c>
      <c r="D3488">
        <v>2</v>
      </c>
      <c r="E3488" t="s">
        <v>788</v>
      </c>
      <c r="F3488" t="s">
        <v>28</v>
      </c>
    </row>
    <row r="3489" spans="1:6" x14ac:dyDescent="0.3">
      <c r="A3489" t="s">
        <v>783</v>
      </c>
      <c r="B3489" t="s">
        <v>784</v>
      </c>
      <c r="C3489" t="str">
        <f>HYPERLINK("http://service.sap.com/sap/support/notes/1917846","1917846")</f>
        <v>1917846</v>
      </c>
      <c r="D3489">
        <v>2</v>
      </c>
      <c r="E3489" t="s">
        <v>789</v>
      </c>
      <c r="F3489" t="s">
        <v>16</v>
      </c>
    </row>
    <row r="3490" spans="1:6" x14ac:dyDescent="0.3">
      <c r="A3490" t="s">
        <v>783</v>
      </c>
      <c r="B3490" t="s">
        <v>784</v>
      </c>
      <c r="C3490" t="str">
        <f>HYPERLINK("http://service.sap.com/sap/support/notes/1918405","1918405")</f>
        <v>1918405</v>
      </c>
      <c r="D3490">
        <v>1</v>
      </c>
      <c r="E3490" t="s">
        <v>790</v>
      </c>
      <c r="F3490" t="s">
        <v>9</v>
      </c>
    </row>
    <row r="3491" spans="1:6" x14ac:dyDescent="0.3">
      <c r="A3491" t="s">
        <v>783</v>
      </c>
      <c r="B3491" t="s">
        <v>784</v>
      </c>
      <c r="C3491" t="str">
        <f>HYPERLINK("http://service.sap.com/sap/support/notes/1920198","1920198")</f>
        <v>1920198</v>
      </c>
      <c r="D3491">
        <v>2</v>
      </c>
      <c r="E3491" t="s">
        <v>791</v>
      </c>
      <c r="F3491" t="s">
        <v>28</v>
      </c>
    </row>
    <row r="3492" spans="1:6" x14ac:dyDescent="0.3">
      <c r="A3492" t="s">
        <v>783</v>
      </c>
      <c r="B3492" t="s">
        <v>784</v>
      </c>
      <c r="C3492" t="str">
        <f>HYPERLINK("http://service.sap.com/sap/support/notes/1927455","1927455")</f>
        <v>1927455</v>
      </c>
      <c r="D3492">
        <v>2</v>
      </c>
      <c r="E3492" t="s">
        <v>792</v>
      </c>
      <c r="F3492" t="s">
        <v>16</v>
      </c>
    </row>
    <row r="3493" spans="1:6" x14ac:dyDescent="0.3">
      <c r="A3493" t="s">
        <v>783</v>
      </c>
      <c r="B3493" t="s">
        <v>784</v>
      </c>
      <c r="C3493" t="str">
        <f>HYPERLINK("http://service.sap.com/sap/support/notes/1928279","1928279")</f>
        <v>1928279</v>
      </c>
      <c r="D3493">
        <v>6</v>
      </c>
      <c r="E3493" t="s">
        <v>793</v>
      </c>
      <c r="F3493" t="s">
        <v>28</v>
      </c>
    </row>
    <row r="3494" spans="1:6" x14ac:dyDescent="0.3">
      <c r="A3494" t="s">
        <v>783</v>
      </c>
      <c r="B3494" t="s">
        <v>784</v>
      </c>
      <c r="C3494" t="str">
        <f>HYPERLINK("http://service.sap.com/sap/support/notes/1936187","1936187")</f>
        <v>1936187</v>
      </c>
      <c r="D3494">
        <v>1</v>
      </c>
      <c r="E3494" t="s">
        <v>1315</v>
      </c>
      <c r="F3494" t="s">
        <v>9</v>
      </c>
    </row>
    <row r="3495" spans="1:6" x14ac:dyDescent="0.3">
      <c r="A3495" t="s">
        <v>783</v>
      </c>
      <c r="B3495" t="s">
        <v>784</v>
      </c>
      <c r="C3495" t="str">
        <f>HYPERLINK("http://service.sap.com/sap/support/notes/1936835","1936835")</f>
        <v>1936835</v>
      </c>
      <c r="D3495">
        <v>2</v>
      </c>
      <c r="E3495" t="s">
        <v>1316</v>
      </c>
      <c r="F3495" t="s">
        <v>9</v>
      </c>
    </row>
    <row r="3496" spans="1:6" x14ac:dyDescent="0.3">
      <c r="A3496" t="s">
        <v>783</v>
      </c>
      <c r="B3496" t="s">
        <v>784</v>
      </c>
      <c r="C3496" t="str">
        <f>HYPERLINK("http://service.sap.com/sap/support/notes/1890531","1890531")</f>
        <v>1890531</v>
      </c>
      <c r="D3496">
        <v>4</v>
      </c>
      <c r="E3496" t="s">
        <v>1835</v>
      </c>
      <c r="F3496" t="s">
        <v>9</v>
      </c>
    </row>
    <row r="3497" spans="1:6" x14ac:dyDescent="0.3">
      <c r="A3497" t="s">
        <v>783</v>
      </c>
      <c r="B3497" t="s">
        <v>784</v>
      </c>
      <c r="C3497" t="str">
        <f>HYPERLINK("http://service.sap.com/sap/support/notes/1901666","1901666")</f>
        <v>1901666</v>
      </c>
      <c r="D3497">
        <v>2</v>
      </c>
      <c r="E3497" t="s">
        <v>1836</v>
      </c>
      <c r="F3497" t="s">
        <v>28</v>
      </c>
    </row>
    <row r="3498" spans="1:6" x14ac:dyDescent="0.3">
      <c r="A3498" t="s">
        <v>783</v>
      </c>
      <c r="B3498" t="s">
        <v>784</v>
      </c>
      <c r="C3498" t="str">
        <f>HYPERLINK("http://service.sap.com/sap/support/notes/1922357","1922357")</f>
        <v>1922357</v>
      </c>
      <c r="D3498">
        <v>2</v>
      </c>
      <c r="E3498" t="s">
        <v>1837</v>
      </c>
      <c r="F3498" t="s">
        <v>9</v>
      </c>
    </row>
    <row r="3499" spans="1:6" x14ac:dyDescent="0.3">
      <c r="A3499" t="s">
        <v>783</v>
      </c>
      <c r="B3499" t="s">
        <v>784</v>
      </c>
      <c r="C3499" t="str">
        <f>HYPERLINK("http://service.sap.com/sap/support/notes/1933629","1933629")</f>
        <v>1933629</v>
      </c>
      <c r="D3499">
        <v>4</v>
      </c>
      <c r="E3499" t="s">
        <v>1838</v>
      </c>
      <c r="F3499" t="s">
        <v>9</v>
      </c>
    </row>
    <row r="3500" spans="1:6" x14ac:dyDescent="0.3">
      <c r="A3500" t="s">
        <v>783</v>
      </c>
      <c r="B3500" t="s">
        <v>784</v>
      </c>
      <c r="C3500" t="str">
        <f>HYPERLINK("http://service.sap.com/sap/support/notes/1933737","1933737")</f>
        <v>1933737</v>
      </c>
      <c r="D3500">
        <v>3</v>
      </c>
      <c r="E3500" t="s">
        <v>1839</v>
      </c>
      <c r="F3500" t="s">
        <v>9</v>
      </c>
    </row>
    <row r="3501" spans="1:6" x14ac:dyDescent="0.3">
      <c r="A3501" t="s">
        <v>783</v>
      </c>
      <c r="B3501" t="s">
        <v>784</v>
      </c>
      <c r="C3501" t="str">
        <f>HYPERLINK("http://service.sap.com/sap/support/notes/1942369","1942369")</f>
        <v>1942369</v>
      </c>
      <c r="D3501">
        <v>2</v>
      </c>
      <c r="E3501" t="s">
        <v>1840</v>
      </c>
      <c r="F3501" t="s">
        <v>9</v>
      </c>
    </row>
    <row r="3502" spans="1:6" x14ac:dyDescent="0.3">
      <c r="A3502" t="s">
        <v>783</v>
      </c>
      <c r="B3502" t="s">
        <v>784</v>
      </c>
      <c r="C3502" t="str">
        <f>HYPERLINK("http://service.sap.com/sap/support/notes/1942663","1942663")</f>
        <v>1942663</v>
      </c>
      <c r="D3502">
        <v>1</v>
      </c>
      <c r="E3502" t="s">
        <v>1841</v>
      </c>
      <c r="F3502" t="s">
        <v>28</v>
      </c>
    </row>
    <row r="3503" spans="1:6" x14ac:dyDescent="0.3">
      <c r="A3503" t="s">
        <v>783</v>
      </c>
      <c r="B3503" t="s">
        <v>784</v>
      </c>
      <c r="C3503" t="str">
        <f>HYPERLINK("http://service.sap.com/sap/support/notes/1944597","1944597")</f>
        <v>1944597</v>
      </c>
      <c r="D3503">
        <v>8</v>
      </c>
      <c r="E3503" t="s">
        <v>1842</v>
      </c>
      <c r="F3503" t="s">
        <v>9</v>
      </c>
    </row>
    <row r="3504" spans="1:6" x14ac:dyDescent="0.3">
      <c r="A3504" t="s">
        <v>783</v>
      </c>
      <c r="B3504" t="s">
        <v>784</v>
      </c>
      <c r="C3504" t="str">
        <f>HYPERLINK("http://service.sap.com/sap/support/notes/1945097","1945097")</f>
        <v>1945097</v>
      </c>
      <c r="D3504">
        <v>2</v>
      </c>
      <c r="E3504" t="s">
        <v>1843</v>
      </c>
      <c r="F3504" t="s">
        <v>9</v>
      </c>
    </row>
    <row r="3505" spans="1:6" x14ac:dyDescent="0.3">
      <c r="A3505" t="s">
        <v>783</v>
      </c>
      <c r="B3505" t="s">
        <v>784</v>
      </c>
      <c r="C3505" t="str">
        <f>HYPERLINK("http://service.sap.com/sap/support/notes/1949860","1949860")</f>
        <v>1949860</v>
      </c>
      <c r="D3505">
        <v>2</v>
      </c>
      <c r="E3505" t="s">
        <v>1844</v>
      </c>
      <c r="F3505" t="s">
        <v>16</v>
      </c>
    </row>
    <row r="3506" spans="1:6" x14ac:dyDescent="0.3">
      <c r="A3506" t="s">
        <v>783</v>
      </c>
      <c r="B3506" t="s">
        <v>784</v>
      </c>
      <c r="C3506" t="str">
        <f>HYPERLINK("http://service.sap.com/sap/support/notes/1957375","1957375")</f>
        <v>1957375</v>
      </c>
      <c r="D3506">
        <v>2</v>
      </c>
      <c r="E3506" t="s">
        <v>1845</v>
      </c>
      <c r="F3506" t="s">
        <v>9</v>
      </c>
    </row>
    <row r="3507" spans="1:6" x14ac:dyDescent="0.3">
      <c r="A3507" t="s">
        <v>783</v>
      </c>
      <c r="B3507" t="s">
        <v>784</v>
      </c>
      <c r="C3507" t="str">
        <f>HYPERLINK("http://service.sap.com/sap/support/notes/1950425","1950425")</f>
        <v>1950425</v>
      </c>
      <c r="D3507">
        <v>2</v>
      </c>
      <c r="E3507" t="s">
        <v>2256</v>
      </c>
      <c r="F3507" t="s">
        <v>28</v>
      </c>
    </row>
    <row r="3508" spans="1:6" x14ac:dyDescent="0.3">
      <c r="A3508" t="s">
        <v>783</v>
      </c>
      <c r="B3508" t="s">
        <v>784</v>
      </c>
      <c r="C3508" t="str">
        <f>HYPERLINK("http://service.sap.com/sap/support/notes/1952523","1952523")</f>
        <v>1952523</v>
      </c>
      <c r="D3508">
        <v>3</v>
      </c>
      <c r="E3508" t="s">
        <v>2257</v>
      </c>
      <c r="F3508" t="s">
        <v>9</v>
      </c>
    </row>
    <row r="3509" spans="1:6" x14ac:dyDescent="0.3">
      <c r="A3509" t="s">
        <v>783</v>
      </c>
      <c r="B3509" t="s">
        <v>784</v>
      </c>
      <c r="C3509" t="str">
        <f>HYPERLINK("http://service.sap.com/sap/support/notes/1960774","1960774")</f>
        <v>1960774</v>
      </c>
      <c r="D3509">
        <v>1</v>
      </c>
      <c r="E3509" t="s">
        <v>2258</v>
      </c>
      <c r="F3509" t="s">
        <v>9</v>
      </c>
    </row>
    <row r="3510" spans="1:6" x14ac:dyDescent="0.3">
      <c r="A3510" t="s">
        <v>783</v>
      </c>
      <c r="B3510" t="s">
        <v>784</v>
      </c>
      <c r="C3510" t="str">
        <f>HYPERLINK("http://service.sap.com/sap/support/notes/1963582","1963582")</f>
        <v>1963582</v>
      </c>
      <c r="D3510">
        <v>4</v>
      </c>
      <c r="E3510" t="s">
        <v>2642</v>
      </c>
      <c r="F3510" t="s">
        <v>16</v>
      </c>
    </row>
    <row r="3511" spans="1:6" x14ac:dyDescent="0.3">
      <c r="A3511" t="s">
        <v>783</v>
      </c>
      <c r="B3511" t="s">
        <v>784</v>
      </c>
      <c r="C3511" t="str">
        <f>HYPERLINK("http://service.sap.com/sap/support/notes/1963592","1963592")</f>
        <v>1963592</v>
      </c>
      <c r="D3511">
        <v>2</v>
      </c>
      <c r="E3511" t="s">
        <v>2643</v>
      </c>
      <c r="F3511" t="s">
        <v>9</v>
      </c>
    </row>
    <row r="3512" spans="1:6" x14ac:dyDescent="0.3">
      <c r="A3512" t="s">
        <v>783</v>
      </c>
      <c r="B3512" t="s">
        <v>784</v>
      </c>
      <c r="C3512" t="str">
        <f>HYPERLINK("http://service.sap.com/sap/support/notes/1964182","1964182")</f>
        <v>1964182</v>
      </c>
      <c r="D3512">
        <v>2</v>
      </c>
      <c r="E3512" t="s">
        <v>2644</v>
      </c>
      <c r="F3512" t="s">
        <v>9</v>
      </c>
    </row>
    <row r="3513" spans="1:6" x14ac:dyDescent="0.3">
      <c r="A3513" t="s">
        <v>783</v>
      </c>
      <c r="B3513" t="s">
        <v>784</v>
      </c>
      <c r="C3513" t="str">
        <f>HYPERLINK("http://service.sap.com/sap/support/notes/1968184","1968184")</f>
        <v>1968184</v>
      </c>
      <c r="D3513">
        <v>2</v>
      </c>
      <c r="E3513" t="s">
        <v>2645</v>
      </c>
      <c r="F3513" t="s">
        <v>28</v>
      </c>
    </row>
    <row r="3514" spans="1:6" x14ac:dyDescent="0.3">
      <c r="A3514" t="s">
        <v>783</v>
      </c>
      <c r="B3514" t="s">
        <v>784</v>
      </c>
      <c r="C3514" t="str">
        <f>HYPERLINK("http://service.sap.com/sap/support/notes/1970570","1970570")</f>
        <v>1970570</v>
      </c>
      <c r="D3514">
        <v>1</v>
      </c>
      <c r="E3514" t="s">
        <v>2646</v>
      </c>
      <c r="F3514" t="s">
        <v>9</v>
      </c>
    </row>
    <row r="3515" spans="1:6" x14ac:dyDescent="0.3">
      <c r="A3515" t="s">
        <v>783</v>
      </c>
      <c r="B3515" t="s">
        <v>784</v>
      </c>
      <c r="C3515" t="str">
        <f>HYPERLINK("http://service.sap.com/sap/support/notes/1974369","1974369")</f>
        <v>1974369</v>
      </c>
      <c r="D3515">
        <v>3</v>
      </c>
      <c r="E3515" t="s">
        <v>2647</v>
      </c>
      <c r="F3515" t="s">
        <v>9</v>
      </c>
    </row>
    <row r="3516" spans="1:6" x14ac:dyDescent="0.3">
      <c r="A3516" t="s">
        <v>783</v>
      </c>
      <c r="B3516" t="s">
        <v>784</v>
      </c>
      <c r="C3516" t="str">
        <f>HYPERLINK("http://service.sap.com/sap/support/notes/1976599","1976599")</f>
        <v>1976599</v>
      </c>
      <c r="D3516">
        <v>1</v>
      </c>
      <c r="E3516" t="s">
        <v>2648</v>
      </c>
      <c r="F3516" t="s">
        <v>9</v>
      </c>
    </row>
    <row r="3517" spans="1:6" x14ac:dyDescent="0.3">
      <c r="A3517" t="s">
        <v>783</v>
      </c>
      <c r="B3517" t="s">
        <v>784</v>
      </c>
      <c r="C3517" t="str">
        <f>HYPERLINK("http://service.sap.com/sap/support/notes/1980461","1980461")</f>
        <v>1980461</v>
      </c>
      <c r="D3517">
        <v>1</v>
      </c>
      <c r="E3517" t="s">
        <v>2649</v>
      </c>
      <c r="F3517" t="s">
        <v>9</v>
      </c>
    </row>
    <row r="3518" spans="1:6" x14ac:dyDescent="0.3">
      <c r="A3518" t="s">
        <v>783</v>
      </c>
      <c r="B3518" t="s">
        <v>784</v>
      </c>
      <c r="C3518" t="str">
        <f>HYPERLINK("http://service.sap.com/sap/support/notes/1945995","1945995")</f>
        <v>1945995</v>
      </c>
      <c r="D3518">
        <v>4</v>
      </c>
      <c r="E3518" t="s">
        <v>3098</v>
      </c>
      <c r="F3518" t="s">
        <v>9</v>
      </c>
    </row>
    <row r="3519" spans="1:6" x14ac:dyDescent="0.3">
      <c r="A3519" t="s">
        <v>783</v>
      </c>
      <c r="B3519" t="s">
        <v>784</v>
      </c>
      <c r="C3519" t="str">
        <f>HYPERLINK("http://service.sap.com/sap/support/notes/1970656","1970656")</f>
        <v>1970656</v>
      </c>
      <c r="D3519">
        <v>4</v>
      </c>
      <c r="E3519" t="s">
        <v>3099</v>
      </c>
      <c r="F3519" t="s">
        <v>9</v>
      </c>
    </row>
    <row r="3520" spans="1:6" x14ac:dyDescent="0.3">
      <c r="A3520" t="s">
        <v>783</v>
      </c>
      <c r="B3520" t="s">
        <v>784</v>
      </c>
      <c r="C3520" t="str">
        <f>HYPERLINK("http://service.sap.com/sap/support/notes/1982206","1982206")</f>
        <v>1982206</v>
      </c>
      <c r="D3520">
        <v>2</v>
      </c>
      <c r="E3520" t="s">
        <v>3100</v>
      </c>
      <c r="F3520" t="s">
        <v>9</v>
      </c>
    </row>
    <row r="3521" spans="1:6" x14ac:dyDescent="0.3">
      <c r="A3521" t="s">
        <v>783</v>
      </c>
      <c r="B3521" t="s">
        <v>784</v>
      </c>
      <c r="C3521" t="str">
        <f>HYPERLINK("http://service.sap.com/sap/support/notes/1983034","1983034")</f>
        <v>1983034</v>
      </c>
      <c r="D3521">
        <v>1</v>
      </c>
      <c r="E3521" t="s">
        <v>3101</v>
      </c>
      <c r="F3521" t="s">
        <v>9</v>
      </c>
    </row>
    <row r="3522" spans="1:6" x14ac:dyDescent="0.3">
      <c r="A3522" t="s">
        <v>783</v>
      </c>
      <c r="B3522" t="s">
        <v>784</v>
      </c>
      <c r="C3522" t="str">
        <f>HYPERLINK("http://service.sap.com/sap/support/notes/1989210","1989210")</f>
        <v>1989210</v>
      </c>
      <c r="D3522">
        <v>2</v>
      </c>
      <c r="E3522" t="s">
        <v>3102</v>
      </c>
      <c r="F3522" t="s">
        <v>9</v>
      </c>
    </row>
    <row r="3523" spans="1:6" x14ac:dyDescent="0.3">
      <c r="A3523" t="s">
        <v>783</v>
      </c>
      <c r="B3523" t="s">
        <v>784</v>
      </c>
      <c r="C3523" t="str">
        <f>HYPERLINK("http://service.sap.com/sap/support/notes/1992440","1992440")</f>
        <v>1992440</v>
      </c>
      <c r="D3523">
        <v>3</v>
      </c>
      <c r="E3523" t="s">
        <v>3761</v>
      </c>
      <c r="F3523" t="s">
        <v>28</v>
      </c>
    </row>
    <row r="3524" spans="1:6" x14ac:dyDescent="0.3">
      <c r="A3524" t="s">
        <v>783</v>
      </c>
      <c r="B3524" t="s">
        <v>784</v>
      </c>
      <c r="C3524" t="str">
        <f>HYPERLINK("http://service.sap.com/sap/support/notes/1994174","1994174")</f>
        <v>1994174</v>
      </c>
      <c r="D3524">
        <v>1</v>
      </c>
      <c r="E3524" t="s">
        <v>3762</v>
      </c>
      <c r="F3524" t="s">
        <v>9</v>
      </c>
    </row>
    <row r="3525" spans="1:6" x14ac:dyDescent="0.3">
      <c r="A3525" t="s">
        <v>783</v>
      </c>
      <c r="B3525" t="s">
        <v>784</v>
      </c>
      <c r="C3525" t="str">
        <f>HYPERLINK("http://service.sap.com/sap/support/notes/1997007","1997007")</f>
        <v>1997007</v>
      </c>
      <c r="D3525">
        <v>1</v>
      </c>
      <c r="E3525" t="s">
        <v>3763</v>
      </c>
      <c r="F3525" t="s">
        <v>9</v>
      </c>
    </row>
    <row r="3526" spans="1:6" x14ac:dyDescent="0.3">
      <c r="A3526" t="s">
        <v>783</v>
      </c>
      <c r="B3526" t="s">
        <v>784</v>
      </c>
      <c r="C3526" t="str">
        <f>HYPERLINK("http://service.sap.com/sap/support/notes/1999115","1999115")</f>
        <v>1999115</v>
      </c>
      <c r="D3526">
        <v>1</v>
      </c>
      <c r="E3526" t="s">
        <v>3764</v>
      </c>
      <c r="F3526" t="s">
        <v>9</v>
      </c>
    </row>
    <row r="3527" spans="1:6" x14ac:dyDescent="0.3">
      <c r="A3527" t="s">
        <v>783</v>
      </c>
      <c r="B3527" t="s">
        <v>784</v>
      </c>
      <c r="C3527" t="str">
        <f>HYPERLINK("http://service.sap.com/sap/support/notes/2003817","2003817")</f>
        <v>2003817</v>
      </c>
      <c r="D3527">
        <v>3</v>
      </c>
      <c r="E3527" t="s">
        <v>3765</v>
      </c>
      <c r="F3527" t="s">
        <v>9</v>
      </c>
    </row>
    <row r="3528" spans="1:6" x14ac:dyDescent="0.3">
      <c r="A3528" t="s">
        <v>783</v>
      </c>
      <c r="B3528" t="s">
        <v>784</v>
      </c>
      <c r="C3528" t="str">
        <f>HYPERLINK("http://service.sap.com/sap/support/notes/2006270","2006270")</f>
        <v>2006270</v>
      </c>
      <c r="D3528">
        <v>3</v>
      </c>
      <c r="E3528" t="s">
        <v>3766</v>
      </c>
      <c r="F3528" t="s">
        <v>9</v>
      </c>
    </row>
    <row r="3529" spans="1:6" x14ac:dyDescent="0.3">
      <c r="A3529" t="s">
        <v>783</v>
      </c>
      <c r="B3529" t="s">
        <v>784</v>
      </c>
      <c r="C3529" t="str">
        <f>HYPERLINK("http://service.sap.com/sap/support/notes/2009141","2009141")</f>
        <v>2009141</v>
      </c>
      <c r="D3529">
        <v>1</v>
      </c>
      <c r="E3529" t="s">
        <v>3767</v>
      </c>
      <c r="F3529" t="s">
        <v>9</v>
      </c>
    </row>
    <row r="3530" spans="1:6" x14ac:dyDescent="0.3">
      <c r="A3530" t="s">
        <v>783</v>
      </c>
      <c r="B3530" t="s">
        <v>784</v>
      </c>
      <c r="C3530" t="str">
        <f>HYPERLINK("http://service.sap.com/sap/support/notes/2009831","2009831")</f>
        <v>2009831</v>
      </c>
      <c r="D3530">
        <v>1</v>
      </c>
      <c r="E3530" t="s">
        <v>3768</v>
      </c>
      <c r="F3530" t="s">
        <v>9</v>
      </c>
    </row>
    <row r="3531" spans="1:6" x14ac:dyDescent="0.3">
      <c r="A3531" t="s">
        <v>783</v>
      </c>
      <c r="B3531" t="s">
        <v>784</v>
      </c>
      <c r="C3531" t="str">
        <f>HYPERLINK("http://service.sap.com/sap/support/notes/1937001","1937001")</f>
        <v>1937001</v>
      </c>
      <c r="D3531">
        <v>4</v>
      </c>
      <c r="E3531" t="s">
        <v>4244</v>
      </c>
      <c r="F3531" t="s">
        <v>9</v>
      </c>
    </row>
    <row r="3532" spans="1:6" x14ac:dyDescent="0.3">
      <c r="A3532" t="s">
        <v>783</v>
      </c>
      <c r="B3532" t="s">
        <v>784</v>
      </c>
      <c r="C3532" t="str">
        <f>HYPERLINK("http://service.sap.com/sap/support/notes/1985291","1985291")</f>
        <v>1985291</v>
      </c>
      <c r="D3532">
        <v>1</v>
      </c>
      <c r="E3532" t="s">
        <v>4245</v>
      </c>
      <c r="F3532" t="s">
        <v>9</v>
      </c>
    </row>
    <row r="3533" spans="1:6" x14ac:dyDescent="0.3">
      <c r="A3533" t="s">
        <v>783</v>
      </c>
      <c r="B3533" t="s">
        <v>784</v>
      </c>
      <c r="C3533" t="str">
        <f>HYPERLINK("http://service.sap.com/sap/support/notes/1990512","1990512")</f>
        <v>1990512</v>
      </c>
      <c r="D3533">
        <v>1</v>
      </c>
      <c r="E3533" t="s">
        <v>4246</v>
      </c>
      <c r="F3533" t="s">
        <v>9</v>
      </c>
    </row>
    <row r="3534" spans="1:6" x14ac:dyDescent="0.3">
      <c r="A3534" t="s">
        <v>783</v>
      </c>
      <c r="B3534" t="s">
        <v>784</v>
      </c>
      <c r="C3534" t="str">
        <f>HYPERLINK("http://service.sap.com/sap/support/notes/2000872","2000872")</f>
        <v>2000872</v>
      </c>
      <c r="D3534">
        <v>2</v>
      </c>
      <c r="E3534" t="s">
        <v>4247</v>
      </c>
      <c r="F3534" t="s">
        <v>9</v>
      </c>
    </row>
    <row r="3535" spans="1:6" x14ac:dyDescent="0.3">
      <c r="A3535" t="s">
        <v>783</v>
      </c>
      <c r="B3535" t="s">
        <v>784</v>
      </c>
      <c r="C3535" t="str">
        <f>HYPERLINK("http://service.sap.com/sap/support/notes/2008422","2008422")</f>
        <v>2008422</v>
      </c>
      <c r="D3535">
        <v>2</v>
      </c>
      <c r="E3535" t="s">
        <v>4248</v>
      </c>
      <c r="F3535" t="s">
        <v>28</v>
      </c>
    </row>
    <row r="3536" spans="1:6" x14ac:dyDescent="0.3">
      <c r="A3536" t="s">
        <v>783</v>
      </c>
      <c r="B3536" t="s">
        <v>784</v>
      </c>
      <c r="C3536" t="str">
        <f>HYPERLINK("http://service.sap.com/sap/support/notes/2008933","2008933")</f>
        <v>2008933</v>
      </c>
      <c r="D3536">
        <v>1</v>
      </c>
      <c r="E3536" t="s">
        <v>4249</v>
      </c>
      <c r="F3536" t="s">
        <v>9</v>
      </c>
    </row>
    <row r="3537" spans="1:6" x14ac:dyDescent="0.3">
      <c r="A3537" t="s">
        <v>783</v>
      </c>
      <c r="B3537" t="s">
        <v>784</v>
      </c>
      <c r="C3537" t="str">
        <f>HYPERLINK("http://service.sap.com/sap/support/notes/2010149","2010149")</f>
        <v>2010149</v>
      </c>
      <c r="D3537">
        <v>2</v>
      </c>
      <c r="E3537" t="s">
        <v>4250</v>
      </c>
      <c r="F3537" t="s">
        <v>28</v>
      </c>
    </row>
    <row r="3538" spans="1:6" x14ac:dyDescent="0.3">
      <c r="A3538" t="s">
        <v>783</v>
      </c>
      <c r="B3538" t="s">
        <v>784</v>
      </c>
      <c r="C3538" t="str">
        <f>HYPERLINK("http://service.sap.com/sap/support/notes/2012740","2012740")</f>
        <v>2012740</v>
      </c>
      <c r="D3538">
        <v>2</v>
      </c>
      <c r="E3538" t="s">
        <v>4251</v>
      </c>
      <c r="F3538" t="s">
        <v>28</v>
      </c>
    </row>
    <row r="3539" spans="1:6" x14ac:dyDescent="0.3">
      <c r="A3539" t="s">
        <v>783</v>
      </c>
      <c r="B3539" t="s">
        <v>784</v>
      </c>
      <c r="C3539" t="str">
        <f>HYPERLINK("http://service.sap.com/sap/support/notes/2014677","2014677")</f>
        <v>2014677</v>
      </c>
      <c r="D3539">
        <v>1</v>
      </c>
      <c r="E3539" t="s">
        <v>4252</v>
      </c>
      <c r="F3539" t="s">
        <v>9</v>
      </c>
    </row>
    <row r="3540" spans="1:6" x14ac:dyDescent="0.3">
      <c r="A3540" t="s">
        <v>783</v>
      </c>
      <c r="B3540" t="s">
        <v>784</v>
      </c>
      <c r="C3540" t="str">
        <f>HYPERLINK("http://service.sap.com/sap/support/notes/2014693","2014693")</f>
        <v>2014693</v>
      </c>
      <c r="D3540">
        <v>1</v>
      </c>
      <c r="E3540" t="s">
        <v>4253</v>
      </c>
      <c r="F3540" t="s">
        <v>28</v>
      </c>
    </row>
    <row r="3541" spans="1:6" x14ac:dyDescent="0.3">
      <c r="A3541" t="s">
        <v>783</v>
      </c>
      <c r="B3541" t="s">
        <v>784</v>
      </c>
      <c r="C3541" t="str">
        <f>HYPERLINK("http://service.sap.com/sap/support/notes/2016488","2016488")</f>
        <v>2016488</v>
      </c>
      <c r="D3541">
        <v>1</v>
      </c>
      <c r="E3541" t="s">
        <v>4254</v>
      </c>
      <c r="F3541" t="s">
        <v>9</v>
      </c>
    </row>
    <row r="3542" spans="1:6" x14ac:dyDescent="0.3">
      <c r="A3542" t="s">
        <v>783</v>
      </c>
      <c r="B3542" t="s">
        <v>784</v>
      </c>
      <c r="C3542" t="str">
        <f>HYPERLINK("http://service.sap.com/sap/support/notes/2020266","2020266")</f>
        <v>2020266</v>
      </c>
      <c r="D3542">
        <v>2</v>
      </c>
      <c r="E3542" t="s">
        <v>4255</v>
      </c>
      <c r="F3542" t="s">
        <v>28</v>
      </c>
    </row>
    <row r="3543" spans="1:6" x14ac:dyDescent="0.3">
      <c r="A3543" t="s">
        <v>783</v>
      </c>
      <c r="B3543" t="s">
        <v>784</v>
      </c>
      <c r="C3543" t="str">
        <f>HYPERLINK("http://service.sap.com/sap/support/notes/2020848","2020848")</f>
        <v>2020848</v>
      </c>
      <c r="D3543">
        <v>1</v>
      </c>
      <c r="E3543" t="s">
        <v>4256</v>
      </c>
      <c r="F3543" t="s">
        <v>9</v>
      </c>
    </row>
    <row r="3544" spans="1:6" x14ac:dyDescent="0.3">
      <c r="A3544" t="s">
        <v>783</v>
      </c>
      <c r="B3544" t="s">
        <v>784</v>
      </c>
      <c r="C3544" t="str">
        <f>HYPERLINK("http://service.sap.com/sap/support/notes/2016488","2016488")</f>
        <v>2016488</v>
      </c>
      <c r="D3544">
        <v>1</v>
      </c>
      <c r="E3544" t="s">
        <v>4254</v>
      </c>
      <c r="F3544" t="s">
        <v>9</v>
      </c>
    </row>
    <row r="3545" spans="1:6" x14ac:dyDescent="0.3">
      <c r="A3545" t="s">
        <v>783</v>
      </c>
      <c r="B3545" t="s">
        <v>784</v>
      </c>
      <c r="C3545" t="str">
        <f>HYPERLINK("http://service.sap.com/sap/support/notes/2021784","2021784")</f>
        <v>2021784</v>
      </c>
      <c r="D3545">
        <v>2</v>
      </c>
      <c r="E3545" t="s">
        <v>4581</v>
      </c>
      <c r="F3545" t="s">
        <v>28</v>
      </c>
    </row>
    <row r="3546" spans="1:6" x14ac:dyDescent="0.3">
      <c r="A3546" t="s">
        <v>783</v>
      </c>
      <c r="B3546" t="s">
        <v>784</v>
      </c>
      <c r="C3546" t="str">
        <f>HYPERLINK("http://service.sap.com/sap/support/notes/2023262","2023262")</f>
        <v>2023262</v>
      </c>
      <c r="D3546">
        <v>1</v>
      </c>
      <c r="E3546" t="s">
        <v>4582</v>
      </c>
      <c r="F3546" t="s">
        <v>9</v>
      </c>
    </row>
    <row r="3547" spans="1:6" x14ac:dyDescent="0.3">
      <c r="A3547" t="s">
        <v>783</v>
      </c>
      <c r="B3547" t="s">
        <v>784</v>
      </c>
      <c r="C3547" t="str">
        <f>HYPERLINK("http://service.sap.com/sap/support/notes/2025812","2025812")</f>
        <v>2025812</v>
      </c>
      <c r="D3547">
        <v>1</v>
      </c>
      <c r="E3547" t="s">
        <v>4583</v>
      </c>
      <c r="F3547" t="s">
        <v>9</v>
      </c>
    </row>
    <row r="3548" spans="1:6" x14ac:dyDescent="0.3">
      <c r="A3548" t="s">
        <v>783</v>
      </c>
      <c r="B3548" t="s">
        <v>784</v>
      </c>
      <c r="C3548" t="str">
        <f>HYPERLINK("http://service.sap.com/sap/support/notes/1974303","1974303")</f>
        <v>1974303</v>
      </c>
      <c r="D3548">
        <v>2</v>
      </c>
      <c r="E3548" t="s">
        <v>4923</v>
      </c>
      <c r="F3548" t="s">
        <v>9</v>
      </c>
    </row>
    <row r="3549" spans="1:6" x14ac:dyDescent="0.3">
      <c r="A3549" t="s">
        <v>783</v>
      </c>
      <c r="B3549" t="s">
        <v>784</v>
      </c>
      <c r="C3549" t="str">
        <f>HYPERLINK("http://service.sap.com/sap/support/notes/2012962","2012962")</f>
        <v>2012962</v>
      </c>
      <c r="D3549">
        <v>2</v>
      </c>
      <c r="E3549" t="s">
        <v>4924</v>
      </c>
      <c r="F3549" t="s">
        <v>28</v>
      </c>
    </row>
    <row r="3550" spans="1:6" x14ac:dyDescent="0.3">
      <c r="A3550" t="s">
        <v>783</v>
      </c>
      <c r="B3550" t="s">
        <v>784</v>
      </c>
      <c r="C3550" t="str">
        <f>HYPERLINK("http://service.sap.com/sap/support/notes/2016551","2016551")</f>
        <v>2016551</v>
      </c>
      <c r="D3550">
        <v>3</v>
      </c>
      <c r="E3550" t="s">
        <v>4925</v>
      </c>
      <c r="F3550" t="s">
        <v>9</v>
      </c>
    </row>
    <row r="3551" spans="1:6" x14ac:dyDescent="0.3">
      <c r="A3551" t="s">
        <v>783</v>
      </c>
      <c r="B3551" t="s">
        <v>784</v>
      </c>
      <c r="C3551" t="str">
        <f>HYPERLINK("http://service.sap.com/sap/support/notes/2023872","2023872")</f>
        <v>2023872</v>
      </c>
      <c r="D3551">
        <v>5</v>
      </c>
      <c r="E3551" t="s">
        <v>4926</v>
      </c>
      <c r="F3551" t="s">
        <v>9</v>
      </c>
    </row>
    <row r="3552" spans="1:6" x14ac:dyDescent="0.3">
      <c r="A3552" t="s">
        <v>783</v>
      </c>
      <c r="B3552" t="s">
        <v>784</v>
      </c>
      <c r="C3552" t="str">
        <f>HYPERLINK("http://service.sap.com/sap/support/notes/2033725","2033725")</f>
        <v>2033725</v>
      </c>
      <c r="D3552">
        <v>1</v>
      </c>
      <c r="E3552" t="s">
        <v>4927</v>
      </c>
      <c r="F3552" t="s">
        <v>9</v>
      </c>
    </row>
    <row r="3553" spans="1:6" x14ac:dyDescent="0.3">
      <c r="A3553" t="s">
        <v>783</v>
      </c>
      <c r="B3553" t="s">
        <v>784</v>
      </c>
      <c r="C3553" t="str">
        <f>HYPERLINK("http://service.sap.com/sap/support/notes/2041819","2041819")</f>
        <v>2041819</v>
      </c>
      <c r="D3553">
        <v>6</v>
      </c>
      <c r="E3553" t="s">
        <v>4928</v>
      </c>
      <c r="F3553" t="s">
        <v>28</v>
      </c>
    </row>
    <row r="3554" spans="1:6" x14ac:dyDescent="0.3">
      <c r="A3554" t="s">
        <v>783</v>
      </c>
      <c r="B3554" t="s">
        <v>784</v>
      </c>
      <c r="C3554" t="str">
        <f>HYPERLINK("http://service.sap.com/sap/support/notes/2046861","2046861")</f>
        <v>2046861</v>
      </c>
      <c r="D3554">
        <v>1</v>
      </c>
      <c r="E3554" t="s">
        <v>4929</v>
      </c>
      <c r="F3554" t="s">
        <v>9</v>
      </c>
    </row>
    <row r="3555" spans="1:6" x14ac:dyDescent="0.3">
      <c r="A3555" t="s">
        <v>783</v>
      </c>
      <c r="B3555" t="s">
        <v>784</v>
      </c>
      <c r="C3555" t="str">
        <f>HYPERLINK("http://service.sap.com/sap/support/notes/1995042","1995042")</f>
        <v>1995042</v>
      </c>
      <c r="D3555">
        <v>2</v>
      </c>
      <c r="E3555" t="s">
        <v>5271</v>
      </c>
      <c r="F3555" t="s">
        <v>9</v>
      </c>
    </row>
    <row r="3556" spans="1:6" x14ac:dyDescent="0.3">
      <c r="A3556" t="s">
        <v>783</v>
      </c>
      <c r="B3556" t="s">
        <v>784</v>
      </c>
      <c r="C3556" t="str">
        <f>HYPERLINK("http://service.sap.com/sap/support/notes/2042179","2042179")</f>
        <v>2042179</v>
      </c>
      <c r="D3556">
        <v>2</v>
      </c>
      <c r="E3556" t="s">
        <v>5272</v>
      </c>
      <c r="F3556" t="s">
        <v>9</v>
      </c>
    </row>
    <row r="3557" spans="1:6" x14ac:dyDescent="0.3">
      <c r="A3557" t="s">
        <v>783</v>
      </c>
      <c r="B3557" t="s">
        <v>784</v>
      </c>
      <c r="C3557" t="str">
        <f>HYPERLINK("http://service.sap.com/sap/support/notes/1913265","1913265")</f>
        <v>1913265</v>
      </c>
      <c r="D3557">
        <v>2</v>
      </c>
      <c r="E3557" t="s">
        <v>5601</v>
      </c>
      <c r="F3557" t="s">
        <v>28</v>
      </c>
    </row>
    <row r="3558" spans="1:6" x14ac:dyDescent="0.3">
      <c r="A3558" t="s">
        <v>783</v>
      </c>
      <c r="B3558" t="s">
        <v>784</v>
      </c>
      <c r="C3558" t="str">
        <f>HYPERLINK("http://service.sap.com/sap/support/notes/2037768","2037768")</f>
        <v>2037768</v>
      </c>
      <c r="D3558">
        <v>3</v>
      </c>
      <c r="E3558" t="s">
        <v>5602</v>
      </c>
      <c r="F3558" t="s">
        <v>9</v>
      </c>
    </row>
    <row r="3559" spans="1:6" x14ac:dyDescent="0.3">
      <c r="A3559" t="s">
        <v>783</v>
      </c>
      <c r="B3559" t="s">
        <v>784</v>
      </c>
      <c r="C3559" t="str">
        <f>HYPERLINK("http://service.sap.com/sap/support/notes/2037949","2037949")</f>
        <v>2037949</v>
      </c>
      <c r="D3559">
        <v>2</v>
      </c>
      <c r="E3559" t="s">
        <v>5603</v>
      </c>
      <c r="F3559" t="s">
        <v>9</v>
      </c>
    </row>
    <row r="3560" spans="1:6" x14ac:dyDescent="0.3">
      <c r="A3560" t="s">
        <v>783</v>
      </c>
      <c r="B3560" t="s">
        <v>784</v>
      </c>
      <c r="C3560" t="str">
        <f>HYPERLINK("http://service.sap.com/sap/support/notes/2046186","2046186")</f>
        <v>2046186</v>
      </c>
      <c r="D3560">
        <v>3</v>
      </c>
      <c r="E3560" t="s">
        <v>5604</v>
      </c>
      <c r="F3560" t="s">
        <v>9</v>
      </c>
    </row>
    <row r="3561" spans="1:6" x14ac:dyDescent="0.3">
      <c r="A3561" t="s">
        <v>783</v>
      </c>
      <c r="B3561" t="s">
        <v>784</v>
      </c>
      <c r="C3561" t="str">
        <f>HYPERLINK("http://service.sap.com/sap/support/notes/2061214","2061214")</f>
        <v>2061214</v>
      </c>
      <c r="D3561">
        <v>1</v>
      </c>
      <c r="E3561" t="s">
        <v>5605</v>
      </c>
      <c r="F3561" t="s">
        <v>9</v>
      </c>
    </row>
    <row r="3562" spans="1:6" x14ac:dyDescent="0.3">
      <c r="A3562" t="s">
        <v>783</v>
      </c>
      <c r="B3562" t="s">
        <v>784</v>
      </c>
      <c r="C3562" t="str">
        <f>HYPERLINK("http://service.sap.com/sap/support/notes/2061386","2061386")</f>
        <v>2061386</v>
      </c>
      <c r="D3562">
        <v>1</v>
      </c>
      <c r="E3562" t="s">
        <v>5606</v>
      </c>
      <c r="F3562" t="s">
        <v>9</v>
      </c>
    </row>
    <row r="3563" spans="1:6" x14ac:dyDescent="0.3">
      <c r="A3563" t="s">
        <v>783</v>
      </c>
      <c r="B3563" t="s">
        <v>784</v>
      </c>
      <c r="C3563" t="str">
        <f>HYPERLINK("http://service.sap.com/sap/support/notes/2061673","2061673")</f>
        <v>2061673</v>
      </c>
      <c r="D3563">
        <v>2</v>
      </c>
      <c r="E3563" t="s">
        <v>5607</v>
      </c>
      <c r="F3563" t="s">
        <v>9</v>
      </c>
    </row>
    <row r="3564" spans="1:6" x14ac:dyDescent="0.3">
      <c r="A3564" t="s">
        <v>783</v>
      </c>
      <c r="B3564" t="s">
        <v>784</v>
      </c>
      <c r="C3564" t="str">
        <f>HYPERLINK("http://service.sap.com/sap/support/notes/2062996","2062996")</f>
        <v>2062996</v>
      </c>
      <c r="D3564">
        <v>1</v>
      </c>
      <c r="E3564" t="s">
        <v>5608</v>
      </c>
      <c r="F3564" t="s">
        <v>9</v>
      </c>
    </row>
    <row r="3565" spans="1:6" x14ac:dyDescent="0.3">
      <c r="A3565" t="s">
        <v>783</v>
      </c>
      <c r="B3565" t="s">
        <v>784</v>
      </c>
      <c r="C3565" t="str">
        <f>HYPERLINK("http://service.sap.com/sap/support/notes/2063773","2063773")</f>
        <v>2063773</v>
      </c>
      <c r="D3565">
        <v>1</v>
      </c>
      <c r="E3565" t="s">
        <v>5609</v>
      </c>
      <c r="F3565" t="s">
        <v>9</v>
      </c>
    </row>
    <row r="3566" spans="1:6" x14ac:dyDescent="0.3">
      <c r="A3566" t="s">
        <v>783</v>
      </c>
      <c r="B3566" t="s">
        <v>784</v>
      </c>
      <c r="C3566" t="str">
        <f>HYPERLINK("http://service.sap.com/sap/support/notes/2064059","2064059")</f>
        <v>2064059</v>
      </c>
      <c r="D3566">
        <v>1</v>
      </c>
      <c r="E3566" t="s">
        <v>5610</v>
      </c>
      <c r="F3566" t="s">
        <v>28</v>
      </c>
    </row>
    <row r="3567" spans="1:6" x14ac:dyDescent="0.3">
      <c r="A3567" t="s">
        <v>794</v>
      </c>
      <c r="B3567" t="s">
        <v>175</v>
      </c>
      <c r="C3567" t="str">
        <f>HYPERLINK("http://service.sap.com/sap/support/notes/1884526","1884526")</f>
        <v>1884526</v>
      </c>
      <c r="D3567">
        <v>1</v>
      </c>
      <c r="E3567" t="s">
        <v>795</v>
      </c>
      <c r="F3567" t="s">
        <v>28</v>
      </c>
    </row>
    <row r="3568" spans="1:6" x14ac:dyDescent="0.3">
      <c r="A3568" t="s">
        <v>794</v>
      </c>
      <c r="B3568" t="s">
        <v>175</v>
      </c>
      <c r="C3568" t="str">
        <f>HYPERLINK("http://service.sap.com/sap/support/notes/1887902","1887902")</f>
        <v>1887902</v>
      </c>
      <c r="D3568">
        <v>3</v>
      </c>
      <c r="E3568" t="s">
        <v>796</v>
      </c>
      <c r="F3568" t="s">
        <v>28</v>
      </c>
    </row>
    <row r="3569" spans="1:6" x14ac:dyDescent="0.3">
      <c r="A3569" t="s">
        <v>794</v>
      </c>
      <c r="B3569" t="s">
        <v>175</v>
      </c>
      <c r="C3569" t="str">
        <f>HYPERLINK("http://service.sap.com/sap/support/notes/1895902","1895902")</f>
        <v>1895902</v>
      </c>
      <c r="D3569">
        <v>4</v>
      </c>
      <c r="E3569" t="s">
        <v>797</v>
      </c>
      <c r="F3569" t="s">
        <v>28</v>
      </c>
    </row>
    <row r="3570" spans="1:6" x14ac:dyDescent="0.3">
      <c r="A3570" t="s">
        <v>794</v>
      </c>
      <c r="B3570" t="s">
        <v>175</v>
      </c>
      <c r="C3570" t="str">
        <f>HYPERLINK("http://service.sap.com/sap/support/notes/1895947","1895947")</f>
        <v>1895947</v>
      </c>
      <c r="D3570">
        <v>4</v>
      </c>
      <c r="E3570" t="s">
        <v>798</v>
      </c>
      <c r="F3570" t="s">
        <v>16</v>
      </c>
    </row>
    <row r="3571" spans="1:6" x14ac:dyDescent="0.3">
      <c r="A3571" t="s">
        <v>794</v>
      </c>
      <c r="B3571" t="s">
        <v>175</v>
      </c>
      <c r="C3571" t="str">
        <f>HYPERLINK("http://service.sap.com/sap/support/notes/1916899","1916899")</f>
        <v>1916899</v>
      </c>
      <c r="D3571">
        <v>4</v>
      </c>
      <c r="E3571" t="s">
        <v>799</v>
      </c>
      <c r="F3571" t="s">
        <v>9</v>
      </c>
    </row>
    <row r="3572" spans="1:6" x14ac:dyDescent="0.3">
      <c r="A3572" t="s">
        <v>794</v>
      </c>
      <c r="B3572" t="s">
        <v>175</v>
      </c>
      <c r="C3572" t="str">
        <f>HYPERLINK("http://service.sap.com/sap/support/notes/1921936","1921936")</f>
        <v>1921936</v>
      </c>
      <c r="D3572">
        <v>1</v>
      </c>
      <c r="E3572" t="s">
        <v>800</v>
      </c>
      <c r="F3572" t="s">
        <v>9</v>
      </c>
    </row>
    <row r="3573" spans="1:6" x14ac:dyDescent="0.3">
      <c r="A3573" t="s">
        <v>794</v>
      </c>
      <c r="B3573" t="s">
        <v>175</v>
      </c>
      <c r="C3573" t="str">
        <f>HYPERLINK("http://service.sap.com/sap/support/notes/1924622","1924622")</f>
        <v>1924622</v>
      </c>
      <c r="D3573">
        <v>1</v>
      </c>
      <c r="E3573" t="s">
        <v>801</v>
      </c>
      <c r="F3573" t="s">
        <v>28</v>
      </c>
    </row>
    <row r="3574" spans="1:6" x14ac:dyDescent="0.3">
      <c r="A3574" t="s">
        <v>794</v>
      </c>
      <c r="B3574" t="s">
        <v>175</v>
      </c>
      <c r="C3574" t="str">
        <f>HYPERLINK("http://service.sap.com/sap/support/notes/1884136","1884136")</f>
        <v>1884136</v>
      </c>
      <c r="D3574">
        <v>3</v>
      </c>
      <c r="E3574" t="s">
        <v>1317</v>
      </c>
      <c r="F3574" t="s">
        <v>28</v>
      </c>
    </row>
    <row r="3575" spans="1:6" x14ac:dyDescent="0.3">
      <c r="A3575" t="s">
        <v>794</v>
      </c>
      <c r="B3575" t="s">
        <v>175</v>
      </c>
      <c r="C3575" t="str">
        <f>HYPERLINK("http://service.sap.com/sap/support/notes/1917603","1917603")</f>
        <v>1917603</v>
      </c>
      <c r="D3575">
        <v>4</v>
      </c>
      <c r="E3575" t="s">
        <v>1318</v>
      </c>
      <c r="F3575" t="s">
        <v>9</v>
      </c>
    </row>
    <row r="3576" spans="1:6" x14ac:dyDescent="0.3">
      <c r="A3576" t="s">
        <v>794</v>
      </c>
      <c r="B3576" t="s">
        <v>175</v>
      </c>
      <c r="C3576" t="str">
        <f>HYPERLINK("http://service.sap.com/sap/support/notes/1923218","1923218")</f>
        <v>1923218</v>
      </c>
      <c r="D3576">
        <v>2</v>
      </c>
      <c r="E3576" t="s">
        <v>1319</v>
      </c>
      <c r="F3576" t="s">
        <v>28</v>
      </c>
    </row>
    <row r="3577" spans="1:6" x14ac:dyDescent="0.3">
      <c r="A3577" t="s">
        <v>794</v>
      </c>
      <c r="B3577" t="s">
        <v>175</v>
      </c>
      <c r="C3577" t="str">
        <f>HYPERLINK("http://service.sap.com/sap/support/notes/1935463","1935463")</f>
        <v>1935463</v>
      </c>
      <c r="D3577">
        <v>5</v>
      </c>
      <c r="E3577" t="s">
        <v>1320</v>
      </c>
      <c r="F3577" t="s">
        <v>9</v>
      </c>
    </row>
    <row r="3578" spans="1:6" x14ac:dyDescent="0.3">
      <c r="A3578" t="s">
        <v>794</v>
      </c>
      <c r="B3578" t="s">
        <v>175</v>
      </c>
      <c r="C3578" t="str">
        <f>HYPERLINK("http://service.sap.com/sap/support/notes/1936712","1936712")</f>
        <v>1936712</v>
      </c>
      <c r="D3578">
        <v>3</v>
      </c>
      <c r="E3578" t="s">
        <v>1321</v>
      </c>
      <c r="F3578" t="s">
        <v>9</v>
      </c>
    </row>
    <row r="3579" spans="1:6" x14ac:dyDescent="0.3">
      <c r="A3579" t="s">
        <v>794</v>
      </c>
      <c r="B3579" t="s">
        <v>175</v>
      </c>
      <c r="C3579" t="str">
        <f>HYPERLINK("http://service.sap.com/sap/support/notes/1939394","1939394")</f>
        <v>1939394</v>
      </c>
      <c r="D3579">
        <v>2</v>
      </c>
      <c r="E3579" t="s">
        <v>1322</v>
      </c>
      <c r="F3579" t="s">
        <v>9</v>
      </c>
    </row>
    <row r="3580" spans="1:6" x14ac:dyDescent="0.3">
      <c r="A3580" t="s">
        <v>794</v>
      </c>
      <c r="B3580" t="s">
        <v>175</v>
      </c>
      <c r="C3580" t="str">
        <f>HYPERLINK("http://service.sap.com/sap/support/notes/1878643","1878643")</f>
        <v>1878643</v>
      </c>
      <c r="D3580">
        <v>1</v>
      </c>
      <c r="E3580" t="s">
        <v>1846</v>
      </c>
      <c r="F3580" t="s">
        <v>35</v>
      </c>
    </row>
    <row r="3581" spans="1:6" x14ac:dyDescent="0.3">
      <c r="A3581" t="s">
        <v>794</v>
      </c>
      <c r="B3581" t="s">
        <v>175</v>
      </c>
      <c r="C3581" t="str">
        <f>HYPERLINK("http://service.sap.com/sap/support/notes/1938077","1938077")</f>
        <v>1938077</v>
      </c>
      <c r="D3581">
        <v>3</v>
      </c>
      <c r="E3581" t="s">
        <v>1847</v>
      </c>
      <c r="F3581" t="s">
        <v>9</v>
      </c>
    </row>
    <row r="3582" spans="1:6" x14ac:dyDescent="0.3">
      <c r="A3582" t="s">
        <v>794</v>
      </c>
      <c r="B3582" t="s">
        <v>175</v>
      </c>
      <c r="C3582" t="str">
        <f>HYPERLINK("http://service.sap.com/sap/support/notes/1953630","1953630")</f>
        <v>1953630</v>
      </c>
      <c r="D3582">
        <v>2</v>
      </c>
      <c r="E3582" t="s">
        <v>1848</v>
      </c>
      <c r="F3582" t="s">
        <v>28</v>
      </c>
    </row>
    <row r="3583" spans="1:6" x14ac:dyDescent="0.3">
      <c r="A3583" t="s">
        <v>794</v>
      </c>
      <c r="B3583" t="s">
        <v>175</v>
      </c>
      <c r="C3583" t="str">
        <f>HYPERLINK("http://service.sap.com/sap/support/notes/1955617","1955617")</f>
        <v>1955617</v>
      </c>
      <c r="D3583">
        <v>1</v>
      </c>
      <c r="E3583" t="s">
        <v>1849</v>
      </c>
      <c r="F3583" t="s">
        <v>28</v>
      </c>
    </row>
    <row r="3584" spans="1:6" x14ac:dyDescent="0.3">
      <c r="A3584" t="s">
        <v>794</v>
      </c>
      <c r="B3584" t="s">
        <v>175</v>
      </c>
      <c r="C3584" t="str">
        <f>HYPERLINK("http://service.sap.com/sap/support/notes/1961403","1961403")</f>
        <v>1961403</v>
      </c>
      <c r="D3584">
        <v>1</v>
      </c>
      <c r="E3584" t="s">
        <v>1850</v>
      </c>
      <c r="F3584" t="s">
        <v>28</v>
      </c>
    </row>
    <row r="3585" spans="1:6" x14ac:dyDescent="0.3">
      <c r="A3585" t="s">
        <v>794</v>
      </c>
      <c r="B3585" t="s">
        <v>175</v>
      </c>
      <c r="C3585" t="str">
        <f>HYPERLINK("http://service.sap.com/sap/support/notes/1966050","1966050")</f>
        <v>1966050</v>
      </c>
      <c r="D3585">
        <v>5</v>
      </c>
      <c r="E3585" t="s">
        <v>2259</v>
      </c>
      <c r="F3585" t="s">
        <v>28</v>
      </c>
    </row>
    <row r="3586" spans="1:6" x14ac:dyDescent="0.3">
      <c r="A3586" t="s">
        <v>794</v>
      </c>
      <c r="B3586" t="s">
        <v>175</v>
      </c>
      <c r="C3586" t="str">
        <f>HYPERLINK("http://service.sap.com/sap/support/notes/1968492","1968492")</f>
        <v>1968492</v>
      </c>
      <c r="D3586">
        <v>7</v>
      </c>
      <c r="E3586" t="s">
        <v>2260</v>
      </c>
      <c r="F3586" t="s">
        <v>28</v>
      </c>
    </row>
    <row r="3587" spans="1:6" x14ac:dyDescent="0.3">
      <c r="A3587" t="s">
        <v>794</v>
      </c>
      <c r="B3587" t="s">
        <v>175</v>
      </c>
      <c r="C3587" t="str">
        <f>HYPERLINK("http://service.sap.com/sap/support/notes/1872012","1872012")</f>
        <v>1872012</v>
      </c>
      <c r="D3587">
        <v>5</v>
      </c>
      <c r="E3587" t="s">
        <v>2650</v>
      </c>
      <c r="F3587" t="s">
        <v>28</v>
      </c>
    </row>
    <row r="3588" spans="1:6" x14ac:dyDescent="0.3">
      <c r="A3588" t="s">
        <v>794</v>
      </c>
      <c r="B3588" t="s">
        <v>175</v>
      </c>
      <c r="C3588" t="str">
        <f>HYPERLINK("http://service.sap.com/sap/support/notes/1940138","1940138")</f>
        <v>1940138</v>
      </c>
      <c r="D3588">
        <v>8</v>
      </c>
      <c r="E3588" t="s">
        <v>2651</v>
      </c>
      <c r="F3588" t="s">
        <v>9</v>
      </c>
    </row>
    <row r="3589" spans="1:6" x14ac:dyDescent="0.3">
      <c r="A3589" t="s">
        <v>794</v>
      </c>
      <c r="B3589" t="s">
        <v>175</v>
      </c>
      <c r="C3589" t="str">
        <f>HYPERLINK("http://service.sap.com/sap/support/notes/1966050","1966050")</f>
        <v>1966050</v>
      </c>
      <c r="D3589">
        <v>5</v>
      </c>
      <c r="E3589" t="s">
        <v>2259</v>
      </c>
      <c r="F3589" t="s">
        <v>28</v>
      </c>
    </row>
    <row r="3590" spans="1:6" x14ac:dyDescent="0.3">
      <c r="A3590" t="s">
        <v>794</v>
      </c>
      <c r="B3590" t="s">
        <v>175</v>
      </c>
      <c r="C3590" t="str">
        <f>HYPERLINK("http://service.sap.com/sap/support/notes/1971132","1971132")</f>
        <v>1971132</v>
      </c>
      <c r="D3590">
        <v>5</v>
      </c>
      <c r="E3590" t="s">
        <v>2652</v>
      </c>
      <c r="F3590" t="s">
        <v>9</v>
      </c>
    </row>
    <row r="3591" spans="1:6" x14ac:dyDescent="0.3">
      <c r="A3591" t="s">
        <v>794</v>
      </c>
      <c r="B3591" t="s">
        <v>175</v>
      </c>
      <c r="C3591" t="str">
        <f>HYPERLINK("http://service.sap.com/sap/support/notes/1971520","1971520")</f>
        <v>1971520</v>
      </c>
      <c r="D3591">
        <v>5</v>
      </c>
      <c r="E3591" t="s">
        <v>2653</v>
      </c>
      <c r="F3591" t="s">
        <v>28</v>
      </c>
    </row>
    <row r="3592" spans="1:6" x14ac:dyDescent="0.3">
      <c r="A3592" t="s">
        <v>794</v>
      </c>
      <c r="B3592" t="s">
        <v>175</v>
      </c>
      <c r="C3592" t="str">
        <f>HYPERLINK("http://service.sap.com/sap/support/notes/1971757","1971757")</f>
        <v>1971757</v>
      </c>
      <c r="D3592">
        <v>5</v>
      </c>
      <c r="E3592" t="s">
        <v>2654</v>
      </c>
      <c r="F3592" t="s">
        <v>28</v>
      </c>
    </row>
    <row r="3593" spans="1:6" x14ac:dyDescent="0.3">
      <c r="A3593" t="s">
        <v>794</v>
      </c>
      <c r="B3593" t="s">
        <v>175</v>
      </c>
      <c r="C3593" t="str">
        <f>HYPERLINK("http://service.sap.com/sap/support/notes/1866794","1866794")</f>
        <v>1866794</v>
      </c>
      <c r="D3593">
        <v>3</v>
      </c>
      <c r="E3593" t="s">
        <v>3103</v>
      </c>
      <c r="F3593" t="s">
        <v>9</v>
      </c>
    </row>
    <row r="3594" spans="1:6" x14ac:dyDescent="0.3">
      <c r="A3594" t="s">
        <v>794</v>
      </c>
      <c r="B3594" t="s">
        <v>175</v>
      </c>
      <c r="C3594" t="str">
        <f>HYPERLINK("http://service.sap.com/sap/support/notes/1895450","1895450")</f>
        <v>1895450</v>
      </c>
      <c r="D3594">
        <v>7</v>
      </c>
      <c r="E3594" t="s">
        <v>3104</v>
      </c>
      <c r="F3594" t="s">
        <v>28</v>
      </c>
    </row>
    <row r="3595" spans="1:6" x14ac:dyDescent="0.3">
      <c r="A3595" t="s">
        <v>794</v>
      </c>
      <c r="B3595" t="s">
        <v>175</v>
      </c>
      <c r="C3595" t="str">
        <f>HYPERLINK("http://service.sap.com/sap/support/notes/1946431","1946431")</f>
        <v>1946431</v>
      </c>
      <c r="D3595">
        <v>2</v>
      </c>
      <c r="E3595" t="s">
        <v>3105</v>
      </c>
      <c r="F3595" t="s">
        <v>9</v>
      </c>
    </row>
    <row r="3596" spans="1:6" x14ac:dyDescent="0.3">
      <c r="A3596" t="s">
        <v>794</v>
      </c>
      <c r="B3596" t="s">
        <v>175</v>
      </c>
      <c r="C3596" t="str">
        <f>HYPERLINK("http://service.sap.com/sap/support/notes/1960062","1960062")</f>
        <v>1960062</v>
      </c>
      <c r="D3596">
        <v>5</v>
      </c>
      <c r="E3596" t="s">
        <v>3106</v>
      </c>
      <c r="F3596" t="s">
        <v>28</v>
      </c>
    </row>
    <row r="3597" spans="1:6" x14ac:dyDescent="0.3">
      <c r="A3597" t="s">
        <v>794</v>
      </c>
      <c r="B3597" t="s">
        <v>175</v>
      </c>
      <c r="C3597" t="str">
        <f>HYPERLINK("http://service.sap.com/sap/support/notes/1962904","1962904")</f>
        <v>1962904</v>
      </c>
      <c r="D3597">
        <v>8</v>
      </c>
      <c r="E3597" t="s">
        <v>3107</v>
      </c>
      <c r="F3597" t="s">
        <v>28</v>
      </c>
    </row>
    <row r="3598" spans="1:6" x14ac:dyDescent="0.3">
      <c r="A3598" t="s">
        <v>794</v>
      </c>
      <c r="B3598" t="s">
        <v>175</v>
      </c>
      <c r="C3598" t="str">
        <f>HYPERLINK("http://service.sap.com/sap/support/notes/1963947","1963947")</f>
        <v>1963947</v>
      </c>
      <c r="D3598">
        <v>2</v>
      </c>
      <c r="E3598" t="s">
        <v>3108</v>
      </c>
      <c r="F3598" t="s">
        <v>28</v>
      </c>
    </row>
    <row r="3599" spans="1:6" x14ac:dyDescent="0.3">
      <c r="A3599" t="s">
        <v>794</v>
      </c>
      <c r="B3599" t="s">
        <v>175</v>
      </c>
      <c r="C3599" t="str">
        <f>HYPERLINK("http://service.sap.com/sap/support/notes/1970289","1970289")</f>
        <v>1970289</v>
      </c>
      <c r="D3599">
        <v>3</v>
      </c>
      <c r="E3599" t="s">
        <v>3109</v>
      </c>
      <c r="F3599" t="s">
        <v>28</v>
      </c>
    </row>
    <row r="3600" spans="1:6" x14ac:dyDescent="0.3">
      <c r="A3600" t="s">
        <v>794</v>
      </c>
      <c r="B3600" t="s">
        <v>175</v>
      </c>
      <c r="C3600" t="str">
        <f>HYPERLINK("http://service.sap.com/sap/support/notes/1973543","1973543")</f>
        <v>1973543</v>
      </c>
      <c r="D3600">
        <v>3</v>
      </c>
      <c r="E3600" t="s">
        <v>3110</v>
      </c>
      <c r="F3600" t="s">
        <v>28</v>
      </c>
    </row>
    <row r="3601" spans="1:6" x14ac:dyDescent="0.3">
      <c r="A3601" t="s">
        <v>794</v>
      </c>
      <c r="B3601" t="s">
        <v>175</v>
      </c>
      <c r="C3601" t="str">
        <f>HYPERLINK("http://service.sap.com/sap/support/notes/1975776","1975776")</f>
        <v>1975776</v>
      </c>
      <c r="D3601">
        <v>3</v>
      </c>
      <c r="E3601" t="s">
        <v>3111</v>
      </c>
      <c r="F3601" t="s">
        <v>9</v>
      </c>
    </row>
    <row r="3602" spans="1:6" x14ac:dyDescent="0.3">
      <c r="A3602" t="s">
        <v>794</v>
      </c>
      <c r="B3602" t="s">
        <v>175</v>
      </c>
      <c r="C3602" t="str">
        <f>HYPERLINK("http://service.sap.com/sap/support/notes/1977063","1977063")</f>
        <v>1977063</v>
      </c>
      <c r="D3602">
        <v>4</v>
      </c>
      <c r="E3602" t="s">
        <v>3112</v>
      </c>
      <c r="F3602" t="s">
        <v>28</v>
      </c>
    </row>
    <row r="3603" spans="1:6" x14ac:dyDescent="0.3">
      <c r="A3603" t="s">
        <v>794</v>
      </c>
      <c r="B3603" t="s">
        <v>175</v>
      </c>
      <c r="C3603" t="str">
        <f>HYPERLINK("http://service.sap.com/sap/support/notes/1978364","1978364")</f>
        <v>1978364</v>
      </c>
      <c r="D3603">
        <v>4</v>
      </c>
      <c r="E3603" t="s">
        <v>3113</v>
      </c>
      <c r="F3603" t="s">
        <v>28</v>
      </c>
    </row>
    <row r="3604" spans="1:6" x14ac:dyDescent="0.3">
      <c r="A3604" t="s">
        <v>794</v>
      </c>
      <c r="B3604" t="s">
        <v>175</v>
      </c>
      <c r="C3604" t="str">
        <f>HYPERLINK("http://service.sap.com/sap/support/notes/1979999","1979999")</f>
        <v>1979999</v>
      </c>
      <c r="D3604">
        <v>4</v>
      </c>
      <c r="E3604" t="s">
        <v>3114</v>
      </c>
      <c r="F3604" t="s">
        <v>28</v>
      </c>
    </row>
    <row r="3605" spans="1:6" x14ac:dyDescent="0.3">
      <c r="A3605" t="s">
        <v>794</v>
      </c>
      <c r="B3605" t="s">
        <v>175</v>
      </c>
      <c r="C3605" t="str">
        <f>HYPERLINK("http://service.sap.com/sap/support/notes/1985564","1985564")</f>
        <v>1985564</v>
      </c>
      <c r="D3605">
        <v>1</v>
      </c>
      <c r="E3605" t="s">
        <v>3115</v>
      </c>
      <c r="F3605" t="s">
        <v>9</v>
      </c>
    </row>
    <row r="3606" spans="1:6" x14ac:dyDescent="0.3">
      <c r="A3606" t="s">
        <v>794</v>
      </c>
      <c r="B3606" t="s">
        <v>175</v>
      </c>
      <c r="C3606" t="str">
        <f>HYPERLINK("http://service.sap.com/sap/support/notes/1988998","1988998")</f>
        <v>1988998</v>
      </c>
      <c r="D3606">
        <v>8</v>
      </c>
      <c r="E3606" t="s">
        <v>3116</v>
      </c>
      <c r="F3606" t="s">
        <v>28</v>
      </c>
    </row>
    <row r="3607" spans="1:6" x14ac:dyDescent="0.3">
      <c r="A3607" t="s">
        <v>794</v>
      </c>
      <c r="B3607" t="s">
        <v>175</v>
      </c>
      <c r="C3607" t="str">
        <f>HYPERLINK("http://service.sap.com/sap/support/notes/1990423","1990423")</f>
        <v>1990423</v>
      </c>
      <c r="D3607">
        <v>2</v>
      </c>
      <c r="E3607" t="s">
        <v>3117</v>
      </c>
      <c r="F3607" t="s">
        <v>9</v>
      </c>
    </row>
    <row r="3608" spans="1:6" x14ac:dyDescent="0.3">
      <c r="A3608" t="s">
        <v>794</v>
      </c>
      <c r="B3608" t="s">
        <v>175</v>
      </c>
      <c r="C3608" t="str">
        <f>HYPERLINK("http://service.sap.com/sap/support/notes/1868223","1868223")</f>
        <v>1868223</v>
      </c>
      <c r="D3608">
        <v>7</v>
      </c>
      <c r="E3608" t="s">
        <v>3769</v>
      </c>
      <c r="F3608" t="s">
        <v>28</v>
      </c>
    </row>
    <row r="3609" spans="1:6" x14ac:dyDescent="0.3">
      <c r="A3609" t="s">
        <v>794</v>
      </c>
      <c r="B3609" t="s">
        <v>175</v>
      </c>
      <c r="C3609" t="str">
        <f>HYPERLINK("http://service.sap.com/sap/support/notes/1901963","1901963")</f>
        <v>1901963</v>
      </c>
      <c r="D3609">
        <v>6</v>
      </c>
      <c r="E3609" t="s">
        <v>3770</v>
      </c>
      <c r="F3609" t="s">
        <v>28</v>
      </c>
    </row>
    <row r="3610" spans="1:6" x14ac:dyDescent="0.3">
      <c r="A3610" t="s">
        <v>794</v>
      </c>
      <c r="B3610" t="s">
        <v>175</v>
      </c>
      <c r="C3610" t="str">
        <f>HYPERLINK("http://service.sap.com/sap/support/notes/1964717","1964717")</f>
        <v>1964717</v>
      </c>
      <c r="D3610">
        <v>5</v>
      </c>
      <c r="E3610" t="s">
        <v>3771</v>
      </c>
      <c r="F3610" t="s">
        <v>28</v>
      </c>
    </row>
    <row r="3611" spans="1:6" x14ac:dyDescent="0.3">
      <c r="A3611" t="s">
        <v>794</v>
      </c>
      <c r="B3611" t="s">
        <v>175</v>
      </c>
      <c r="C3611" t="str">
        <f>HYPERLINK("http://service.sap.com/sap/support/notes/1992204","1992204")</f>
        <v>1992204</v>
      </c>
      <c r="D3611">
        <v>2</v>
      </c>
      <c r="E3611" t="s">
        <v>3772</v>
      </c>
      <c r="F3611" t="s">
        <v>9</v>
      </c>
    </row>
    <row r="3612" spans="1:6" x14ac:dyDescent="0.3">
      <c r="A3612" t="s">
        <v>794</v>
      </c>
      <c r="B3612" t="s">
        <v>175</v>
      </c>
      <c r="C3612" t="str">
        <f>HYPERLINK("http://service.sap.com/sap/support/notes/1993982","1993982")</f>
        <v>1993982</v>
      </c>
      <c r="D3612">
        <v>3</v>
      </c>
      <c r="E3612" t="s">
        <v>3773</v>
      </c>
      <c r="F3612" t="s">
        <v>28</v>
      </c>
    </row>
    <row r="3613" spans="1:6" x14ac:dyDescent="0.3">
      <c r="A3613" t="s">
        <v>794</v>
      </c>
      <c r="B3613" t="s">
        <v>175</v>
      </c>
      <c r="C3613" t="str">
        <f>HYPERLINK("http://service.sap.com/sap/support/notes/1999580","1999580")</f>
        <v>1999580</v>
      </c>
      <c r="D3613">
        <v>8</v>
      </c>
      <c r="E3613" t="s">
        <v>3774</v>
      </c>
      <c r="F3613" t="s">
        <v>28</v>
      </c>
    </row>
    <row r="3614" spans="1:6" x14ac:dyDescent="0.3">
      <c r="A3614" t="s">
        <v>794</v>
      </c>
      <c r="B3614" t="s">
        <v>175</v>
      </c>
      <c r="C3614" t="str">
        <f>HYPERLINK("http://service.sap.com/sap/support/notes/1865466","1865466")</f>
        <v>1865466</v>
      </c>
      <c r="D3614">
        <v>4</v>
      </c>
      <c r="E3614" t="s">
        <v>4257</v>
      </c>
      <c r="F3614" t="s">
        <v>9</v>
      </c>
    </row>
    <row r="3615" spans="1:6" x14ac:dyDescent="0.3">
      <c r="A3615" t="s">
        <v>794</v>
      </c>
      <c r="B3615" t="s">
        <v>175</v>
      </c>
      <c r="C3615" t="str">
        <f>HYPERLINK("http://service.sap.com/sap/support/notes/1960184","1960184")</f>
        <v>1960184</v>
      </c>
      <c r="D3615">
        <v>3</v>
      </c>
      <c r="E3615" t="s">
        <v>4258</v>
      </c>
      <c r="F3615" t="s">
        <v>9</v>
      </c>
    </row>
    <row r="3616" spans="1:6" x14ac:dyDescent="0.3">
      <c r="A3616" t="s">
        <v>794</v>
      </c>
      <c r="B3616" t="s">
        <v>175</v>
      </c>
      <c r="C3616" t="str">
        <f>HYPERLINK("http://service.sap.com/sap/support/notes/1979429","1979429")</f>
        <v>1979429</v>
      </c>
      <c r="D3616">
        <v>3</v>
      </c>
      <c r="E3616" t="s">
        <v>4259</v>
      </c>
      <c r="F3616" t="s">
        <v>9</v>
      </c>
    </row>
    <row r="3617" spans="1:6" x14ac:dyDescent="0.3">
      <c r="A3617" t="s">
        <v>794</v>
      </c>
      <c r="B3617" t="s">
        <v>175</v>
      </c>
      <c r="C3617" t="str">
        <f>HYPERLINK("http://service.sap.com/sap/support/notes/1993850","1993850")</f>
        <v>1993850</v>
      </c>
      <c r="D3617">
        <v>4</v>
      </c>
      <c r="E3617" t="s">
        <v>4260</v>
      </c>
      <c r="F3617" t="s">
        <v>9</v>
      </c>
    </row>
    <row r="3618" spans="1:6" x14ac:dyDescent="0.3">
      <c r="A3618" t="s">
        <v>794</v>
      </c>
      <c r="B3618" t="s">
        <v>175</v>
      </c>
      <c r="C3618" t="str">
        <f>HYPERLINK("http://service.sap.com/sap/support/notes/1996475","1996475")</f>
        <v>1996475</v>
      </c>
      <c r="D3618">
        <v>3</v>
      </c>
      <c r="E3618" t="s">
        <v>4261</v>
      </c>
      <c r="F3618" t="s">
        <v>28</v>
      </c>
    </row>
    <row r="3619" spans="1:6" x14ac:dyDescent="0.3">
      <c r="A3619" t="s">
        <v>794</v>
      </c>
      <c r="B3619" t="s">
        <v>175</v>
      </c>
      <c r="C3619" t="str">
        <f>HYPERLINK("http://service.sap.com/sap/support/notes/2002894","2002894")</f>
        <v>2002894</v>
      </c>
      <c r="D3619">
        <v>6</v>
      </c>
      <c r="E3619" t="s">
        <v>4262</v>
      </c>
      <c r="F3619" t="s">
        <v>28</v>
      </c>
    </row>
    <row r="3620" spans="1:6" x14ac:dyDescent="0.3">
      <c r="A3620" t="s">
        <v>794</v>
      </c>
      <c r="B3620" t="s">
        <v>175</v>
      </c>
      <c r="C3620" t="str">
        <f>HYPERLINK("http://service.sap.com/sap/support/notes/2004911","2004911")</f>
        <v>2004911</v>
      </c>
      <c r="D3620">
        <v>4</v>
      </c>
      <c r="E3620" t="s">
        <v>4263</v>
      </c>
      <c r="F3620" t="s">
        <v>28</v>
      </c>
    </row>
    <row r="3621" spans="1:6" x14ac:dyDescent="0.3">
      <c r="A3621" t="s">
        <v>794</v>
      </c>
      <c r="B3621" t="s">
        <v>175</v>
      </c>
      <c r="C3621" t="str">
        <f>HYPERLINK("http://service.sap.com/sap/support/notes/2010017","2010017")</f>
        <v>2010017</v>
      </c>
      <c r="D3621">
        <v>2</v>
      </c>
      <c r="E3621" t="s">
        <v>4264</v>
      </c>
      <c r="F3621" t="s">
        <v>28</v>
      </c>
    </row>
    <row r="3622" spans="1:6" x14ac:dyDescent="0.3">
      <c r="A3622" t="s">
        <v>794</v>
      </c>
      <c r="B3622" t="s">
        <v>175</v>
      </c>
      <c r="C3622" t="str">
        <f>HYPERLINK("http://service.sap.com/sap/support/notes/2012615","2012615")</f>
        <v>2012615</v>
      </c>
      <c r="D3622">
        <v>9</v>
      </c>
      <c r="E3622" t="s">
        <v>4265</v>
      </c>
      <c r="F3622" t="s">
        <v>28</v>
      </c>
    </row>
    <row r="3623" spans="1:6" x14ac:dyDescent="0.3">
      <c r="A3623" t="s">
        <v>794</v>
      </c>
      <c r="B3623" t="s">
        <v>175</v>
      </c>
      <c r="C3623" t="str">
        <f>HYPERLINK("http://service.sap.com/sap/support/notes/1919278","1919278")</f>
        <v>1919278</v>
      </c>
      <c r="D3623">
        <v>5</v>
      </c>
      <c r="E3623" t="s">
        <v>4584</v>
      </c>
      <c r="F3623" t="s">
        <v>28</v>
      </c>
    </row>
    <row r="3624" spans="1:6" x14ac:dyDescent="0.3">
      <c r="A3624" t="s">
        <v>794</v>
      </c>
      <c r="B3624" t="s">
        <v>175</v>
      </c>
      <c r="C3624" t="str">
        <f>HYPERLINK("http://service.sap.com/sap/support/notes/1990946","1990946")</f>
        <v>1990946</v>
      </c>
      <c r="D3624">
        <v>2</v>
      </c>
      <c r="E3624" t="s">
        <v>4585</v>
      </c>
      <c r="F3624" t="s">
        <v>28</v>
      </c>
    </row>
    <row r="3625" spans="1:6" x14ac:dyDescent="0.3">
      <c r="A3625" t="s">
        <v>794</v>
      </c>
      <c r="B3625" t="s">
        <v>175</v>
      </c>
      <c r="C3625" t="str">
        <f>HYPERLINK("http://service.sap.com/sap/support/notes/2012615","2012615")</f>
        <v>2012615</v>
      </c>
      <c r="D3625">
        <v>9</v>
      </c>
      <c r="E3625" t="s">
        <v>4265</v>
      </c>
      <c r="F3625" t="s">
        <v>28</v>
      </c>
    </row>
    <row r="3626" spans="1:6" x14ac:dyDescent="0.3">
      <c r="A3626" t="s">
        <v>794</v>
      </c>
      <c r="B3626" t="s">
        <v>175</v>
      </c>
      <c r="C3626" t="str">
        <f>HYPERLINK("http://service.sap.com/sap/support/notes/2018653","2018653")</f>
        <v>2018653</v>
      </c>
      <c r="D3626">
        <v>3</v>
      </c>
      <c r="E3626" t="s">
        <v>4586</v>
      </c>
      <c r="F3626" t="s">
        <v>9</v>
      </c>
    </row>
    <row r="3627" spans="1:6" x14ac:dyDescent="0.3">
      <c r="A3627" t="s">
        <v>794</v>
      </c>
      <c r="B3627" t="s">
        <v>175</v>
      </c>
      <c r="C3627" t="str">
        <f>HYPERLINK("http://service.sap.com/sap/support/notes/2019239","2019239")</f>
        <v>2019239</v>
      </c>
      <c r="D3627">
        <v>6</v>
      </c>
      <c r="E3627" t="s">
        <v>4587</v>
      </c>
      <c r="F3627" t="s">
        <v>28</v>
      </c>
    </row>
    <row r="3628" spans="1:6" x14ac:dyDescent="0.3">
      <c r="A3628" t="s">
        <v>794</v>
      </c>
      <c r="B3628" t="s">
        <v>175</v>
      </c>
      <c r="C3628" t="str">
        <f>HYPERLINK("http://service.sap.com/sap/support/notes/2020518","2020518")</f>
        <v>2020518</v>
      </c>
      <c r="D3628">
        <v>4</v>
      </c>
      <c r="E3628" t="s">
        <v>4588</v>
      </c>
      <c r="F3628" t="s">
        <v>28</v>
      </c>
    </row>
    <row r="3629" spans="1:6" x14ac:dyDescent="0.3">
      <c r="A3629" t="s">
        <v>794</v>
      </c>
      <c r="B3629" t="s">
        <v>175</v>
      </c>
      <c r="C3629" t="str">
        <f>HYPERLINK("http://service.sap.com/sap/support/notes/1944337","1944337")</f>
        <v>1944337</v>
      </c>
      <c r="D3629">
        <v>6</v>
      </c>
      <c r="E3629" t="s">
        <v>4930</v>
      </c>
      <c r="F3629" t="s">
        <v>9</v>
      </c>
    </row>
    <row r="3630" spans="1:6" x14ac:dyDescent="0.3">
      <c r="A3630" t="s">
        <v>794</v>
      </c>
      <c r="B3630" t="s">
        <v>175</v>
      </c>
      <c r="C3630" t="str">
        <f>HYPERLINK("http://service.sap.com/sap/support/notes/1976393","1976393")</f>
        <v>1976393</v>
      </c>
      <c r="D3630">
        <v>10</v>
      </c>
      <c r="E3630" t="s">
        <v>4931</v>
      </c>
      <c r="F3630" t="s">
        <v>9</v>
      </c>
    </row>
    <row r="3631" spans="1:6" x14ac:dyDescent="0.3">
      <c r="A3631" t="s">
        <v>794</v>
      </c>
      <c r="B3631" t="s">
        <v>175</v>
      </c>
      <c r="C3631" t="str">
        <f>HYPERLINK("http://service.sap.com/sap/support/notes/2030338","2030338")</f>
        <v>2030338</v>
      </c>
      <c r="D3631">
        <v>16</v>
      </c>
      <c r="E3631" t="s">
        <v>4932</v>
      </c>
      <c r="F3631" t="s">
        <v>28</v>
      </c>
    </row>
    <row r="3632" spans="1:6" x14ac:dyDescent="0.3">
      <c r="A3632" t="s">
        <v>794</v>
      </c>
      <c r="B3632" t="s">
        <v>175</v>
      </c>
      <c r="C3632" t="str">
        <f>HYPERLINK("http://service.sap.com/sap/support/notes/2030456","2030456")</f>
        <v>2030456</v>
      </c>
      <c r="D3632">
        <v>3</v>
      </c>
      <c r="E3632" t="s">
        <v>4933</v>
      </c>
      <c r="F3632" t="s">
        <v>9</v>
      </c>
    </row>
    <row r="3633" spans="1:6" x14ac:dyDescent="0.3">
      <c r="A3633" t="s">
        <v>794</v>
      </c>
      <c r="B3633" t="s">
        <v>175</v>
      </c>
      <c r="C3633" t="str">
        <f>HYPERLINK("http://service.sap.com/sap/support/notes/2032854","2032854")</f>
        <v>2032854</v>
      </c>
      <c r="D3633">
        <v>3</v>
      </c>
      <c r="E3633" t="s">
        <v>4934</v>
      </c>
      <c r="F3633" t="s">
        <v>28</v>
      </c>
    </row>
    <row r="3634" spans="1:6" x14ac:dyDescent="0.3">
      <c r="A3634" t="s">
        <v>794</v>
      </c>
      <c r="B3634" t="s">
        <v>175</v>
      </c>
      <c r="C3634" t="str">
        <f>HYPERLINK("http://service.sap.com/sap/support/notes/2033094","2033094")</f>
        <v>2033094</v>
      </c>
      <c r="D3634">
        <v>1</v>
      </c>
      <c r="E3634" t="s">
        <v>4935</v>
      </c>
      <c r="F3634" t="s">
        <v>9</v>
      </c>
    </row>
    <row r="3635" spans="1:6" x14ac:dyDescent="0.3">
      <c r="A3635" t="s">
        <v>794</v>
      </c>
      <c r="B3635" t="s">
        <v>175</v>
      </c>
      <c r="C3635" t="str">
        <f>HYPERLINK("http://service.sap.com/sap/support/notes/2034915","2034915")</f>
        <v>2034915</v>
      </c>
      <c r="D3635">
        <v>4</v>
      </c>
      <c r="E3635" t="s">
        <v>4936</v>
      </c>
      <c r="F3635" t="s">
        <v>28</v>
      </c>
    </row>
    <row r="3636" spans="1:6" x14ac:dyDescent="0.3">
      <c r="A3636" t="s">
        <v>794</v>
      </c>
      <c r="B3636" t="s">
        <v>175</v>
      </c>
      <c r="C3636" t="str">
        <f>HYPERLINK("http://service.sap.com/sap/support/notes/2036016","2036016")</f>
        <v>2036016</v>
      </c>
      <c r="D3636">
        <v>5</v>
      </c>
      <c r="E3636" t="s">
        <v>4937</v>
      </c>
      <c r="F3636" t="s">
        <v>28</v>
      </c>
    </row>
    <row r="3637" spans="1:6" x14ac:dyDescent="0.3">
      <c r="A3637" t="s">
        <v>794</v>
      </c>
      <c r="B3637" t="s">
        <v>175</v>
      </c>
      <c r="C3637" t="str">
        <f>HYPERLINK("http://service.sap.com/sap/support/notes/2044821","2044821")</f>
        <v>2044821</v>
      </c>
      <c r="D3637">
        <v>3</v>
      </c>
      <c r="E3637" t="s">
        <v>4938</v>
      </c>
      <c r="F3637" t="s">
        <v>28</v>
      </c>
    </row>
    <row r="3638" spans="1:6" x14ac:dyDescent="0.3">
      <c r="A3638" t="s">
        <v>794</v>
      </c>
      <c r="B3638" t="s">
        <v>175</v>
      </c>
      <c r="C3638" t="str">
        <f>HYPERLINK("http://service.sap.com/sap/support/notes/2045853","2045853")</f>
        <v>2045853</v>
      </c>
      <c r="D3638">
        <v>2</v>
      </c>
      <c r="E3638" t="s">
        <v>4939</v>
      </c>
      <c r="F3638" t="s">
        <v>28</v>
      </c>
    </row>
    <row r="3639" spans="1:6" x14ac:dyDescent="0.3">
      <c r="A3639" t="s">
        <v>794</v>
      </c>
      <c r="B3639" t="s">
        <v>175</v>
      </c>
      <c r="C3639" t="str">
        <f>HYPERLINK("http://service.sap.com/sap/support/notes/1921465","1921465")</f>
        <v>1921465</v>
      </c>
      <c r="D3639">
        <v>3</v>
      </c>
      <c r="E3639" t="s">
        <v>5273</v>
      </c>
      <c r="F3639" t="s">
        <v>28</v>
      </c>
    </row>
    <row r="3640" spans="1:6" x14ac:dyDescent="0.3">
      <c r="A3640" t="s">
        <v>794</v>
      </c>
      <c r="B3640" t="s">
        <v>175</v>
      </c>
      <c r="C3640" t="str">
        <f>HYPERLINK("http://service.sap.com/sap/support/notes/2006686","2006686")</f>
        <v>2006686</v>
      </c>
      <c r="D3640">
        <v>13</v>
      </c>
      <c r="E3640" t="s">
        <v>5274</v>
      </c>
      <c r="F3640" t="s">
        <v>28</v>
      </c>
    </row>
    <row r="3641" spans="1:6" x14ac:dyDescent="0.3">
      <c r="A3641" t="s">
        <v>794</v>
      </c>
      <c r="B3641" t="s">
        <v>175</v>
      </c>
      <c r="C3641" t="str">
        <f>HYPERLINK("http://service.sap.com/sap/support/notes/2034888","2034888")</f>
        <v>2034888</v>
      </c>
      <c r="D3641">
        <v>3</v>
      </c>
      <c r="E3641" t="s">
        <v>5275</v>
      </c>
      <c r="F3641" t="s">
        <v>9</v>
      </c>
    </row>
    <row r="3642" spans="1:6" x14ac:dyDescent="0.3">
      <c r="A3642" t="s">
        <v>794</v>
      </c>
      <c r="B3642" t="s">
        <v>175</v>
      </c>
      <c r="C3642" t="str">
        <f>HYPERLINK("http://service.sap.com/sap/support/notes/2035488","2035488")</f>
        <v>2035488</v>
      </c>
      <c r="D3642">
        <v>2</v>
      </c>
      <c r="E3642" t="s">
        <v>5276</v>
      </c>
      <c r="F3642" t="s">
        <v>9</v>
      </c>
    </row>
    <row r="3643" spans="1:6" x14ac:dyDescent="0.3">
      <c r="A3643" t="s">
        <v>794</v>
      </c>
      <c r="B3643" t="s">
        <v>175</v>
      </c>
      <c r="C3643" t="str">
        <f>HYPERLINK("http://service.sap.com/sap/support/notes/2035925","2035925")</f>
        <v>2035925</v>
      </c>
      <c r="D3643">
        <v>4</v>
      </c>
      <c r="E3643" t="s">
        <v>5277</v>
      </c>
      <c r="F3643" t="s">
        <v>9</v>
      </c>
    </row>
    <row r="3644" spans="1:6" x14ac:dyDescent="0.3">
      <c r="A3644" t="s">
        <v>794</v>
      </c>
      <c r="B3644" t="s">
        <v>175</v>
      </c>
      <c r="C3644" t="str">
        <f>HYPERLINK("http://service.sap.com/sap/support/notes/2036006","2036006")</f>
        <v>2036006</v>
      </c>
      <c r="D3644">
        <v>4</v>
      </c>
      <c r="E3644" t="s">
        <v>5278</v>
      </c>
      <c r="F3644" t="s">
        <v>9</v>
      </c>
    </row>
    <row r="3645" spans="1:6" x14ac:dyDescent="0.3">
      <c r="A3645" t="s">
        <v>794</v>
      </c>
      <c r="B3645" t="s">
        <v>175</v>
      </c>
      <c r="C3645" t="str">
        <f>HYPERLINK("http://service.sap.com/sap/support/notes/2040986","2040986")</f>
        <v>2040986</v>
      </c>
      <c r="D3645">
        <v>4</v>
      </c>
      <c r="E3645" t="s">
        <v>5279</v>
      </c>
      <c r="F3645" t="s">
        <v>28</v>
      </c>
    </row>
    <row r="3646" spans="1:6" x14ac:dyDescent="0.3">
      <c r="A3646" t="s">
        <v>794</v>
      </c>
      <c r="B3646" t="s">
        <v>175</v>
      </c>
      <c r="C3646" t="str">
        <f>HYPERLINK("http://service.sap.com/sap/support/notes/2044154","2044154")</f>
        <v>2044154</v>
      </c>
      <c r="D3646">
        <v>3</v>
      </c>
      <c r="E3646" t="s">
        <v>5280</v>
      </c>
      <c r="F3646" t="s">
        <v>28</v>
      </c>
    </row>
    <row r="3647" spans="1:6" x14ac:dyDescent="0.3">
      <c r="A3647" t="s">
        <v>794</v>
      </c>
      <c r="B3647" t="s">
        <v>175</v>
      </c>
      <c r="C3647" t="str">
        <f>HYPERLINK("http://service.sap.com/sap/support/notes/2048697","2048697")</f>
        <v>2048697</v>
      </c>
      <c r="D3647">
        <v>3</v>
      </c>
      <c r="E3647" t="s">
        <v>5281</v>
      </c>
      <c r="F3647" t="s">
        <v>9</v>
      </c>
    </row>
    <row r="3648" spans="1:6" x14ac:dyDescent="0.3">
      <c r="A3648" t="s">
        <v>794</v>
      </c>
      <c r="B3648" t="s">
        <v>175</v>
      </c>
      <c r="C3648" t="str">
        <f>HYPERLINK("http://service.sap.com/sap/support/notes/2051902","2051902")</f>
        <v>2051902</v>
      </c>
      <c r="D3648">
        <v>6</v>
      </c>
      <c r="E3648" t="s">
        <v>5282</v>
      </c>
      <c r="F3648" t="s">
        <v>28</v>
      </c>
    </row>
    <row r="3649" spans="1:6" x14ac:dyDescent="0.3">
      <c r="A3649" t="s">
        <v>794</v>
      </c>
      <c r="B3649" t="s">
        <v>175</v>
      </c>
      <c r="C3649" t="str">
        <f>HYPERLINK("http://service.sap.com/sap/support/notes/2034316","2034316")</f>
        <v>2034316</v>
      </c>
      <c r="D3649">
        <v>4</v>
      </c>
      <c r="E3649" t="s">
        <v>5611</v>
      </c>
      <c r="F3649" t="s">
        <v>9</v>
      </c>
    </row>
    <row r="3650" spans="1:6" x14ac:dyDescent="0.3">
      <c r="A3650" t="s">
        <v>794</v>
      </c>
      <c r="B3650" t="s">
        <v>175</v>
      </c>
      <c r="C3650" t="str">
        <f>HYPERLINK("http://service.sap.com/sap/support/notes/2035978","2035978")</f>
        <v>2035978</v>
      </c>
      <c r="D3650">
        <v>5</v>
      </c>
      <c r="E3650" t="s">
        <v>5612</v>
      </c>
      <c r="F3650" t="s">
        <v>28</v>
      </c>
    </row>
    <row r="3651" spans="1:6" x14ac:dyDescent="0.3">
      <c r="A3651" t="s">
        <v>794</v>
      </c>
      <c r="B3651" t="s">
        <v>175</v>
      </c>
      <c r="C3651" t="str">
        <f>HYPERLINK("http://service.sap.com/sap/support/notes/2039774","2039774")</f>
        <v>2039774</v>
      </c>
      <c r="D3651">
        <v>2</v>
      </c>
      <c r="E3651" t="s">
        <v>5613</v>
      </c>
      <c r="F3651" t="s">
        <v>28</v>
      </c>
    </row>
    <row r="3652" spans="1:6" x14ac:dyDescent="0.3">
      <c r="A3652" t="s">
        <v>794</v>
      </c>
      <c r="B3652" t="s">
        <v>175</v>
      </c>
      <c r="C3652" t="str">
        <f>HYPERLINK("http://service.sap.com/sap/support/notes/2049294","2049294")</f>
        <v>2049294</v>
      </c>
      <c r="D3652">
        <v>3</v>
      </c>
      <c r="E3652" t="s">
        <v>5614</v>
      </c>
      <c r="F3652" t="s">
        <v>28</v>
      </c>
    </row>
    <row r="3653" spans="1:6" x14ac:dyDescent="0.3">
      <c r="A3653" t="s">
        <v>794</v>
      </c>
      <c r="B3653" t="s">
        <v>175</v>
      </c>
      <c r="C3653" t="str">
        <f>HYPERLINK("http://service.sap.com/sap/support/notes/2050282","2050282")</f>
        <v>2050282</v>
      </c>
      <c r="D3653">
        <v>3</v>
      </c>
      <c r="E3653" t="s">
        <v>5615</v>
      </c>
      <c r="F3653" t="s">
        <v>28</v>
      </c>
    </row>
    <row r="3654" spans="1:6" x14ac:dyDescent="0.3">
      <c r="A3654" t="s">
        <v>794</v>
      </c>
      <c r="B3654" t="s">
        <v>175</v>
      </c>
      <c r="C3654" t="str">
        <f>HYPERLINK("http://service.sap.com/sap/support/notes/2054212","2054212")</f>
        <v>2054212</v>
      </c>
      <c r="D3654">
        <v>5</v>
      </c>
      <c r="E3654" t="s">
        <v>5616</v>
      </c>
      <c r="F3654" t="s">
        <v>28</v>
      </c>
    </row>
    <row r="3655" spans="1:6" x14ac:dyDescent="0.3">
      <c r="A3655" t="s">
        <v>794</v>
      </c>
      <c r="B3655" t="s">
        <v>175</v>
      </c>
      <c r="C3655" t="str">
        <f>HYPERLINK("http://service.sap.com/sap/support/notes/2066494","2066494")</f>
        <v>2066494</v>
      </c>
      <c r="D3655">
        <v>2</v>
      </c>
      <c r="E3655" t="s">
        <v>5617</v>
      </c>
      <c r="F3655" t="s">
        <v>28</v>
      </c>
    </row>
    <row r="3656" spans="1:6" x14ac:dyDescent="0.3">
      <c r="A3656" t="s">
        <v>5283</v>
      </c>
      <c r="B3656" t="s">
        <v>471</v>
      </c>
      <c r="C3656" t="str">
        <f>HYPERLINK("http://service.sap.com/sap/support/notes/1854721","1854721")</f>
        <v>1854721</v>
      </c>
      <c r="D3656">
        <v>2</v>
      </c>
      <c r="E3656" t="s">
        <v>5284</v>
      </c>
      <c r="F3656" t="s">
        <v>28</v>
      </c>
    </row>
    <row r="3657" spans="1:6" x14ac:dyDescent="0.3">
      <c r="A3657" t="s">
        <v>802</v>
      </c>
      <c r="B3657" t="s">
        <v>178</v>
      </c>
      <c r="C3657" t="str">
        <f>HYPERLINK("http://service.sap.com/sap/support/notes/1884448","1884448")</f>
        <v>1884448</v>
      </c>
      <c r="D3657">
        <v>1</v>
      </c>
      <c r="E3657" t="s">
        <v>803</v>
      </c>
      <c r="F3657" t="s">
        <v>28</v>
      </c>
    </row>
    <row r="3658" spans="1:6" x14ac:dyDescent="0.3">
      <c r="A3658" t="s">
        <v>802</v>
      </c>
      <c r="B3658" t="s">
        <v>178</v>
      </c>
      <c r="C3658" t="str">
        <f>HYPERLINK("http://service.sap.com/sap/support/notes/1911413","1911413")</f>
        <v>1911413</v>
      </c>
      <c r="D3658">
        <v>5</v>
      </c>
      <c r="E3658" t="s">
        <v>804</v>
      </c>
      <c r="F3658" t="s">
        <v>9</v>
      </c>
    </row>
    <row r="3659" spans="1:6" x14ac:dyDescent="0.3">
      <c r="A3659" t="s">
        <v>802</v>
      </c>
      <c r="B3659" t="s">
        <v>178</v>
      </c>
      <c r="C3659" t="str">
        <f>HYPERLINK("http://service.sap.com/sap/support/notes/1919007","1919007")</f>
        <v>1919007</v>
      </c>
      <c r="D3659">
        <v>2</v>
      </c>
      <c r="E3659" t="s">
        <v>805</v>
      </c>
      <c r="F3659" t="s">
        <v>9</v>
      </c>
    </row>
    <row r="3660" spans="1:6" x14ac:dyDescent="0.3">
      <c r="A3660" t="s">
        <v>802</v>
      </c>
      <c r="B3660" t="s">
        <v>178</v>
      </c>
      <c r="C3660" t="str">
        <f>HYPERLINK("http://service.sap.com/sap/support/notes/1922632","1922632")</f>
        <v>1922632</v>
      </c>
      <c r="D3660">
        <v>1</v>
      </c>
      <c r="E3660" t="s">
        <v>806</v>
      </c>
      <c r="F3660" t="s">
        <v>28</v>
      </c>
    </row>
    <row r="3661" spans="1:6" x14ac:dyDescent="0.3">
      <c r="A3661" t="s">
        <v>802</v>
      </c>
      <c r="B3661" t="s">
        <v>178</v>
      </c>
      <c r="C3661" t="str">
        <f>HYPERLINK("http://service.sap.com/sap/support/notes/1922975","1922975")</f>
        <v>1922975</v>
      </c>
      <c r="D3661">
        <v>3</v>
      </c>
      <c r="E3661" t="s">
        <v>807</v>
      </c>
      <c r="F3661" t="s">
        <v>9</v>
      </c>
    </row>
    <row r="3662" spans="1:6" x14ac:dyDescent="0.3">
      <c r="A3662" t="s">
        <v>802</v>
      </c>
      <c r="B3662" t="s">
        <v>178</v>
      </c>
      <c r="C3662" t="str">
        <f>HYPERLINK("http://service.sap.com/sap/support/notes/1927231","1927231")</f>
        <v>1927231</v>
      </c>
      <c r="D3662">
        <v>1</v>
      </c>
      <c r="E3662" t="s">
        <v>808</v>
      </c>
      <c r="F3662" t="s">
        <v>9</v>
      </c>
    </row>
    <row r="3663" spans="1:6" x14ac:dyDescent="0.3">
      <c r="A3663" t="s">
        <v>802</v>
      </c>
      <c r="B3663" t="s">
        <v>178</v>
      </c>
      <c r="C3663" t="str">
        <f>HYPERLINK("http://service.sap.com/sap/support/notes/1927906","1927906")</f>
        <v>1927906</v>
      </c>
      <c r="D3663">
        <v>1</v>
      </c>
      <c r="E3663" t="s">
        <v>809</v>
      </c>
      <c r="F3663" t="s">
        <v>9</v>
      </c>
    </row>
    <row r="3664" spans="1:6" x14ac:dyDescent="0.3">
      <c r="A3664" t="s">
        <v>802</v>
      </c>
      <c r="B3664" t="s">
        <v>178</v>
      </c>
      <c r="C3664" t="str">
        <f>HYPERLINK("http://service.sap.com/sap/support/notes/1930028","1930028")</f>
        <v>1930028</v>
      </c>
      <c r="D3664">
        <v>1</v>
      </c>
      <c r="E3664" t="s">
        <v>1323</v>
      </c>
      <c r="F3664" t="s">
        <v>9</v>
      </c>
    </row>
    <row r="3665" spans="1:6" x14ac:dyDescent="0.3">
      <c r="A3665" t="s">
        <v>802</v>
      </c>
      <c r="B3665" t="s">
        <v>178</v>
      </c>
      <c r="C3665" t="str">
        <f>HYPERLINK("http://service.sap.com/sap/support/notes/1937521","1937521")</f>
        <v>1937521</v>
      </c>
      <c r="D3665">
        <v>2</v>
      </c>
      <c r="E3665" t="s">
        <v>1324</v>
      </c>
      <c r="F3665" t="s">
        <v>9</v>
      </c>
    </row>
    <row r="3666" spans="1:6" x14ac:dyDescent="0.3">
      <c r="A3666" t="s">
        <v>802</v>
      </c>
      <c r="B3666" t="s">
        <v>178</v>
      </c>
      <c r="C3666" t="str">
        <f>HYPERLINK("http://service.sap.com/sap/support/notes/1913897","1913897")</f>
        <v>1913897</v>
      </c>
      <c r="D3666">
        <v>1</v>
      </c>
      <c r="E3666" t="s">
        <v>1851</v>
      </c>
      <c r="F3666" t="s">
        <v>9</v>
      </c>
    </row>
    <row r="3667" spans="1:6" x14ac:dyDescent="0.3">
      <c r="A3667" t="s">
        <v>802</v>
      </c>
      <c r="B3667" t="s">
        <v>178</v>
      </c>
      <c r="C3667" t="str">
        <f>HYPERLINK("http://service.sap.com/sap/support/notes/1930051","1930051")</f>
        <v>1930051</v>
      </c>
      <c r="D3667">
        <v>1</v>
      </c>
      <c r="E3667" t="s">
        <v>1852</v>
      </c>
      <c r="F3667" t="s">
        <v>9</v>
      </c>
    </row>
    <row r="3668" spans="1:6" x14ac:dyDescent="0.3">
      <c r="A3668" t="s">
        <v>802</v>
      </c>
      <c r="B3668" t="s">
        <v>178</v>
      </c>
      <c r="C3668" t="str">
        <f>HYPERLINK("http://service.sap.com/sap/support/notes/1947264","1947264")</f>
        <v>1947264</v>
      </c>
      <c r="D3668">
        <v>1</v>
      </c>
      <c r="E3668" t="s">
        <v>1853</v>
      </c>
      <c r="F3668" t="s">
        <v>9</v>
      </c>
    </row>
    <row r="3669" spans="1:6" x14ac:dyDescent="0.3">
      <c r="A3669" t="s">
        <v>802</v>
      </c>
      <c r="B3669" t="s">
        <v>178</v>
      </c>
      <c r="C3669" t="str">
        <f>HYPERLINK("http://service.sap.com/sap/support/notes/1957097","1957097")</f>
        <v>1957097</v>
      </c>
      <c r="D3669">
        <v>1</v>
      </c>
      <c r="E3669" t="s">
        <v>1854</v>
      </c>
      <c r="F3669" t="s">
        <v>9</v>
      </c>
    </row>
    <row r="3670" spans="1:6" x14ac:dyDescent="0.3">
      <c r="A3670" t="s">
        <v>802</v>
      </c>
      <c r="B3670" t="s">
        <v>178</v>
      </c>
      <c r="C3670" t="str">
        <f>HYPERLINK("http://service.sap.com/sap/support/notes/1961531","1961531")</f>
        <v>1961531</v>
      </c>
      <c r="D3670">
        <v>2</v>
      </c>
      <c r="E3670" t="s">
        <v>3118</v>
      </c>
      <c r="F3670" t="s">
        <v>9</v>
      </c>
    </row>
    <row r="3671" spans="1:6" x14ac:dyDescent="0.3">
      <c r="A3671" t="s">
        <v>802</v>
      </c>
      <c r="B3671" t="s">
        <v>178</v>
      </c>
      <c r="C3671" t="str">
        <f>HYPERLINK("http://service.sap.com/sap/support/notes/1982711","1982711")</f>
        <v>1982711</v>
      </c>
      <c r="D3671">
        <v>3</v>
      </c>
      <c r="E3671" t="s">
        <v>3119</v>
      </c>
      <c r="F3671" t="s">
        <v>9</v>
      </c>
    </row>
    <row r="3672" spans="1:6" x14ac:dyDescent="0.3">
      <c r="A3672" t="s">
        <v>802</v>
      </c>
      <c r="B3672" t="s">
        <v>178</v>
      </c>
      <c r="C3672" t="str">
        <f>HYPERLINK("http://service.sap.com/sap/support/notes/1986303","1986303")</f>
        <v>1986303</v>
      </c>
      <c r="D3672">
        <v>1</v>
      </c>
      <c r="E3672" t="s">
        <v>3120</v>
      </c>
      <c r="F3672" t="s">
        <v>9</v>
      </c>
    </row>
    <row r="3673" spans="1:6" x14ac:dyDescent="0.3">
      <c r="A3673" t="s">
        <v>802</v>
      </c>
      <c r="B3673" t="s">
        <v>178</v>
      </c>
      <c r="C3673" t="str">
        <f>HYPERLINK("http://service.sap.com/sap/support/notes/1969498","1969498")</f>
        <v>1969498</v>
      </c>
      <c r="D3673">
        <v>1</v>
      </c>
      <c r="E3673" t="s">
        <v>3775</v>
      </c>
      <c r="F3673" t="s">
        <v>9</v>
      </c>
    </row>
    <row r="3674" spans="1:6" x14ac:dyDescent="0.3">
      <c r="A3674" t="s">
        <v>802</v>
      </c>
      <c r="B3674" t="s">
        <v>178</v>
      </c>
      <c r="C3674" t="str">
        <f>HYPERLINK("http://service.sap.com/sap/support/notes/1921385","1921385")</f>
        <v>1921385</v>
      </c>
      <c r="D3674">
        <v>1</v>
      </c>
      <c r="E3674" t="s">
        <v>4266</v>
      </c>
      <c r="F3674" t="s">
        <v>9</v>
      </c>
    </row>
    <row r="3675" spans="1:6" x14ac:dyDescent="0.3">
      <c r="A3675" t="s">
        <v>802</v>
      </c>
      <c r="B3675" t="s">
        <v>178</v>
      </c>
      <c r="C3675" t="str">
        <f>HYPERLINK("http://service.sap.com/sap/support/notes/1947203","1947203")</f>
        <v>1947203</v>
      </c>
      <c r="D3675">
        <v>2</v>
      </c>
      <c r="E3675" t="s">
        <v>4267</v>
      </c>
      <c r="F3675" t="s">
        <v>9</v>
      </c>
    </row>
    <row r="3676" spans="1:6" x14ac:dyDescent="0.3">
      <c r="A3676" t="s">
        <v>802</v>
      </c>
      <c r="B3676" t="s">
        <v>178</v>
      </c>
      <c r="C3676" t="str">
        <f>HYPERLINK("http://service.sap.com/sap/support/notes/2005618","2005618")</f>
        <v>2005618</v>
      </c>
      <c r="D3676">
        <v>1</v>
      </c>
      <c r="E3676" t="s">
        <v>4268</v>
      </c>
      <c r="F3676" t="s">
        <v>9</v>
      </c>
    </row>
    <row r="3677" spans="1:6" x14ac:dyDescent="0.3">
      <c r="A3677" t="s">
        <v>802</v>
      </c>
      <c r="B3677" t="s">
        <v>178</v>
      </c>
      <c r="C3677" t="str">
        <f>HYPERLINK("http://service.sap.com/sap/support/notes/1818842","1818842")</f>
        <v>1818842</v>
      </c>
      <c r="D3677">
        <v>2</v>
      </c>
      <c r="E3677" t="s">
        <v>4589</v>
      </c>
      <c r="F3677" t="s">
        <v>9</v>
      </c>
    </row>
    <row r="3678" spans="1:6" x14ac:dyDescent="0.3">
      <c r="A3678" t="s">
        <v>802</v>
      </c>
      <c r="B3678" t="s">
        <v>178</v>
      </c>
      <c r="C3678" t="str">
        <f>HYPERLINK("http://service.sap.com/sap/support/notes/1908078","1908078")</f>
        <v>1908078</v>
      </c>
      <c r="D3678">
        <v>2</v>
      </c>
      <c r="E3678" t="s">
        <v>4590</v>
      </c>
      <c r="F3678" t="s">
        <v>9</v>
      </c>
    </row>
    <row r="3679" spans="1:6" x14ac:dyDescent="0.3">
      <c r="A3679" t="s">
        <v>802</v>
      </c>
      <c r="B3679" t="s">
        <v>178</v>
      </c>
      <c r="C3679" t="str">
        <f>HYPERLINK("http://service.sap.com/sap/support/notes/2025600","2025600")</f>
        <v>2025600</v>
      </c>
      <c r="D3679">
        <v>2</v>
      </c>
      <c r="E3679" t="s">
        <v>4591</v>
      </c>
      <c r="F3679" t="s">
        <v>9</v>
      </c>
    </row>
    <row r="3680" spans="1:6" x14ac:dyDescent="0.3">
      <c r="A3680" t="s">
        <v>802</v>
      </c>
      <c r="B3680" t="s">
        <v>178</v>
      </c>
      <c r="C3680" t="str">
        <f>HYPERLINK("http://service.sap.com/sap/support/notes/2028369","2028369")</f>
        <v>2028369</v>
      </c>
      <c r="D3680">
        <v>1</v>
      </c>
      <c r="E3680" t="s">
        <v>4592</v>
      </c>
      <c r="F3680" t="s">
        <v>28</v>
      </c>
    </row>
    <row r="3681" spans="1:6" x14ac:dyDescent="0.3">
      <c r="A3681" t="s">
        <v>802</v>
      </c>
      <c r="B3681" t="s">
        <v>178</v>
      </c>
      <c r="C3681" t="str">
        <f>HYPERLINK("http://service.sap.com/sap/support/notes/2028545","2028545")</f>
        <v>2028545</v>
      </c>
      <c r="D3681">
        <v>3</v>
      </c>
      <c r="E3681" t="s">
        <v>4593</v>
      </c>
      <c r="F3681" t="s">
        <v>9</v>
      </c>
    </row>
    <row r="3682" spans="1:6" x14ac:dyDescent="0.3">
      <c r="A3682" t="s">
        <v>802</v>
      </c>
      <c r="B3682" t="s">
        <v>178</v>
      </c>
      <c r="C3682" t="str">
        <f>HYPERLINK("http://service.sap.com/sap/support/notes/2031336","2031336")</f>
        <v>2031336</v>
      </c>
      <c r="D3682">
        <v>1</v>
      </c>
      <c r="E3682" t="s">
        <v>4594</v>
      </c>
      <c r="F3682" t="s">
        <v>9</v>
      </c>
    </row>
    <row r="3683" spans="1:6" x14ac:dyDescent="0.3">
      <c r="A3683" t="s">
        <v>802</v>
      </c>
      <c r="B3683" t="s">
        <v>178</v>
      </c>
      <c r="C3683" t="str">
        <f>HYPERLINK("http://service.sap.com/sap/support/notes/2027814","2027814")</f>
        <v>2027814</v>
      </c>
      <c r="D3683">
        <v>1</v>
      </c>
      <c r="E3683" t="s">
        <v>4940</v>
      </c>
      <c r="F3683" t="s">
        <v>9</v>
      </c>
    </row>
    <row r="3684" spans="1:6" x14ac:dyDescent="0.3">
      <c r="A3684" t="s">
        <v>1855</v>
      </c>
      <c r="B3684" t="s">
        <v>589</v>
      </c>
      <c r="C3684" t="str">
        <f>HYPERLINK("http://service.sap.com/sap/support/notes/1947158","1947158")</f>
        <v>1947158</v>
      </c>
      <c r="D3684">
        <v>2</v>
      </c>
      <c r="E3684" t="s">
        <v>1856</v>
      </c>
      <c r="F3684" t="s">
        <v>9</v>
      </c>
    </row>
    <row r="3685" spans="1:6" x14ac:dyDescent="0.3">
      <c r="A3685" t="s">
        <v>1855</v>
      </c>
      <c r="B3685" t="s">
        <v>589</v>
      </c>
      <c r="C3685" t="str">
        <f>HYPERLINK("http://service.sap.com/sap/support/notes/1951354","1951354")</f>
        <v>1951354</v>
      </c>
      <c r="D3685">
        <v>2</v>
      </c>
      <c r="E3685" t="s">
        <v>1857</v>
      </c>
      <c r="F3685" t="s">
        <v>9</v>
      </c>
    </row>
    <row r="3686" spans="1:6" x14ac:dyDescent="0.3">
      <c r="A3686" t="s">
        <v>1855</v>
      </c>
      <c r="B3686" t="s">
        <v>589</v>
      </c>
      <c r="C3686" t="str">
        <f>HYPERLINK("http://service.sap.com/sap/support/notes/2055337","2055337")</f>
        <v>2055337</v>
      </c>
      <c r="D3686">
        <v>1</v>
      </c>
      <c r="E3686" t="s">
        <v>5618</v>
      </c>
      <c r="F3686" t="s">
        <v>9</v>
      </c>
    </row>
    <row r="3687" spans="1:6" x14ac:dyDescent="0.3">
      <c r="A3687" t="s">
        <v>1855</v>
      </c>
      <c r="B3687" t="s">
        <v>589</v>
      </c>
      <c r="C3687" t="str">
        <f>HYPERLINK("http://service.sap.com/sap/support/notes/2055765","2055765")</f>
        <v>2055765</v>
      </c>
      <c r="D3687">
        <v>2</v>
      </c>
      <c r="E3687" t="s">
        <v>5619</v>
      </c>
      <c r="F3687" t="s">
        <v>9</v>
      </c>
    </row>
    <row r="3688" spans="1:6" x14ac:dyDescent="0.3">
      <c r="A3688" t="s">
        <v>2655</v>
      </c>
      <c r="B3688" t="s">
        <v>2656</v>
      </c>
      <c r="C3688" t="str">
        <f>HYPERLINK("http://service.sap.com/sap/support/notes/1975924","1975924")</f>
        <v>1975924</v>
      </c>
      <c r="D3688">
        <v>1</v>
      </c>
      <c r="E3688" t="s">
        <v>2657</v>
      </c>
      <c r="F3688" t="s">
        <v>9</v>
      </c>
    </row>
    <row r="3689" spans="1:6" x14ac:dyDescent="0.3">
      <c r="A3689" t="s">
        <v>2655</v>
      </c>
      <c r="B3689" t="s">
        <v>2656</v>
      </c>
      <c r="C3689" t="str">
        <f>HYPERLINK("http://service.sap.com/sap/support/notes/1989864","1989864")</f>
        <v>1989864</v>
      </c>
      <c r="D3689">
        <v>2</v>
      </c>
      <c r="E3689" t="s">
        <v>4269</v>
      </c>
      <c r="F3689" t="s">
        <v>9</v>
      </c>
    </row>
    <row r="3690" spans="1:6" x14ac:dyDescent="0.3">
      <c r="A3690" t="s">
        <v>4595</v>
      </c>
      <c r="B3690" t="s">
        <v>4596</v>
      </c>
      <c r="C3690" t="str">
        <f>HYPERLINK("http://service.sap.com/sap/support/notes/2018902","2018902")</f>
        <v>2018902</v>
      </c>
      <c r="D3690">
        <v>2</v>
      </c>
      <c r="E3690" t="s">
        <v>4597</v>
      </c>
      <c r="F3690" t="s">
        <v>9</v>
      </c>
    </row>
    <row r="3691" spans="1:6" x14ac:dyDescent="0.3">
      <c r="A3691" t="s">
        <v>810</v>
      </c>
      <c r="B3691" t="s">
        <v>525</v>
      </c>
      <c r="C3691" t="str">
        <f>HYPERLINK("http://service.sap.com/sap/support/notes/1916994","1916994")</f>
        <v>1916994</v>
      </c>
      <c r="D3691">
        <v>2</v>
      </c>
      <c r="E3691" t="s">
        <v>811</v>
      </c>
      <c r="F3691" t="s">
        <v>9</v>
      </c>
    </row>
    <row r="3692" spans="1:6" x14ac:dyDescent="0.3">
      <c r="A3692" t="s">
        <v>810</v>
      </c>
      <c r="B3692" t="s">
        <v>525</v>
      </c>
      <c r="C3692" t="str">
        <f>HYPERLINK("http://service.sap.com/sap/support/notes/1938858","1938858")</f>
        <v>1938858</v>
      </c>
      <c r="D3692">
        <v>4</v>
      </c>
      <c r="E3692" t="s">
        <v>1858</v>
      </c>
      <c r="F3692" t="s">
        <v>9</v>
      </c>
    </row>
    <row r="3693" spans="1:6" x14ac:dyDescent="0.3">
      <c r="A3693" t="s">
        <v>810</v>
      </c>
      <c r="B3693" t="s">
        <v>525</v>
      </c>
      <c r="C3693" t="str">
        <f>HYPERLINK("http://service.sap.com/sap/support/notes/1970620","1970620")</f>
        <v>1970620</v>
      </c>
      <c r="D3693">
        <v>3</v>
      </c>
      <c r="E3693" t="s">
        <v>3121</v>
      </c>
      <c r="F3693" t="s">
        <v>9</v>
      </c>
    </row>
    <row r="3694" spans="1:6" x14ac:dyDescent="0.3">
      <c r="A3694" t="s">
        <v>810</v>
      </c>
      <c r="B3694" t="s">
        <v>525</v>
      </c>
      <c r="C3694" t="str">
        <f>HYPERLINK("http://service.sap.com/sap/support/notes/1990487","1990487")</f>
        <v>1990487</v>
      </c>
      <c r="D3694">
        <v>6</v>
      </c>
      <c r="E3694" t="s">
        <v>3776</v>
      </c>
      <c r="F3694" t="s">
        <v>28</v>
      </c>
    </row>
    <row r="3695" spans="1:6" x14ac:dyDescent="0.3">
      <c r="A3695" t="s">
        <v>810</v>
      </c>
      <c r="B3695" t="s">
        <v>525</v>
      </c>
      <c r="C3695" t="str">
        <f>HYPERLINK("http://service.sap.com/sap/support/notes/1954450","1954450")</f>
        <v>1954450</v>
      </c>
      <c r="D3695">
        <v>2</v>
      </c>
      <c r="E3695" t="s">
        <v>4270</v>
      </c>
      <c r="F3695" t="s">
        <v>9</v>
      </c>
    </row>
    <row r="3696" spans="1:6" x14ac:dyDescent="0.3">
      <c r="A3696" t="s">
        <v>810</v>
      </c>
      <c r="B3696" t="s">
        <v>525</v>
      </c>
      <c r="C3696" t="str">
        <f>HYPERLINK("http://service.sap.com/sap/support/notes/1963625","1963625")</f>
        <v>1963625</v>
      </c>
      <c r="D3696">
        <v>4</v>
      </c>
      <c r="E3696" t="s">
        <v>4271</v>
      </c>
      <c r="F3696" t="s">
        <v>9</v>
      </c>
    </row>
    <row r="3697" spans="1:6" x14ac:dyDescent="0.3">
      <c r="A3697" t="s">
        <v>810</v>
      </c>
      <c r="B3697" t="s">
        <v>525</v>
      </c>
      <c r="C3697" t="str">
        <f>HYPERLINK("http://service.sap.com/sap/support/notes/1981508","1981508")</f>
        <v>1981508</v>
      </c>
      <c r="D3697">
        <v>3</v>
      </c>
      <c r="E3697" t="s">
        <v>4272</v>
      </c>
      <c r="F3697" t="s">
        <v>9</v>
      </c>
    </row>
    <row r="3698" spans="1:6" x14ac:dyDescent="0.3">
      <c r="A3698" t="s">
        <v>810</v>
      </c>
      <c r="B3698" t="s">
        <v>525</v>
      </c>
      <c r="C3698" t="str">
        <f>HYPERLINK("http://service.sap.com/sap/support/notes/2006321","2006321")</f>
        <v>2006321</v>
      </c>
      <c r="D3698">
        <v>1</v>
      </c>
      <c r="E3698" t="s">
        <v>4273</v>
      </c>
      <c r="F3698" t="s">
        <v>9</v>
      </c>
    </row>
    <row r="3699" spans="1:6" x14ac:dyDescent="0.3">
      <c r="A3699" t="s">
        <v>810</v>
      </c>
      <c r="B3699" t="s">
        <v>525</v>
      </c>
      <c r="C3699" t="str">
        <f>HYPERLINK("http://service.sap.com/sap/support/notes/1966847","1966847")</f>
        <v>1966847</v>
      </c>
      <c r="D3699">
        <v>2</v>
      </c>
      <c r="E3699" t="s">
        <v>4941</v>
      </c>
      <c r="F3699" t="s">
        <v>9</v>
      </c>
    </row>
    <row r="3700" spans="1:6" x14ac:dyDescent="0.3">
      <c r="A3700" t="s">
        <v>810</v>
      </c>
      <c r="B3700" t="s">
        <v>525</v>
      </c>
      <c r="C3700" t="str">
        <f>HYPERLINK("http://service.sap.com/sap/support/notes/1977213","1977213")</f>
        <v>1977213</v>
      </c>
      <c r="D3700">
        <v>2</v>
      </c>
      <c r="E3700" t="s">
        <v>4942</v>
      </c>
      <c r="F3700" t="s">
        <v>9</v>
      </c>
    </row>
    <row r="3701" spans="1:6" x14ac:dyDescent="0.3">
      <c r="A3701" t="s">
        <v>810</v>
      </c>
      <c r="B3701" t="s">
        <v>525</v>
      </c>
      <c r="C3701" t="str">
        <f>HYPERLINK("http://service.sap.com/sap/support/notes/1984514","1984514")</f>
        <v>1984514</v>
      </c>
      <c r="D3701">
        <v>2</v>
      </c>
      <c r="E3701" t="s">
        <v>4943</v>
      </c>
      <c r="F3701" t="s">
        <v>9</v>
      </c>
    </row>
    <row r="3702" spans="1:6" x14ac:dyDescent="0.3">
      <c r="A3702" t="s">
        <v>810</v>
      </c>
      <c r="B3702" t="s">
        <v>525</v>
      </c>
      <c r="C3702" t="str">
        <f>HYPERLINK("http://service.sap.com/sap/support/notes/2037744","2037744")</f>
        <v>2037744</v>
      </c>
      <c r="D3702">
        <v>2</v>
      </c>
      <c r="E3702" t="s">
        <v>4944</v>
      </c>
      <c r="F3702" t="s">
        <v>9</v>
      </c>
    </row>
    <row r="3703" spans="1:6" x14ac:dyDescent="0.3">
      <c r="A3703" t="s">
        <v>810</v>
      </c>
      <c r="B3703" t="s">
        <v>525</v>
      </c>
      <c r="C3703" t="str">
        <f>HYPERLINK("http://service.sap.com/sap/support/notes/2039032","2039032")</f>
        <v>2039032</v>
      </c>
      <c r="D3703">
        <v>1</v>
      </c>
      <c r="E3703" t="s">
        <v>4945</v>
      </c>
      <c r="F3703" t="s">
        <v>9</v>
      </c>
    </row>
    <row r="3704" spans="1:6" x14ac:dyDescent="0.3">
      <c r="A3704" t="s">
        <v>810</v>
      </c>
      <c r="B3704" t="s">
        <v>525</v>
      </c>
      <c r="C3704" t="str">
        <f>HYPERLINK("http://service.sap.com/sap/support/notes/2042106","2042106")</f>
        <v>2042106</v>
      </c>
      <c r="D3704">
        <v>2</v>
      </c>
      <c r="E3704" t="s">
        <v>4946</v>
      </c>
      <c r="F3704" t="s">
        <v>9</v>
      </c>
    </row>
    <row r="3705" spans="1:6" x14ac:dyDescent="0.3">
      <c r="A3705" t="s">
        <v>810</v>
      </c>
      <c r="B3705" t="s">
        <v>525</v>
      </c>
      <c r="C3705" t="str">
        <f>HYPERLINK("http://service.sap.com/sap/support/notes/2055295","2055295")</f>
        <v>2055295</v>
      </c>
      <c r="D3705">
        <v>3</v>
      </c>
      <c r="E3705" t="s">
        <v>5620</v>
      </c>
      <c r="F3705" t="s">
        <v>9</v>
      </c>
    </row>
    <row r="3706" spans="1:6" x14ac:dyDescent="0.3">
      <c r="A3706" t="s">
        <v>810</v>
      </c>
      <c r="B3706" t="s">
        <v>525</v>
      </c>
      <c r="C3706" t="str">
        <f>HYPERLINK("http://service.sap.com/sap/support/notes/2058720","2058720")</f>
        <v>2058720</v>
      </c>
      <c r="D3706">
        <v>2</v>
      </c>
      <c r="E3706" t="s">
        <v>5621</v>
      </c>
      <c r="F3706" t="s">
        <v>9</v>
      </c>
    </row>
    <row r="3707" spans="1:6" x14ac:dyDescent="0.3">
      <c r="A3707" t="s">
        <v>810</v>
      </c>
      <c r="B3707" t="s">
        <v>525</v>
      </c>
      <c r="C3707" t="str">
        <f>HYPERLINK("http://service.sap.com/sap/support/notes/2060177","2060177")</f>
        <v>2060177</v>
      </c>
      <c r="D3707">
        <v>1</v>
      </c>
      <c r="E3707" t="s">
        <v>5622</v>
      </c>
      <c r="F3707" t="s">
        <v>9</v>
      </c>
    </row>
    <row r="3708" spans="1:6" x14ac:dyDescent="0.3">
      <c r="A3708" t="s">
        <v>3122</v>
      </c>
      <c r="B3708" t="s">
        <v>3123</v>
      </c>
      <c r="C3708" t="str">
        <f>HYPERLINK("http://service.sap.com/sap/support/notes/1986317","1986317")</f>
        <v>1986317</v>
      </c>
      <c r="D3708">
        <v>1</v>
      </c>
      <c r="E3708" t="s">
        <v>3124</v>
      </c>
      <c r="F3708" t="s">
        <v>9</v>
      </c>
    </row>
    <row r="3709" spans="1:6" x14ac:dyDescent="0.3">
      <c r="A3709" t="s">
        <v>3122</v>
      </c>
      <c r="B3709" t="s">
        <v>5285</v>
      </c>
      <c r="C3709" t="str">
        <f>HYPERLINK("http://service.sap.com/sap/support/notes/2052669","2052669")</f>
        <v>2052669</v>
      </c>
      <c r="D3709">
        <v>1</v>
      </c>
      <c r="E3709" t="s">
        <v>5286</v>
      </c>
      <c r="F3709" t="s">
        <v>9</v>
      </c>
    </row>
    <row r="3710" spans="1:6" x14ac:dyDescent="0.3">
      <c r="A3710" t="s">
        <v>5623</v>
      </c>
      <c r="B3710" t="s">
        <v>5624</v>
      </c>
      <c r="C3710" t="str">
        <f>HYPERLINK("http://service.sap.com/sap/support/notes/2042276","2042276")</f>
        <v>2042276</v>
      </c>
      <c r="D3710">
        <v>1</v>
      </c>
      <c r="E3710" t="s">
        <v>5625</v>
      </c>
      <c r="F3710" t="s">
        <v>9</v>
      </c>
    </row>
    <row r="3711" spans="1:6" x14ac:dyDescent="0.3">
      <c r="A3711" t="s">
        <v>2261</v>
      </c>
      <c r="B3711" t="s">
        <v>2262</v>
      </c>
      <c r="C3711" t="str">
        <f>HYPERLINK("http://service.sap.com/sap/support/notes/1956556","1956556")</f>
        <v>1956556</v>
      </c>
      <c r="D3711">
        <v>2</v>
      </c>
      <c r="E3711" t="s">
        <v>2263</v>
      </c>
      <c r="F3711" t="s">
        <v>9</v>
      </c>
    </row>
    <row r="3712" spans="1:6" x14ac:dyDescent="0.3">
      <c r="A3712" t="s">
        <v>2261</v>
      </c>
      <c r="B3712" t="s">
        <v>2262</v>
      </c>
      <c r="C3712" t="str">
        <f>HYPERLINK("http://service.sap.com/sap/support/notes/1970057","1970057")</f>
        <v>1970057</v>
      </c>
      <c r="D3712">
        <v>3</v>
      </c>
      <c r="E3712" t="s">
        <v>3125</v>
      </c>
      <c r="F3712" t="s">
        <v>9</v>
      </c>
    </row>
    <row r="3713" spans="1:6" x14ac:dyDescent="0.3">
      <c r="A3713" t="s">
        <v>812</v>
      </c>
      <c r="B3713" t="s">
        <v>186</v>
      </c>
      <c r="C3713" t="str">
        <f>HYPERLINK("http://service.sap.com/sap/support/notes/1884446","1884446")</f>
        <v>1884446</v>
      </c>
      <c r="D3713">
        <v>1</v>
      </c>
      <c r="E3713" t="s">
        <v>813</v>
      </c>
      <c r="F3713" t="s">
        <v>28</v>
      </c>
    </row>
    <row r="3714" spans="1:6" x14ac:dyDescent="0.3">
      <c r="A3714" t="s">
        <v>812</v>
      </c>
      <c r="B3714" t="s">
        <v>186</v>
      </c>
      <c r="C3714" t="str">
        <f>HYPERLINK("http://service.sap.com/sap/support/notes/1910255","1910255")</f>
        <v>1910255</v>
      </c>
      <c r="D3714">
        <v>4</v>
      </c>
      <c r="E3714" t="s">
        <v>814</v>
      </c>
      <c r="F3714" t="s">
        <v>9</v>
      </c>
    </row>
    <row r="3715" spans="1:6" x14ac:dyDescent="0.3">
      <c r="A3715" t="s">
        <v>812</v>
      </c>
      <c r="B3715" t="s">
        <v>186</v>
      </c>
      <c r="C3715" t="str">
        <f>HYPERLINK("http://service.sap.com/sap/support/notes/1917001","1917001")</f>
        <v>1917001</v>
      </c>
      <c r="D3715">
        <v>12</v>
      </c>
      <c r="E3715" t="s">
        <v>815</v>
      </c>
      <c r="F3715" t="s">
        <v>9</v>
      </c>
    </row>
    <row r="3716" spans="1:6" x14ac:dyDescent="0.3">
      <c r="A3716" t="s">
        <v>812</v>
      </c>
      <c r="B3716" t="s">
        <v>186</v>
      </c>
      <c r="C3716" t="str">
        <f>HYPERLINK("http://service.sap.com/sap/support/notes/1917766","1917766")</f>
        <v>1917766</v>
      </c>
      <c r="D3716">
        <v>1</v>
      </c>
      <c r="E3716" t="s">
        <v>816</v>
      </c>
      <c r="F3716" t="s">
        <v>9</v>
      </c>
    </row>
    <row r="3717" spans="1:6" x14ac:dyDescent="0.3">
      <c r="A3717" t="s">
        <v>812</v>
      </c>
      <c r="B3717" t="s">
        <v>186</v>
      </c>
      <c r="C3717" t="str">
        <f>HYPERLINK("http://service.sap.com/sap/support/notes/1922125","1922125")</f>
        <v>1922125</v>
      </c>
      <c r="D3717">
        <v>1</v>
      </c>
      <c r="E3717" t="s">
        <v>817</v>
      </c>
      <c r="F3717" t="s">
        <v>9</v>
      </c>
    </row>
    <row r="3718" spans="1:6" x14ac:dyDescent="0.3">
      <c r="A3718" t="s">
        <v>812</v>
      </c>
      <c r="B3718" t="s">
        <v>186</v>
      </c>
      <c r="C3718" t="str">
        <f>HYPERLINK("http://service.sap.com/sap/support/notes/1922721","1922721")</f>
        <v>1922721</v>
      </c>
      <c r="D3718">
        <v>2</v>
      </c>
      <c r="E3718" t="s">
        <v>818</v>
      </c>
      <c r="F3718" t="s">
        <v>9</v>
      </c>
    </row>
    <row r="3719" spans="1:6" x14ac:dyDescent="0.3">
      <c r="A3719" t="s">
        <v>812</v>
      </c>
      <c r="B3719" t="s">
        <v>186</v>
      </c>
      <c r="C3719" t="str">
        <f>HYPERLINK("http://service.sap.com/sap/support/notes/1922963","1922963")</f>
        <v>1922963</v>
      </c>
      <c r="D3719">
        <v>1</v>
      </c>
      <c r="E3719" t="s">
        <v>819</v>
      </c>
      <c r="F3719" t="s">
        <v>9</v>
      </c>
    </row>
    <row r="3720" spans="1:6" x14ac:dyDescent="0.3">
      <c r="A3720" t="s">
        <v>812</v>
      </c>
      <c r="B3720" t="s">
        <v>186</v>
      </c>
      <c r="C3720" t="str">
        <f>HYPERLINK("http://service.sap.com/sap/support/notes/1925918","1925918")</f>
        <v>1925918</v>
      </c>
      <c r="D3720">
        <v>1</v>
      </c>
      <c r="E3720" t="s">
        <v>820</v>
      </c>
      <c r="F3720" t="s">
        <v>9</v>
      </c>
    </row>
    <row r="3721" spans="1:6" x14ac:dyDescent="0.3">
      <c r="A3721" t="s">
        <v>812</v>
      </c>
      <c r="B3721" t="s">
        <v>186</v>
      </c>
      <c r="C3721" t="str">
        <f>HYPERLINK("http://service.sap.com/sap/support/notes/1917001","1917001")</f>
        <v>1917001</v>
      </c>
      <c r="D3721">
        <v>12</v>
      </c>
      <c r="E3721" t="s">
        <v>815</v>
      </c>
      <c r="F3721" t="s">
        <v>9</v>
      </c>
    </row>
    <row r="3722" spans="1:6" x14ac:dyDescent="0.3">
      <c r="A3722" t="s">
        <v>812</v>
      </c>
      <c r="B3722" t="s">
        <v>186</v>
      </c>
      <c r="C3722" t="str">
        <f>HYPERLINK("http://service.sap.com/sap/support/notes/1930076","1930076")</f>
        <v>1930076</v>
      </c>
      <c r="D3722">
        <v>2</v>
      </c>
      <c r="E3722" t="s">
        <v>1325</v>
      </c>
      <c r="F3722" t="s">
        <v>9</v>
      </c>
    </row>
    <row r="3723" spans="1:6" x14ac:dyDescent="0.3">
      <c r="A3723" t="s">
        <v>812</v>
      </c>
      <c r="B3723" t="s">
        <v>186</v>
      </c>
      <c r="C3723" t="str">
        <f>HYPERLINK("http://service.sap.com/sap/support/notes/1932685","1932685")</f>
        <v>1932685</v>
      </c>
      <c r="D3723">
        <v>2</v>
      </c>
      <c r="E3723" t="s">
        <v>1326</v>
      </c>
      <c r="F3723" t="s">
        <v>9</v>
      </c>
    </row>
    <row r="3724" spans="1:6" x14ac:dyDescent="0.3">
      <c r="A3724" t="s">
        <v>812</v>
      </c>
      <c r="B3724" t="s">
        <v>186</v>
      </c>
      <c r="C3724" t="str">
        <f>HYPERLINK("http://service.sap.com/sap/support/notes/1939706","1939706")</f>
        <v>1939706</v>
      </c>
      <c r="D3724">
        <v>1</v>
      </c>
      <c r="E3724" t="s">
        <v>1327</v>
      </c>
      <c r="F3724" t="s">
        <v>9</v>
      </c>
    </row>
    <row r="3725" spans="1:6" x14ac:dyDescent="0.3">
      <c r="A3725" t="s">
        <v>812</v>
      </c>
      <c r="B3725" t="s">
        <v>186</v>
      </c>
      <c r="C3725" t="str">
        <f>HYPERLINK("http://service.sap.com/sap/support/notes/1940423","1940423")</f>
        <v>1940423</v>
      </c>
      <c r="D3725">
        <v>1</v>
      </c>
      <c r="E3725" t="s">
        <v>1328</v>
      </c>
      <c r="F3725" t="s">
        <v>9</v>
      </c>
    </row>
    <row r="3726" spans="1:6" x14ac:dyDescent="0.3">
      <c r="A3726" t="s">
        <v>812</v>
      </c>
      <c r="B3726" t="s">
        <v>186</v>
      </c>
      <c r="C3726" t="str">
        <f>HYPERLINK("http://service.sap.com/sap/support/notes/1932685","1932685")</f>
        <v>1932685</v>
      </c>
      <c r="D3726">
        <v>2</v>
      </c>
      <c r="E3726" t="s">
        <v>1326</v>
      </c>
      <c r="F3726" t="s">
        <v>9</v>
      </c>
    </row>
    <row r="3727" spans="1:6" x14ac:dyDescent="0.3">
      <c r="A3727" t="s">
        <v>812</v>
      </c>
      <c r="B3727" t="s">
        <v>186</v>
      </c>
      <c r="C3727" t="str">
        <f>HYPERLINK("http://service.sap.com/sap/support/notes/1935023","1935023")</f>
        <v>1935023</v>
      </c>
      <c r="D3727">
        <v>8</v>
      </c>
      <c r="E3727" t="s">
        <v>1428</v>
      </c>
      <c r="F3727" t="s">
        <v>9</v>
      </c>
    </row>
    <row r="3728" spans="1:6" x14ac:dyDescent="0.3">
      <c r="A3728" t="s">
        <v>812</v>
      </c>
      <c r="B3728" t="s">
        <v>186</v>
      </c>
      <c r="C3728" t="str">
        <f>HYPERLINK("http://service.sap.com/sap/support/notes/1939578","1939578")</f>
        <v>1939578</v>
      </c>
      <c r="D3728">
        <v>4</v>
      </c>
      <c r="E3728" t="s">
        <v>1429</v>
      </c>
      <c r="F3728" t="s">
        <v>9</v>
      </c>
    </row>
    <row r="3729" spans="1:6" x14ac:dyDescent="0.3">
      <c r="A3729" t="s">
        <v>812</v>
      </c>
      <c r="B3729" t="s">
        <v>186</v>
      </c>
      <c r="C3729" t="str">
        <f>HYPERLINK("http://service.sap.com/sap/support/notes/1944618","1944618")</f>
        <v>1944618</v>
      </c>
      <c r="D3729">
        <v>1</v>
      </c>
      <c r="E3729" t="s">
        <v>1430</v>
      </c>
      <c r="F3729" t="s">
        <v>9</v>
      </c>
    </row>
    <row r="3730" spans="1:6" x14ac:dyDescent="0.3">
      <c r="A3730" t="s">
        <v>812</v>
      </c>
      <c r="B3730" t="s">
        <v>186</v>
      </c>
      <c r="C3730" t="str">
        <f>HYPERLINK("http://service.sap.com/sap/support/notes/1945791","1945791")</f>
        <v>1945791</v>
      </c>
      <c r="D3730">
        <v>4</v>
      </c>
      <c r="E3730" t="s">
        <v>1431</v>
      </c>
      <c r="F3730" t="s">
        <v>9</v>
      </c>
    </row>
    <row r="3731" spans="1:6" x14ac:dyDescent="0.3">
      <c r="A3731" t="s">
        <v>812</v>
      </c>
      <c r="B3731" t="s">
        <v>186</v>
      </c>
      <c r="C3731" t="str">
        <f>HYPERLINK("http://service.sap.com/sap/support/notes/1946222","1946222")</f>
        <v>1946222</v>
      </c>
      <c r="D3731">
        <v>1</v>
      </c>
      <c r="E3731" t="s">
        <v>1432</v>
      </c>
      <c r="F3731" t="s">
        <v>9</v>
      </c>
    </row>
    <row r="3732" spans="1:6" x14ac:dyDescent="0.3">
      <c r="A3732" t="s">
        <v>812</v>
      </c>
      <c r="B3732" t="s">
        <v>186</v>
      </c>
      <c r="C3732" t="str">
        <f>HYPERLINK("http://service.sap.com/sap/support/notes/1949694","1949694")</f>
        <v>1949694</v>
      </c>
      <c r="D3732">
        <v>1</v>
      </c>
      <c r="E3732" t="s">
        <v>1433</v>
      </c>
      <c r="F3732" t="s">
        <v>9</v>
      </c>
    </row>
    <row r="3733" spans="1:6" x14ac:dyDescent="0.3">
      <c r="A3733" t="s">
        <v>812</v>
      </c>
      <c r="B3733" t="s">
        <v>186</v>
      </c>
      <c r="C3733" t="str">
        <f>HYPERLINK("http://service.sap.com/sap/support/notes/1949731","1949731")</f>
        <v>1949731</v>
      </c>
      <c r="D3733">
        <v>1</v>
      </c>
      <c r="E3733" t="s">
        <v>1434</v>
      </c>
      <c r="F3733" t="s">
        <v>9</v>
      </c>
    </row>
    <row r="3734" spans="1:6" x14ac:dyDescent="0.3">
      <c r="A3734" t="s">
        <v>812</v>
      </c>
      <c r="B3734" t="s">
        <v>186</v>
      </c>
      <c r="C3734" t="str">
        <f>HYPERLINK("http://service.sap.com/sap/support/notes/1891135","1891135")</f>
        <v>1891135</v>
      </c>
      <c r="D3734">
        <v>3</v>
      </c>
      <c r="E3734" t="s">
        <v>1859</v>
      </c>
      <c r="F3734" t="s">
        <v>9</v>
      </c>
    </row>
    <row r="3735" spans="1:6" x14ac:dyDescent="0.3">
      <c r="A3735" t="s">
        <v>812</v>
      </c>
      <c r="B3735" t="s">
        <v>186</v>
      </c>
      <c r="C3735" t="str">
        <f>HYPERLINK("http://service.sap.com/sap/support/notes/1953154","1953154")</f>
        <v>1953154</v>
      </c>
      <c r="D3735">
        <v>5</v>
      </c>
      <c r="E3735" t="s">
        <v>1860</v>
      </c>
      <c r="F3735" t="s">
        <v>9</v>
      </c>
    </row>
    <row r="3736" spans="1:6" x14ac:dyDescent="0.3">
      <c r="A3736" t="s">
        <v>812</v>
      </c>
      <c r="B3736" t="s">
        <v>186</v>
      </c>
      <c r="C3736" t="str">
        <f>HYPERLINK("http://service.sap.com/sap/support/notes/1953210","1953210")</f>
        <v>1953210</v>
      </c>
      <c r="D3736">
        <v>8</v>
      </c>
      <c r="E3736" t="s">
        <v>1861</v>
      </c>
      <c r="F3736" t="s">
        <v>9</v>
      </c>
    </row>
    <row r="3737" spans="1:6" x14ac:dyDescent="0.3">
      <c r="A3737" t="s">
        <v>812</v>
      </c>
      <c r="B3737" t="s">
        <v>186</v>
      </c>
      <c r="C3737" t="str">
        <f>HYPERLINK("http://service.sap.com/sap/support/notes/1958369","1958369")</f>
        <v>1958369</v>
      </c>
      <c r="D3737">
        <v>3</v>
      </c>
      <c r="E3737" t="s">
        <v>1862</v>
      </c>
      <c r="F3737" t="s">
        <v>9</v>
      </c>
    </row>
    <row r="3738" spans="1:6" x14ac:dyDescent="0.3">
      <c r="A3738" t="s">
        <v>812</v>
      </c>
      <c r="B3738" t="s">
        <v>186</v>
      </c>
      <c r="C3738" t="str">
        <f>HYPERLINK("http://service.sap.com/sap/support/notes/1959882","1959882")</f>
        <v>1959882</v>
      </c>
      <c r="D3738">
        <v>1</v>
      </c>
      <c r="E3738" t="s">
        <v>1863</v>
      </c>
      <c r="F3738" t="s">
        <v>9</v>
      </c>
    </row>
    <row r="3739" spans="1:6" x14ac:dyDescent="0.3">
      <c r="A3739" t="s">
        <v>812</v>
      </c>
      <c r="B3739" t="s">
        <v>186</v>
      </c>
      <c r="C3739" t="str">
        <f>HYPERLINK("http://service.sap.com/sap/support/notes/1936071","1936071")</f>
        <v>1936071</v>
      </c>
      <c r="D3739">
        <v>1</v>
      </c>
      <c r="E3739" t="s">
        <v>2264</v>
      </c>
      <c r="F3739" t="s">
        <v>9</v>
      </c>
    </row>
    <row r="3740" spans="1:6" x14ac:dyDescent="0.3">
      <c r="A3740" t="s">
        <v>812</v>
      </c>
      <c r="B3740" t="s">
        <v>186</v>
      </c>
      <c r="C3740" t="str">
        <f>HYPERLINK("http://service.sap.com/sap/support/notes/1959143","1959143")</f>
        <v>1959143</v>
      </c>
      <c r="D3740">
        <v>3</v>
      </c>
      <c r="E3740" t="s">
        <v>2265</v>
      </c>
      <c r="F3740" t="s">
        <v>9</v>
      </c>
    </row>
    <row r="3741" spans="1:6" x14ac:dyDescent="0.3">
      <c r="A3741" t="s">
        <v>812</v>
      </c>
      <c r="B3741" t="s">
        <v>186</v>
      </c>
      <c r="C3741" t="str">
        <f>HYPERLINK("http://service.sap.com/sap/support/notes/1961848","1961848")</f>
        <v>1961848</v>
      </c>
      <c r="D3741">
        <v>1</v>
      </c>
      <c r="E3741" t="s">
        <v>2266</v>
      </c>
      <c r="F3741" t="s">
        <v>9</v>
      </c>
    </row>
    <row r="3742" spans="1:6" x14ac:dyDescent="0.3">
      <c r="A3742" t="s">
        <v>812</v>
      </c>
      <c r="B3742" t="s">
        <v>186</v>
      </c>
      <c r="C3742" t="str">
        <f>HYPERLINK("http://service.sap.com/sap/support/notes/1961973","1961973")</f>
        <v>1961973</v>
      </c>
      <c r="D3742">
        <v>1</v>
      </c>
      <c r="E3742" t="s">
        <v>2267</v>
      </c>
      <c r="F3742" t="s">
        <v>9</v>
      </c>
    </row>
    <row r="3743" spans="1:6" x14ac:dyDescent="0.3">
      <c r="A3743" t="s">
        <v>812</v>
      </c>
      <c r="B3743" t="s">
        <v>186</v>
      </c>
      <c r="C3743" t="str">
        <f>HYPERLINK("http://service.sap.com/sap/support/notes/1962967","1962967")</f>
        <v>1962967</v>
      </c>
      <c r="D3743">
        <v>12</v>
      </c>
      <c r="E3743" t="s">
        <v>2268</v>
      </c>
      <c r="F3743" t="s">
        <v>9</v>
      </c>
    </row>
    <row r="3744" spans="1:6" x14ac:dyDescent="0.3">
      <c r="A3744" t="s">
        <v>812</v>
      </c>
      <c r="B3744" t="s">
        <v>186</v>
      </c>
      <c r="C3744" t="str">
        <f>HYPERLINK("http://service.sap.com/sap/support/notes/1964433","1964433")</f>
        <v>1964433</v>
      </c>
      <c r="D3744">
        <v>2</v>
      </c>
      <c r="E3744" t="s">
        <v>2269</v>
      </c>
      <c r="F3744" t="s">
        <v>9</v>
      </c>
    </row>
    <row r="3745" spans="1:6" x14ac:dyDescent="0.3">
      <c r="A3745" t="s">
        <v>812</v>
      </c>
      <c r="B3745" t="s">
        <v>186</v>
      </c>
      <c r="C3745" t="str">
        <f>HYPERLINK("http://service.sap.com/sap/support/notes/1964819","1964819")</f>
        <v>1964819</v>
      </c>
      <c r="D3745">
        <v>3</v>
      </c>
      <c r="E3745" t="s">
        <v>2270</v>
      </c>
      <c r="F3745" t="s">
        <v>9</v>
      </c>
    </row>
    <row r="3746" spans="1:6" x14ac:dyDescent="0.3">
      <c r="A3746" t="s">
        <v>812</v>
      </c>
      <c r="B3746" t="s">
        <v>186</v>
      </c>
      <c r="C3746" t="str">
        <f>HYPERLINK("http://service.sap.com/sap/support/notes/1965558","1965558")</f>
        <v>1965558</v>
      </c>
      <c r="D3746">
        <v>1</v>
      </c>
      <c r="E3746" t="s">
        <v>2271</v>
      </c>
      <c r="F3746" t="s">
        <v>9</v>
      </c>
    </row>
    <row r="3747" spans="1:6" x14ac:dyDescent="0.3">
      <c r="A3747" t="s">
        <v>812</v>
      </c>
      <c r="B3747" t="s">
        <v>186</v>
      </c>
      <c r="C3747" t="str">
        <f>HYPERLINK("http://service.sap.com/sap/support/notes/1969986","1969986")</f>
        <v>1969986</v>
      </c>
      <c r="D3747">
        <v>2</v>
      </c>
      <c r="E3747" t="s">
        <v>2272</v>
      </c>
      <c r="F3747" t="s">
        <v>28</v>
      </c>
    </row>
    <row r="3748" spans="1:6" x14ac:dyDescent="0.3">
      <c r="A3748" t="s">
        <v>812</v>
      </c>
      <c r="B3748" t="s">
        <v>186</v>
      </c>
      <c r="C3748" t="str">
        <f>HYPERLINK("http://service.sap.com/sap/support/notes/1973561","1973561")</f>
        <v>1973561</v>
      </c>
      <c r="D3748">
        <v>3</v>
      </c>
      <c r="E3748" t="s">
        <v>2658</v>
      </c>
      <c r="F3748" t="s">
        <v>9</v>
      </c>
    </row>
    <row r="3749" spans="1:6" x14ac:dyDescent="0.3">
      <c r="A3749" t="s">
        <v>812</v>
      </c>
      <c r="B3749" t="s">
        <v>186</v>
      </c>
      <c r="C3749" t="str">
        <f>HYPERLINK("http://service.sap.com/sap/support/notes/1976481","1976481")</f>
        <v>1976481</v>
      </c>
      <c r="D3749">
        <v>2</v>
      </c>
      <c r="E3749" t="s">
        <v>2659</v>
      </c>
      <c r="F3749" t="s">
        <v>9</v>
      </c>
    </row>
    <row r="3750" spans="1:6" x14ac:dyDescent="0.3">
      <c r="A3750" t="s">
        <v>812</v>
      </c>
      <c r="B3750" t="s">
        <v>186</v>
      </c>
      <c r="C3750" t="str">
        <f>HYPERLINK("http://service.sap.com/sap/support/notes/1976503","1976503")</f>
        <v>1976503</v>
      </c>
      <c r="D3750">
        <v>4</v>
      </c>
      <c r="E3750" t="s">
        <v>2660</v>
      </c>
      <c r="F3750" t="s">
        <v>9</v>
      </c>
    </row>
    <row r="3751" spans="1:6" x14ac:dyDescent="0.3">
      <c r="A3751" t="s">
        <v>812</v>
      </c>
      <c r="B3751" t="s">
        <v>186</v>
      </c>
      <c r="C3751" t="str">
        <f>HYPERLINK("http://service.sap.com/sap/support/notes/1976523","1976523")</f>
        <v>1976523</v>
      </c>
      <c r="D3751">
        <v>3</v>
      </c>
      <c r="E3751" t="s">
        <v>2661</v>
      </c>
      <c r="F3751" t="s">
        <v>9</v>
      </c>
    </row>
    <row r="3752" spans="1:6" x14ac:dyDescent="0.3">
      <c r="A3752" t="s">
        <v>812</v>
      </c>
      <c r="B3752" t="s">
        <v>186</v>
      </c>
      <c r="C3752" t="str">
        <f>HYPERLINK("http://service.sap.com/sap/support/notes/1977165","1977165")</f>
        <v>1977165</v>
      </c>
      <c r="D3752">
        <v>2</v>
      </c>
      <c r="E3752" t="s">
        <v>2662</v>
      </c>
      <c r="F3752" t="s">
        <v>9</v>
      </c>
    </row>
    <row r="3753" spans="1:6" x14ac:dyDescent="0.3">
      <c r="A3753" t="s">
        <v>812</v>
      </c>
      <c r="B3753" t="s">
        <v>186</v>
      </c>
      <c r="C3753" t="str">
        <f>HYPERLINK("http://service.sap.com/sap/support/notes/1979692","1979692")</f>
        <v>1979692</v>
      </c>
      <c r="D3753">
        <v>4</v>
      </c>
      <c r="E3753" t="s">
        <v>2663</v>
      </c>
      <c r="F3753" t="s">
        <v>9</v>
      </c>
    </row>
    <row r="3754" spans="1:6" x14ac:dyDescent="0.3">
      <c r="A3754" t="s">
        <v>812</v>
      </c>
      <c r="B3754" t="s">
        <v>186</v>
      </c>
      <c r="C3754" t="str">
        <f>HYPERLINK("http://service.sap.com/sap/support/notes/1981548","1981548")</f>
        <v>1981548</v>
      </c>
      <c r="D3754">
        <v>2</v>
      </c>
      <c r="E3754" t="s">
        <v>2664</v>
      </c>
      <c r="F3754" t="s">
        <v>9</v>
      </c>
    </row>
    <row r="3755" spans="1:6" x14ac:dyDescent="0.3">
      <c r="A3755" t="s">
        <v>812</v>
      </c>
      <c r="B3755" t="s">
        <v>186</v>
      </c>
      <c r="C3755" t="str">
        <f>HYPERLINK("http://service.sap.com/sap/support/notes/1981569","1981569")</f>
        <v>1981569</v>
      </c>
      <c r="D3755">
        <v>3</v>
      </c>
      <c r="E3755" t="s">
        <v>2665</v>
      </c>
      <c r="F3755" t="s">
        <v>9</v>
      </c>
    </row>
    <row r="3756" spans="1:6" x14ac:dyDescent="0.3">
      <c r="A3756" t="s">
        <v>812</v>
      </c>
      <c r="B3756" t="s">
        <v>186</v>
      </c>
      <c r="C3756" t="str">
        <f>HYPERLINK("http://service.sap.com/sap/support/notes/1976523","1976523")</f>
        <v>1976523</v>
      </c>
      <c r="D3756">
        <v>3</v>
      </c>
      <c r="E3756" t="s">
        <v>3126</v>
      </c>
      <c r="F3756" t="s">
        <v>9</v>
      </c>
    </row>
    <row r="3757" spans="1:6" x14ac:dyDescent="0.3">
      <c r="A3757" t="s">
        <v>812</v>
      </c>
      <c r="B3757" t="s">
        <v>186</v>
      </c>
      <c r="C3757" t="str">
        <f>HYPERLINK("http://service.sap.com/sap/support/notes/1979692","1979692")</f>
        <v>1979692</v>
      </c>
      <c r="D3757">
        <v>4</v>
      </c>
      <c r="E3757" t="s">
        <v>2663</v>
      </c>
      <c r="F3757" t="s">
        <v>9</v>
      </c>
    </row>
    <row r="3758" spans="1:6" x14ac:dyDescent="0.3">
      <c r="A3758" t="s">
        <v>812</v>
      </c>
      <c r="B3758" t="s">
        <v>186</v>
      </c>
      <c r="C3758" t="str">
        <f>HYPERLINK("http://service.sap.com/sap/support/notes/1982879","1982879")</f>
        <v>1982879</v>
      </c>
      <c r="D3758">
        <v>2</v>
      </c>
      <c r="E3758" t="s">
        <v>3127</v>
      </c>
      <c r="F3758" t="s">
        <v>28</v>
      </c>
    </row>
    <row r="3759" spans="1:6" x14ac:dyDescent="0.3">
      <c r="A3759" t="s">
        <v>812</v>
      </c>
      <c r="B3759" t="s">
        <v>186</v>
      </c>
      <c r="C3759" t="str">
        <f>HYPERLINK("http://service.sap.com/sap/support/notes/1983237","1983237")</f>
        <v>1983237</v>
      </c>
      <c r="D3759">
        <v>3</v>
      </c>
      <c r="E3759" t="s">
        <v>3128</v>
      </c>
      <c r="F3759" t="s">
        <v>9</v>
      </c>
    </row>
    <row r="3760" spans="1:6" x14ac:dyDescent="0.3">
      <c r="A3760" t="s">
        <v>812</v>
      </c>
      <c r="B3760" t="s">
        <v>186</v>
      </c>
      <c r="C3760" t="str">
        <f>HYPERLINK("http://service.sap.com/sap/support/notes/1983907","1983907")</f>
        <v>1983907</v>
      </c>
      <c r="D3760">
        <v>10</v>
      </c>
      <c r="E3760" t="s">
        <v>3129</v>
      </c>
      <c r="F3760" t="s">
        <v>28</v>
      </c>
    </row>
    <row r="3761" spans="1:6" x14ac:dyDescent="0.3">
      <c r="A3761" t="s">
        <v>812</v>
      </c>
      <c r="B3761" t="s">
        <v>186</v>
      </c>
      <c r="C3761" t="str">
        <f>HYPERLINK("http://service.sap.com/sap/support/notes/1985001","1985001")</f>
        <v>1985001</v>
      </c>
      <c r="D3761">
        <v>6</v>
      </c>
      <c r="E3761" t="s">
        <v>3130</v>
      </c>
      <c r="F3761" t="s">
        <v>9</v>
      </c>
    </row>
    <row r="3762" spans="1:6" x14ac:dyDescent="0.3">
      <c r="A3762" t="s">
        <v>812</v>
      </c>
      <c r="B3762" t="s">
        <v>186</v>
      </c>
      <c r="C3762" t="str">
        <f>HYPERLINK("http://service.sap.com/sap/support/notes/1985104","1985104")</f>
        <v>1985104</v>
      </c>
      <c r="D3762">
        <v>5</v>
      </c>
      <c r="E3762" t="s">
        <v>3131</v>
      </c>
      <c r="F3762" t="s">
        <v>9</v>
      </c>
    </row>
    <row r="3763" spans="1:6" x14ac:dyDescent="0.3">
      <c r="A3763" t="s">
        <v>812</v>
      </c>
      <c r="B3763" t="s">
        <v>186</v>
      </c>
      <c r="C3763" t="str">
        <f>HYPERLINK("http://service.sap.com/sap/support/notes/1988026","1988026")</f>
        <v>1988026</v>
      </c>
      <c r="D3763">
        <v>1</v>
      </c>
      <c r="E3763" t="s">
        <v>3132</v>
      </c>
      <c r="F3763" t="s">
        <v>28</v>
      </c>
    </row>
    <row r="3764" spans="1:6" x14ac:dyDescent="0.3">
      <c r="A3764" t="s">
        <v>812</v>
      </c>
      <c r="B3764" t="s">
        <v>186</v>
      </c>
      <c r="C3764" t="str">
        <f>HYPERLINK("http://service.sap.com/sap/support/notes/1988062","1988062")</f>
        <v>1988062</v>
      </c>
      <c r="D3764">
        <v>8</v>
      </c>
      <c r="E3764" t="s">
        <v>3133</v>
      </c>
      <c r="F3764" t="s">
        <v>9</v>
      </c>
    </row>
    <row r="3765" spans="1:6" x14ac:dyDescent="0.3">
      <c r="A3765" t="s">
        <v>812</v>
      </c>
      <c r="B3765" t="s">
        <v>186</v>
      </c>
      <c r="C3765" t="str">
        <f>HYPERLINK("http://service.sap.com/sap/support/notes/1992948","1992948")</f>
        <v>1992948</v>
      </c>
      <c r="D3765">
        <v>2</v>
      </c>
      <c r="E3765" t="s">
        <v>3134</v>
      </c>
      <c r="F3765" t="s">
        <v>28</v>
      </c>
    </row>
    <row r="3766" spans="1:6" x14ac:dyDescent="0.3">
      <c r="A3766" t="s">
        <v>812</v>
      </c>
      <c r="B3766" t="s">
        <v>186</v>
      </c>
      <c r="C3766" t="str">
        <f>HYPERLINK("http://service.sap.com/sap/support/notes/1994217","1994217")</f>
        <v>1994217</v>
      </c>
      <c r="D3766">
        <v>1</v>
      </c>
      <c r="E3766" t="s">
        <v>3135</v>
      </c>
      <c r="F3766" t="s">
        <v>9</v>
      </c>
    </row>
    <row r="3767" spans="1:6" x14ac:dyDescent="0.3">
      <c r="A3767" t="s">
        <v>812</v>
      </c>
      <c r="B3767" t="s">
        <v>186</v>
      </c>
      <c r="C3767" t="str">
        <f>HYPERLINK("http://service.sap.com/sap/support/notes/1994808","1994808")</f>
        <v>1994808</v>
      </c>
      <c r="D3767">
        <v>1</v>
      </c>
      <c r="E3767" t="s">
        <v>3136</v>
      </c>
      <c r="F3767" t="s">
        <v>9</v>
      </c>
    </row>
    <row r="3768" spans="1:6" x14ac:dyDescent="0.3">
      <c r="A3768" t="s">
        <v>812</v>
      </c>
      <c r="B3768" t="s">
        <v>186</v>
      </c>
      <c r="C3768" t="str">
        <f>HYPERLINK("http://service.sap.com/sap/support/notes/1985104","1985104")</f>
        <v>1985104</v>
      </c>
      <c r="D3768">
        <v>5</v>
      </c>
      <c r="E3768" t="s">
        <v>3131</v>
      </c>
      <c r="F3768" t="s">
        <v>9</v>
      </c>
    </row>
    <row r="3769" spans="1:6" x14ac:dyDescent="0.3">
      <c r="A3769" t="s">
        <v>812</v>
      </c>
      <c r="B3769" t="s">
        <v>186</v>
      </c>
      <c r="C3769" t="str">
        <f>HYPERLINK("http://service.sap.com/sap/support/notes/1988062","1988062")</f>
        <v>1988062</v>
      </c>
      <c r="D3769">
        <v>8</v>
      </c>
      <c r="E3769" t="s">
        <v>3133</v>
      </c>
      <c r="F3769" t="s">
        <v>9</v>
      </c>
    </row>
    <row r="3770" spans="1:6" x14ac:dyDescent="0.3">
      <c r="A3770" t="s">
        <v>812</v>
      </c>
      <c r="B3770" t="s">
        <v>186</v>
      </c>
      <c r="C3770" t="str">
        <f>HYPERLINK("http://service.sap.com/sap/support/notes/1997340","1997340")</f>
        <v>1997340</v>
      </c>
      <c r="D3770">
        <v>1</v>
      </c>
      <c r="E3770" t="s">
        <v>3777</v>
      </c>
      <c r="F3770" t="s">
        <v>9</v>
      </c>
    </row>
    <row r="3771" spans="1:6" x14ac:dyDescent="0.3">
      <c r="A3771" t="s">
        <v>812</v>
      </c>
      <c r="B3771" t="s">
        <v>186</v>
      </c>
      <c r="C3771" t="str">
        <f>HYPERLINK("http://service.sap.com/sap/support/notes/1997397","1997397")</f>
        <v>1997397</v>
      </c>
      <c r="D3771">
        <v>10</v>
      </c>
      <c r="E3771" t="s">
        <v>3778</v>
      </c>
      <c r="F3771" t="s">
        <v>9</v>
      </c>
    </row>
    <row r="3772" spans="1:6" x14ac:dyDescent="0.3">
      <c r="A3772" t="s">
        <v>812</v>
      </c>
      <c r="B3772" t="s">
        <v>186</v>
      </c>
      <c r="C3772" t="str">
        <f>HYPERLINK("http://service.sap.com/sap/support/notes/2000589","2000589")</f>
        <v>2000589</v>
      </c>
      <c r="D3772">
        <v>3</v>
      </c>
      <c r="E3772" t="s">
        <v>3779</v>
      </c>
      <c r="F3772" t="s">
        <v>9</v>
      </c>
    </row>
    <row r="3773" spans="1:6" x14ac:dyDescent="0.3">
      <c r="A3773" t="s">
        <v>812</v>
      </c>
      <c r="B3773" t="s">
        <v>186</v>
      </c>
      <c r="C3773" t="str">
        <f>HYPERLINK("http://service.sap.com/sap/support/notes/2001151","2001151")</f>
        <v>2001151</v>
      </c>
      <c r="D3773">
        <v>2</v>
      </c>
      <c r="E3773" t="s">
        <v>3780</v>
      </c>
      <c r="F3773" t="s">
        <v>9</v>
      </c>
    </row>
    <row r="3774" spans="1:6" x14ac:dyDescent="0.3">
      <c r="A3774" t="s">
        <v>812</v>
      </c>
      <c r="B3774" t="s">
        <v>186</v>
      </c>
      <c r="C3774" t="str">
        <f>HYPERLINK("http://service.sap.com/sap/support/notes/2004279","2004279")</f>
        <v>2004279</v>
      </c>
      <c r="D3774">
        <v>2</v>
      </c>
      <c r="E3774" t="s">
        <v>3781</v>
      </c>
      <c r="F3774" t="s">
        <v>9</v>
      </c>
    </row>
    <row r="3775" spans="1:6" x14ac:dyDescent="0.3">
      <c r="A3775" t="s">
        <v>812</v>
      </c>
      <c r="B3775" t="s">
        <v>186</v>
      </c>
      <c r="C3775" t="str">
        <f>HYPERLINK("http://service.sap.com/sap/support/notes/2005753","2005753")</f>
        <v>2005753</v>
      </c>
      <c r="D3775">
        <v>1</v>
      </c>
      <c r="E3775" t="s">
        <v>3782</v>
      </c>
      <c r="F3775" t="s">
        <v>9</v>
      </c>
    </row>
    <row r="3776" spans="1:6" x14ac:dyDescent="0.3">
      <c r="A3776" t="s">
        <v>812</v>
      </c>
      <c r="B3776" t="s">
        <v>186</v>
      </c>
      <c r="C3776" t="str">
        <f>HYPERLINK("http://service.sap.com/sap/support/notes/2008309","2008309")</f>
        <v>2008309</v>
      </c>
      <c r="D3776">
        <v>4</v>
      </c>
      <c r="E3776" t="s">
        <v>4274</v>
      </c>
      <c r="F3776" t="s">
        <v>9</v>
      </c>
    </row>
    <row r="3777" spans="1:6" x14ac:dyDescent="0.3">
      <c r="A3777" t="s">
        <v>812</v>
      </c>
      <c r="B3777" t="s">
        <v>186</v>
      </c>
      <c r="C3777" t="str">
        <f>HYPERLINK("http://service.sap.com/sap/support/notes/2016503","2016503")</f>
        <v>2016503</v>
      </c>
      <c r="D3777">
        <v>1</v>
      </c>
      <c r="E3777" t="s">
        <v>4275</v>
      </c>
      <c r="F3777" t="s">
        <v>9</v>
      </c>
    </row>
    <row r="3778" spans="1:6" x14ac:dyDescent="0.3">
      <c r="A3778" t="s">
        <v>812</v>
      </c>
      <c r="B3778" t="s">
        <v>186</v>
      </c>
      <c r="C3778" t="str">
        <f>HYPERLINK("http://service.sap.com/sap/support/notes/2017065","2017065")</f>
        <v>2017065</v>
      </c>
      <c r="D3778">
        <v>4</v>
      </c>
      <c r="E3778" t="s">
        <v>4276</v>
      </c>
      <c r="F3778" t="s">
        <v>9</v>
      </c>
    </row>
    <row r="3779" spans="1:6" x14ac:dyDescent="0.3">
      <c r="A3779" t="s">
        <v>812</v>
      </c>
      <c r="B3779" t="s">
        <v>186</v>
      </c>
      <c r="C3779" t="str">
        <f>HYPERLINK("http://service.sap.com/sap/support/notes/2021419","2021419")</f>
        <v>2021419</v>
      </c>
      <c r="D3779">
        <v>5</v>
      </c>
      <c r="E3779" t="s">
        <v>4598</v>
      </c>
      <c r="F3779" t="s">
        <v>9</v>
      </c>
    </row>
    <row r="3780" spans="1:6" x14ac:dyDescent="0.3">
      <c r="A3780" t="s">
        <v>812</v>
      </c>
      <c r="B3780" t="s">
        <v>186</v>
      </c>
      <c r="C3780" t="str">
        <f>HYPERLINK("http://service.sap.com/sap/support/notes/2023431","2023431")</f>
        <v>2023431</v>
      </c>
      <c r="D3780">
        <v>1</v>
      </c>
      <c r="E3780" t="s">
        <v>4599</v>
      </c>
      <c r="F3780" t="s">
        <v>9</v>
      </c>
    </row>
    <row r="3781" spans="1:6" x14ac:dyDescent="0.3">
      <c r="A3781" t="s">
        <v>812</v>
      </c>
      <c r="B3781" t="s">
        <v>186</v>
      </c>
      <c r="C3781" t="str">
        <f>HYPERLINK("http://service.sap.com/sap/support/notes/2028405","2028405")</f>
        <v>2028405</v>
      </c>
      <c r="D3781">
        <v>2</v>
      </c>
      <c r="E3781" t="s">
        <v>4600</v>
      </c>
      <c r="F3781" t="s">
        <v>9</v>
      </c>
    </row>
    <row r="3782" spans="1:6" x14ac:dyDescent="0.3">
      <c r="A3782" t="s">
        <v>812</v>
      </c>
      <c r="B3782" t="s">
        <v>186</v>
      </c>
      <c r="C3782" t="str">
        <f>HYPERLINK("http://service.sap.com/sap/support/notes/2022611","2022611")</f>
        <v>2022611</v>
      </c>
      <c r="D3782">
        <v>1</v>
      </c>
      <c r="E3782" t="s">
        <v>4947</v>
      </c>
      <c r="F3782" t="s">
        <v>9</v>
      </c>
    </row>
    <row r="3783" spans="1:6" x14ac:dyDescent="0.3">
      <c r="A3783" t="s">
        <v>812</v>
      </c>
      <c r="B3783" t="s">
        <v>186</v>
      </c>
      <c r="C3783" t="str">
        <f>HYPERLINK("http://service.sap.com/sap/support/notes/2028163","2028163")</f>
        <v>2028163</v>
      </c>
      <c r="D3783">
        <v>1</v>
      </c>
      <c r="E3783" t="s">
        <v>4948</v>
      </c>
      <c r="F3783" t="s">
        <v>9</v>
      </c>
    </row>
    <row r="3784" spans="1:6" x14ac:dyDescent="0.3">
      <c r="A3784" t="s">
        <v>812</v>
      </c>
      <c r="B3784" t="s">
        <v>186</v>
      </c>
      <c r="C3784" t="str">
        <f>HYPERLINK("http://service.sap.com/sap/support/notes/2032342","2032342")</f>
        <v>2032342</v>
      </c>
      <c r="D3784">
        <v>3</v>
      </c>
      <c r="E3784" t="s">
        <v>4949</v>
      </c>
      <c r="F3784" t="s">
        <v>9</v>
      </c>
    </row>
    <row r="3785" spans="1:6" x14ac:dyDescent="0.3">
      <c r="A3785" t="s">
        <v>812</v>
      </c>
      <c r="B3785" t="s">
        <v>186</v>
      </c>
      <c r="C3785" t="str">
        <f>HYPERLINK("http://service.sap.com/sap/support/notes/2033793","2033793")</f>
        <v>2033793</v>
      </c>
      <c r="D3785">
        <v>2</v>
      </c>
      <c r="E3785" t="s">
        <v>4950</v>
      </c>
      <c r="F3785" t="s">
        <v>9</v>
      </c>
    </row>
    <row r="3786" spans="1:6" x14ac:dyDescent="0.3">
      <c r="A3786" t="s">
        <v>812</v>
      </c>
      <c r="B3786" t="s">
        <v>186</v>
      </c>
      <c r="C3786" t="str">
        <f>HYPERLINK("http://service.sap.com/sap/support/notes/2034581","2034581")</f>
        <v>2034581</v>
      </c>
      <c r="D3786">
        <v>5</v>
      </c>
      <c r="E3786" t="s">
        <v>4951</v>
      </c>
      <c r="F3786" t="s">
        <v>9</v>
      </c>
    </row>
    <row r="3787" spans="1:6" x14ac:dyDescent="0.3">
      <c r="A3787" t="s">
        <v>812</v>
      </c>
      <c r="B3787" t="s">
        <v>186</v>
      </c>
      <c r="C3787" t="str">
        <f>HYPERLINK("http://service.sap.com/sap/support/notes/2035577","2035577")</f>
        <v>2035577</v>
      </c>
      <c r="D3787">
        <v>1</v>
      </c>
      <c r="E3787" t="s">
        <v>4952</v>
      </c>
      <c r="F3787" t="s">
        <v>9</v>
      </c>
    </row>
    <row r="3788" spans="1:6" x14ac:dyDescent="0.3">
      <c r="A3788" t="s">
        <v>812</v>
      </c>
      <c r="B3788" t="s">
        <v>186</v>
      </c>
      <c r="C3788" t="str">
        <f>HYPERLINK("http://service.sap.com/sap/support/notes/2039489","2039489")</f>
        <v>2039489</v>
      </c>
      <c r="D3788">
        <v>1</v>
      </c>
      <c r="E3788" t="s">
        <v>4953</v>
      </c>
      <c r="F3788" t="s">
        <v>9</v>
      </c>
    </row>
    <row r="3789" spans="1:6" x14ac:dyDescent="0.3">
      <c r="A3789" t="s">
        <v>812</v>
      </c>
      <c r="B3789" t="s">
        <v>186</v>
      </c>
      <c r="C3789" t="str">
        <f>HYPERLINK("http://service.sap.com/sap/support/notes/2043212","2043212")</f>
        <v>2043212</v>
      </c>
      <c r="D3789">
        <v>1</v>
      </c>
      <c r="E3789" t="s">
        <v>4954</v>
      </c>
      <c r="F3789" t="s">
        <v>9</v>
      </c>
    </row>
    <row r="3790" spans="1:6" x14ac:dyDescent="0.3">
      <c r="A3790" t="s">
        <v>812</v>
      </c>
      <c r="B3790" t="s">
        <v>186</v>
      </c>
      <c r="C3790" t="str">
        <f>HYPERLINK("http://service.sap.com/sap/support/notes/2046051","2046051")</f>
        <v>2046051</v>
      </c>
      <c r="D3790">
        <v>5</v>
      </c>
      <c r="E3790" t="s">
        <v>5287</v>
      </c>
      <c r="F3790" t="s">
        <v>9</v>
      </c>
    </row>
    <row r="3791" spans="1:6" x14ac:dyDescent="0.3">
      <c r="A3791" t="s">
        <v>812</v>
      </c>
      <c r="B3791" t="s">
        <v>186</v>
      </c>
      <c r="C3791" t="str">
        <f>HYPERLINK("http://service.sap.com/sap/support/notes/2046085","2046085")</f>
        <v>2046085</v>
      </c>
      <c r="D3791">
        <v>2</v>
      </c>
      <c r="E3791" t="s">
        <v>5288</v>
      </c>
      <c r="F3791" t="s">
        <v>28</v>
      </c>
    </row>
    <row r="3792" spans="1:6" x14ac:dyDescent="0.3">
      <c r="A3792" t="s">
        <v>812</v>
      </c>
      <c r="B3792" t="s">
        <v>186</v>
      </c>
      <c r="C3792" t="str">
        <f>HYPERLINK("http://service.sap.com/sap/support/notes/2050295","2050295")</f>
        <v>2050295</v>
      </c>
      <c r="D3792">
        <v>1</v>
      </c>
      <c r="E3792" t="s">
        <v>5289</v>
      </c>
      <c r="F3792" t="s">
        <v>9</v>
      </c>
    </row>
    <row r="3793" spans="1:6" x14ac:dyDescent="0.3">
      <c r="A3793" t="s">
        <v>812</v>
      </c>
      <c r="B3793" t="s">
        <v>186</v>
      </c>
      <c r="C3793" t="str">
        <f>HYPERLINK("http://service.sap.com/sap/support/notes/2051539","2051539")</f>
        <v>2051539</v>
      </c>
      <c r="D3793">
        <v>2</v>
      </c>
      <c r="E3793" t="s">
        <v>5290</v>
      </c>
      <c r="F3793" t="s">
        <v>9</v>
      </c>
    </row>
    <row r="3794" spans="1:6" x14ac:dyDescent="0.3">
      <c r="A3794" t="s">
        <v>812</v>
      </c>
      <c r="B3794" t="s">
        <v>186</v>
      </c>
      <c r="C3794" t="str">
        <f>HYPERLINK("http://service.sap.com/sap/support/notes/2053725","2053725")</f>
        <v>2053725</v>
      </c>
      <c r="D3794">
        <v>1</v>
      </c>
      <c r="E3794" t="s">
        <v>5291</v>
      </c>
      <c r="F3794" t="s">
        <v>9</v>
      </c>
    </row>
    <row r="3795" spans="1:6" x14ac:dyDescent="0.3">
      <c r="A3795" t="s">
        <v>812</v>
      </c>
      <c r="B3795" t="s">
        <v>186</v>
      </c>
      <c r="C3795" t="str">
        <f>HYPERLINK("http://service.sap.com/sap/support/notes/2056279","2056279")</f>
        <v>2056279</v>
      </c>
      <c r="D3795">
        <v>3</v>
      </c>
      <c r="E3795" t="s">
        <v>5626</v>
      </c>
      <c r="F3795" t="s">
        <v>9</v>
      </c>
    </row>
    <row r="3796" spans="1:6" x14ac:dyDescent="0.3">
      <c r="A3796" t="s">
        <v>812</v>
      </c>
      <c r="B3796" t="s">
        <v>186</v>
      </c>
      <c r="C3796" t="str">
        <f>HYPERLINK("http://service.sap.com/sap/support/notes/2056770","2056770")</f>
        <v>2056770</v>
      </c>
      <c r="D3796">
        <v>2</v>
      </c>
      <c r="E3796" t="s">
        <v>5627</v>
      </c>
      <c r="F3796" t="s">
        <v>9</v>
      </c>
    </row>
    <row r="3797" spans="1:6" x14ac:dyDescent="0.3">
      <c r="A3797" t="s">
        <v>812</v>
      </c>
      <c r="B3797" t="s">
        <v>186</v>
      </c>
      <c r="C3797" t="str">
        <f>HYPERLINK("http://service.sap.com/sap/support/notes/2057977","2057977")</f>
        <v>2057977</v>
      </c>
      <c r="D3797">
        <v>2</v>
      </c>
      <c r="E3797" t="s">
        <v>5628</v>
      </c>
      <c r="F3797" t="s">
        <v>9</v>
      </c>
    </row>
    <row r="3798" spans="1:6" x14ac:dyDescent="0.3">
      <c r="A3798" t="s">
        <v>812</v>
      </c>
      <c r="B3798" t="s">
        <v>186</v>
      </c>
      <c r="C3798" t="str">
        <f>HYPERLINK("http://service.sap.com/sap/support/notes/2064581","2064581")</f>
        <v>2064581</v>
      </c>
      <c r="D3798">
        <v>1</v>
      </c>
      <c r="E3798" t="s">
        <v>5629</v>
      </c>
      <c r="F3798" t="s">
        <v>9</v>
      </c>
    </row>
    <row r="3799" spans="1:6" x14ac:dyDescent="0.3">
      <c r="A3799" t="s">
        <v>812</v>
      </c>
      <c r="B3799" t="s">
        <v>186</v>
      </c>
      <c r="C3799" t="str">
        <f>HYPERLINK("http://service.sap.com/sap/support/notes/2064943","2064943")</f>
        <v>2064943</v>
      </c>
      <c r="D3799">
        <v>1</v>
      </c>
      <c r="E3799" t="s">
        <v>5630</v>
      </c>
      <c r="F3799" t="s">
        <v>28</v>
      </c>
    </row>
    <row r="3800" spans="1:6" x14ac:dyDescent="0.3">
      <c r="A3800" t="s">
        <v>1864</v>
      </c>
      <c r="B3800" t="s">
        <v>1865</v>
      </c>
      <c r="C3800" t="str">
        <f>HYPERLINK("http://service.sap.com/sap/support/notes/1961185","1961185")</f>
        <v>1961185</v>
      </c>
      <c r="D3800">
        <v>1</v>
      </c>
      <c r="E3800" t="s">
        <v>1866</v>
      </c>
      <c r="F3800" t="s">
        <v>9</v>
      </c>
    </row>
    <row r="3801" spans="1:6" x14ac:dyDescent="0.3">
      <c r="A3801" t="s">
        <v>1864</v>
      </c>
      <c r="B3801" t="s">
        <v>1865</v>
      </c>
      <c r="C3801" t="str">
        <f>HYPERLINK("http://service.sap.com/sap/support/notes/1949239","1949239")</f>
        <v>1949239</v>
      </c>
      <c r="D3801">
        <v>1</v>
      </c>
      <c r="E3801" t="s">
        <v>2666</v>
      </c>
      <c r="F3801" t="s">
        <v>9</v>
      </c>
    </row>
    <row r="3802" spans="1:6" x14ac:dyDescent="0.3">
      <c r="A3802" t="s">
        <v>1864</v>
      </c>
      <c r="B3802" t="s">
        <v>1865</v>
      </c>
      <c r="C3802" t="str">
        <f>HYPERLINK("http://service.sap.com/sap/support/notes/1971883","1971883")</f>
        <v>1971883</v>
      </c>
      <c r="D3802">
        <v>1</v>
      </c>
      <c r="E3802" t="s">
        <v>2667</v>
      </c>
      <c r="F3802" t="s">
        <v>9</v>
      </c>
    </row>
    <row r="3803" spans="1:6" x14ac:dyDescent="0.3">
      <c r="A3803" t="s">
        <v>1864</v>
      </c>
      <c r="B3803" t="s">
        <v>1865</v>
      </c>
      <c r="C3803" t="str">
        <f>HYPERLINK("http://service.sap.com/sap/support/notes/1966242","1966242")</f>
        <v>1966242</v>
      </c>
      <c r="D3803">
        <v>1</v>
      </c>
      <c r="E3803" t="s">
        <v>3137</v>
      </c>
      <c r="F3803" t="s">
        <v>9</v>
      </c>
    </row>
    <row r="3804" spans="1:6" x14ac:dyDescent="0.3">
      <c r="A3804" t="s">
        <v>1864</v>
      </c>
      <c r="B3804" t="s">
        <v>1865</v>
      </c>
      <c r="C3804" t="str">
        <f>HYPERLINK("http://service.sap.com/sap/support/notes/2015185","2015185")</f>
        <v>2015185</v>
      </c>
      <c r="D3804">
        <v>1</v>
      </c>
      <c r="E3804" t="s">
        <v>4277</v>
      </c>
      <c r="F3804" t="s">
        <v>16</v>
      </c>
    </row>
    <row r="3805" spans="1:6" x14ac:dyDescent="0.3">
      <c r="A3805" t="s">
        <v>821</v>
      </c>
      <c r="B3805" t="s">
        <v>822</v>
      </c>
      <c r="C3805" t="str">
        <f>HYPERLINK("http://service.sap.com/sap/support/notes/1922730","1922730")</f>
        <v>1922730</v>
      </c>
      <c r="D3805">
        <v>5</v>
      </c>
      <c r="E3805" t="s">
        <v>823</v>
      </c>
      <c r="F3805" t="s">
        <v>35</v>
      </c>
    </row>
    <row r="3806" spans="1:6" x14ac:dyDescent="0.3">
      <c r="A3806" t="s">
        <v>821</v>
      </c>
      <c r="B3806" t="s">
        <v>822</v>
      </c>
      <c r="C3806" t="str">
        <f>HYPERLINK("http://service.sap.com/sap/support/notes/1936301","1936301")</f>
        <v>1936301</v>
      </c>
      <c r="D3806">
        <v>5</v>
      </c>
      <c r="E3806" t="s">
        <v>824</v>
      </c>
      <c r="F3806" t="s">
        <v>9</v>
      </c>
    </row>
    <row r="3807" spans="1:6" x14ac:dyDescent="0.3">
      <c r="A3807" t="s">
        <v>821</v>
      </c>
      <c r="B3807" t="s">
        <v>822</v>
      </c>
      <c r="C3807" t="str">
        <f>HYPERLINK("http://service.sap.com/sap/support/notes/1936301","1936301")</f>
        <v>1936301</v>
      </c>
      <c r="D3807">
        <v>5</v>
      </c>
      <c r="E3807" t="s">
        <v>824</v>
      </c>
      <c r="F3807" t="s">
        <v>9</v>
      </c>
    </row>
    <row r="3808" spans="1:6" x14ac:dyDescent="0.3">
      <c r="A3808" t="s">
        <v>821</v>
      </c>
      <c r="B3808" t="s">
        <v>822</v>
      </c>
      <c r="C3808" t="str">
        <f>HYPERLINK("http://service.sap.com/sap/support/notes/1937568","1937568")</f>
        <v>1937568</v>
      </c>
      <c r="D3808">
        <v>5</v>
      </c>
      <c r="E3808" t="s">
        <v>1329</v>
      </c>
      <c r="F3808" t="s">
        <v>9</v>
      </c>
    </row>
    <row r="3809" spans="1:6" x14ac:dyDescent="0.3">
      <c r="A3809" t="s">
        <v>821</v>
      </c>
      <c r="B3809" t="s">
        <v>822</v>
      </c>
      <c r="C3809" t="str">
        <f>HYPERLINK("http://service.sap.com/sap/support/notes/1940320","1940320")</f>
        <v>1940320</v>
      </c>
      <c r="D3809">
        <v>1</v>
      </c>
      <c r="E3809" t="s">
        <v>1330</v>
      </c>
      <c r="F3809" t="s">
        <v>16</v>
      </c>
    </row>
    <row r="3810" spans="1:6" x14ac:dyDescent="0.3">
      <c r="A3810" t="s">
        <v>821</v>
      </c>
      <c r="B3810" t="s">
        <v>822</v>
      </c>
      <c r="C3810" t="str">
        <f>HYPERLINK("http://service.sap.com/sap/support/notes/1936265","1936265")</f>
        <v>1936265</v>
      </c>
      <c r="D3810">
        <v>1</v>
      </c>
      <c r="E3810" t="s">
        <v>1867</v>
      </c>
      <c r="F3810" t="s">
        <v>9</v>
      </c>
    </row>
    <row r="3811" spans="1:6" x14ac:dyDescent="0.3">
      <c r="A3811" t="s">
        <v>821</v>
      </c>
      <c r="B3811" t="s">
        <v>822</v>
      </c>
      <c r="C3811" t="str">
        <f>HYPERLINK("http://service.sap.com/sap/support/notes/1953847","1953847")</f>
        <v>1953847</v>
      </c>
      <c r="D3811">
        <v>6</v>
      </c>
      <c r="E3811" t="s">
        <v>1868</v>
      </c>
      <c r="F3811" t="s">
        <v>9</v>
      </c>
    </row>
    <row r="3812" spans="1:6" x14ac:dyDescent="0.3">
      <c r="A3812" t="s">
        <v>821</v>
      </c>
      <c r="B3812" t="s">
        <v>822</v>
      </c>
      <c r="C3812" t="str">
        <f>HYPERLINK("http://service.sap.com/sap/support/notes/1978246","1978246")</f>
        <v>1978246</v>
      </c>
      <c r="D3812">
        <v>2</v>
      </c>
      <c r="E3812" t="s">
        <v>2668</v>
      </c>
      <c r="F3812" t="s">
        <v>9</v>
      </c>
    </row>
    <row r="3813" spans="1:6" x14ac:dyDescent="0.3">
      <c r="A3813" t="s">
        <v>821</v>
      </c>
      <c r="B3813" t="s">
        <v>822</v>
      </c>
      <c r="C3813" t="str">
        <f>HYPERLINK("http://service.sap.com/sap/support/notes/1980229","1980229")</f>
        <v>1980229</v>
      </c>
      <c r="D3813">
        <v>5</v>
      </c>
      <c r="E3813" t="s">
        <v>2669</v>
      </c>
      <c r="F3813" t="s">
        <v>9</v>
      </c>
    </row>
    <row r="3814" spans="1:6" x14ac:dyDescent="0.3">
      <c r="A3814" t="s">
        <v>821</v>
      </c>
      <c r="B3814" t="s">
        <v>822</v>
      </c>
      <c r="C3814" t="str">
        <f>HYPERLINK("http://service.sap.com/sap/support/notes/1980639","1980639")</f>
        <v>1980639</v>
      </c>
      <c r="D3814">
        <v>3</v>
      </c>
      <c r="E3814" t="s">
        <v>3138</v>
      </c>
      <c r="F3814" t="s">
        <v>9</v>
      </c>
    </row>
    <row r="3815" spans="1:6" x14ac:dyDescent="0.3">
      <c r="A3815" t="s">
        <v>821</v>
      </c>
      <c r="B3815" t="s">
        <v>822</v>
      </c>
      <c r="C3815" t="str">
        <f>HYPERLINK("http://service.sap.com/sap/support/notes/1994061","1994061")</f>
        <v>1994061</v>
      </c>
      <c r="D3815">
        <v>1</v>
      </c>
      <c r="E3815" t="s">
        <v>3139</v>
      </c>
      <c r="F3815" t="s">
        <v>9</v>
      </c>
    </row>
    <row r="3816" spans="1:6" x14ac:dyDescent="0.3">
      <c r="A3816" t="s">
        <v>821</v>
      </c>
      <c r="B3816" t="s">
        <v>822</v>
      </c>
      <c r="C3816" t="str">
        <f>HYPERLINK("http://service.sap.com/sap/support/notes/1994061","1994061")</f>
        <v>1994061</v>
      </c>
      <c r="D3816">
        <v>1</v>
      </c>
      <c r="E3816" t="s">
        <v>3139</v>
      </c>
      <c r="F3816" t="s">
        <v>9</v>
      </c>
    </row>
    <row r="3817" spans="1:6" x14ac:dyDescent="0.3">
      <c r="A3817" t="s">
        <v>821</v>
      </c>
      <c r="B3817" t="s">
        <v>822</v>
      </c>
      <c r="C3817" t="str">
        <f>HYPERLINK("http://service.sap.com/sap/support/notes/1999235","1999235")</f>
        <v>1999235</v>
      </c>
      <c r="D3817">
        <v>1</v>
      </c>
      <c r="E3817" t="s">
        <v>3783</v>
      </c>
      <c r="F3817" t="s">
        <v>9</v>
      </c>
    </row>
    <row r="3818" spans="1:6" x14ac:dyDescent="0.3">
      <c r="A3818" t="s">
        <v>821</v>
      </c>
      <c r="B3818" t="s">
        <v>822</v>
      </c>
      <c r="C3818" t="str">
        <f>HYPERLINK("http://service.sap.com/sap/support/notes/2009003","2009003")</f>
        <v>2009003</v>
      </c>
      <c r="D3818">
        <v>3</v>
      </c>
      <c r="E3818" t="s">
        <v>3784</v>
      </c>
      <c r="F3818" t="s">
        <v>9</v>
      </c>
    </row>
    <row r="3819" spans="1:6" x14ac:dyDescent="0.3">
      <c r="A3819" t="s">
        <v>821</v>
      </c>
      <c r="B3819" t="s">
        <v>822</v>
      </c>
      <c r="C3819" t="str">
        <f>HYPERLINK("http://service.sap.com/sap/support/notes/2009003","2009003")</f>
        <v>2009003</v>
      </c>
      <c r="D3819">
        <v>3</v>
      </c>
      <c r="E3819" t="s">
        <v>3784</v>
      </c>
      <c r="F3819" t="s">
        <v>9</v>
      </c>
    </row>
    <row r="3820" spans="1:6" x14ac:dyDescent="0.3">
      <c r="A3820" t="s">
        <v>821</v>
      </c>
      <c r="B3820" t="s">
        <v>822</v>
      </c>
      <c r="C3820" t="str">
        <f>HYPERLINK("http://service.sap.com/sap/support/notes/2013517","2013517")</f>
        <v>2013517</v>
      </c>
      <c r="D3820">
        <v>1</v>
      </c>
      <c r="E3820" t="s">
        <v>4278</v>
      </c>
      <c r="F3820" t="s">
        <v>9</v>
      </c>
    </row>
    <row r="3821" spans="1:6" x14ac:dyDescent="0.3">
      <c r="A3821" t="s">
        <v>821</v>
      </c>
      <c r="B3821" t="s">
        <v>822</v>
      </c>
      <c r="C3821" t="str">
        <f>HYPERLINK("http://service.sap.com/sap/support/notes/2019777","2019777")</f>
        <v>2019777</v>
      </c>
      <c r="D3821">
        <v>3</v>
      </c>
      <c r="E3821" t="s">
        <v>4279</v>
      </c>
      <c r="F3821" t="s">
        <v>9</v>
      </c>
    </row>
    <row r="3822" spans="1:6" x14ac:dyDescent="0.3">
      <c r="A3822" t="s">
        <v>821</v>
      </c>
      <c r="B3822" t="s">
        <v>822</v>
      </c>
      <c r="C3822" t="str">
        <f>HYPERLINK("http://service.sap.com/sap/support/notes/2021919","2021919")</f>
        <v>2021919</v>
      </c>
      <c r="D3822">
        <v>4</v>
      </c>
      <c r="E3822" t="s">
        <v>4280</v>
      </c>
      <c r="F3822" t="s">
        <v>9</v>
      </c>
    </row>
    <row r="3823" spans="1:6" x14ac:dyDescent="0.3">
      <c r="A3823" t="s">
        <v>821</v>
      </c>
      <c r="B3823" t="s">
        <v>822</v>
      </c>
      <c r="C3823" t="str">
        <f>HYPERLINK("http://service.sap.com/sap/support/notes/2009003","2009003")</f>
        <v>2009003</v>
      </c>
      <c r="D3823">
        <v>3</v>
      </c>
      <c r="E3823" t="s">
        <v>3784</v>
      </c>
      <c r="F3823" t="s">
        <v>9</v>
      </c>
    </row>
    <row r="3824" spans="1:6" x14ac:dyDescent="0.3">
      <c r="A3824" t="s">
        <v>821</v>
      </c>
      <c r="B3824" t="s">
        <v>822</v>
      </c>
      <c r="C3824" t="str">
        <f>HYPERLINK("http://service.sap.com/sap/support/notes/2027123","2027123")</f>
        <v>2027123</v>
      </c>
      <c r="D3824">
        <v>1</v>
      </c>
      <c r="E3824" t="s">
        <v>4601</v>
      </c>
      <c r="F3824" t="s">
        <v>9</v>
      </c>
    </row>
    <row r="3825" spans="1:6" x14ac:dyDescent="0.3">
      <c r="A3825" t="s">
        <v>821</v>
      </c>
      <c r="B3825" t="s">
        <v>822</v>
      </c>
      <c r="C3825" t="str">
        <f>HYPERLINK("http://service.sap.com/sap/support/notes/2034516","2034516")</f>
        <v>2034516</v>
      </c>
      <c r="D3825">
        <v>1</v>
      </c>
      <c r="E3825" t="s">
        <v>4955</v>
      </c>
      <c r="F3825" t="s">
        <v>9</v>
      </c>
    </row>
    <row r="3826" spans="1:6" x14ac:dyDescent="0.3">
      <c r="A3826" t="s">
        <v>821</v>
      </c>
      <c r="B3826" t="s">
        <v>822</v>
      </c>
      <c r="C3826" t="str">
        <f>HYPERLINK("http://service.sap.com/sap/support/notes/2042623","2042623")</f>
        <v>2042623</v>
      </c>
      <c r="D3826">
        <v>1</v>
      </c>
      <c r="E3826" t="s">
        <v>4956</v>
      </c>
      <c r="F3826" t="s">
        <v>9</v>
      </c>
    </row>
    <row r="3827" spans="1:6" x14ac:dyDescent="0.3">
      <c r="A3827" t="s">
        <v>821</v>
      </c>
      <c r="B3827" t="s">
        <v>822</v>
      </c>
      <c r="C3827" t="str">
        <f>HYPERLINK("http://service.sap.com/sap/support/notes/2046865","2046865")</f>
        <v>2046865</v>
      </c>
      <c r="D3827">
        <v>1</v>
      </c>
      <c r="E3827" t="s">
        <v>4957</v>
      </c>
      <c r="F3827" t="s">
        <v>9</v>
      </c>
    </row>
    <row r="3828" spans="1:6" x14ac:dyDescent="0.3">
      <c r="A3828" t="s">
        <v>821</v>
      </c>
      <c r="B3828" t="s">
        <v>822</v>
      </c>
      <c r="C3828" t="str">
        <f>HYPERLINK("http://service.sap.com/sap/support/notes/2054407","2054407")</f>
        <v>2054407</v>
      </c>
      <c r="D3828">
        <v>1</v>
      </c>
      <c r="E3828" t="s">
        <v>5292</v>
      </c>
      <c r="F3828" t="s">
        <v>9</v>
      </c>
    </row>
    <row r="3829" spans="1:6" x14ac:dyDescent="0.3">
      <c r="A3829" t="s">
        <v>821</v>
      </c>
      <c r="B3829" t="s">
        <v>822</v>
      </c>
      <c r="C3829" t="str">
        <f>HYPERLINK("http://service.sap.com/sap/support/notes/2055921","2055921")</f>
        <v>2055921</v>
      </c>
      <c r="D3829">
        <v>1</v>
      </c>
      <c r="E3829" t="s">
        <v>5293</v>
      </c>
      <c r="F3829" t="s">
        <v>9</v>
      </c>
    </row>
    <row r="3830" spans="1:6" x14ac:dyDescent="0.3">
      <c r="A3830" t="s">
        <v>821</v>
      </c>
      <c r="B3830" t="s">
        <v>822</v>
      </c>
      <c r="C3830" t="str">
        <f>HYPERLINK("http://service.sap.com/sap/support/notes/2057126","2057126")</f>
        <v>2057126</v>
      </c>
      <c r="D3830">
        <v>1</v>
      </c>
      <c r="E3830" t="s">
        <v>5294</v>
      </c>
      <c r="F3830" t="s">
        <v>9</v>
      </c>
    </row>
    <row r="3831" spans="1:6" x14ac:dyDescent="0.3">
      <c r="A3831" t="s">
        <v>821</v>
      </c>
      <c r="B3831" t="s">
        <v>822</v>
      </c>
      <c r="C3831" t="str">
        <f>HYPERLINK("http://service.sap.com/sap/support/notes/2064156","2064156")</f>
        <v>2064156</v>
      </c>
      <c r="D3831">
        <v>2</v>
      </c>
      <c r="E3831" t="s">
        <v>5631</v>
      </c>
      <c r="F3831" t="s">
        <v>9</v>
      </c>
    </row>
    <row r="3832" spans="1:6" x14ac:dyDescent="0.3">
      <c r="A3832" t="s">
        <v>821</v>
      </c>
      <c r="B3832" t="s">
        <v>822</v>
      </c>
      <c r="C3832" t="str">
        <f>HYPERLINK("http://service.sap.com/sap/support/notes/2067874","2067874")</f>
        <v>2067874</v>
      </c>
      <c r="D3832">
        <v>2</v>
      </c>
      <c r="E3832" t="s">
        <v>5632</v>
      </c>
      <c r="F3832" t="s">
        <v>9</v>
      </c>
    </row>
    <row r="3833" spans="1:6" x14ac:dyDescent="0.3">
      <c r="A3833" t="s">
        <v>825</v>
      </c>
      <c r="B3833" t="s">
        <v>193</v>
      </c>
      <c r="C3833" t="str">
        <f>HYPERLINK("http://service.sap.com/sap/support/notes/1911204","1911204")</f>
        <v>1911204</v>
      </c>
      <c r="D3833">
        <v>3</v>
      </c>
      <c r="E3833" t="s">
        <v>1331</v>
      </c>
      <c r="F3833" t="s">
        <v>9</v>
      </c>
    </row>
    <row r="3834" spans="1:6" x14ac:dyDescent="0.3">
      <c r="A3834" t="s">
        <v>825</v>
      </c>
      <c r="B3834" t="s">
        <v>193</v>
      </c>
      <c r="C3834" t="str">
        <f>HYPERLINK("http://service.sap.com/sap/support/notes/1934620","1934620")</f>
        <v>1934620</v>
      </c>
      <c r="D3834">
        <v>1</v>
      </c>
      <c r="E3834" t="s">
        <v>1332</v>
      </c>
      <c r="F3834" t="s">
        <v>35</v>
      </c>
    </row>
    <row r="3835" spans="1:6" x14ac:dyDescent="0.3">
      <c r="A3835" t="s">
        <v>825</v>
      </c>
      <c r="B3835" t="s">
        <v>193</v>
      </c>
      <c r="C3835" t="str">
        <f>HYPERLINK("http://service.sap.com/sap/support/notes/1882555","1882555")</f>
        <v>1882555</v>
      </c>
      <c r="D3835">
        <v>6</v>
      </c>
      <c r="E3835" t="s">
        <v>1869</v>
      </c>
      <c r="F3835" t="s">
        <v>9</v>
      </c>
    </row>
    <row r="3836" spans="1:6" x14ac:dyDescent="0.3">
      <c r="A3836" t="s">
        <v>825</v>
      </c>
      <c r="B3836" t="s">
        <v>193</v>
      </c>
      <c r="C3836" t="str">
        <f>HYPERLINK("http://service.sap.com/sap/support/notes/1931045","1931045")</f>
        <v>1931045</v>
      </c>
      <c r="D3836">
        <v>2</v>
      </c>
      <c r="E3836" t="s">
        <v>1870</v>
      </c>
      <c r="F3836" t="s">
        <v>9</v>
      </c>
    </row>
    <row r="3837" spans="1:6" x14ac:dyDescent="0.3">
      <c r="A3837" t="s">
        <v>825</v>
      </c>
      <c r="B3837" t="s">
        <v>193</v>
      </c>
      <c r="C3837" t="str">
        <f>HYPERLINK("http://service.sap.com/sap/support/notes/1936252","1936252")</f>
        <v>1936252</v>
      </c>
      <c r="D3837">
        <v>1</v>
      </c>
      <c r="E3837" t="s">
        <v>1871</v>
      </c>
      <c r="F3837" t="s">
        <v>9</v>
      </c>
    </row>
    <row r="3838" spans="1:6" x14ac:dyDescent="0.3">
      <c r="A3838" t="s">
        <v>825</v>
      </c>
      <c r="B3838" t="s">
        <v>193</v>
      </c>
      <c r="C3838" t="str">
        <f>HYPERLINK("http://service.sap.com/sap/support/notes/1944330","1944330")</f>
        <v>1944330</v>
      </c>
      <c r="D3838">
        <v>2</v>
      </c>
      <c r="E3838" t="s">
        <v>1872</v>
      </c>
      <c r="F3838" t="s">
        <v>9</v>
      </c>
    </row>
    <row r="3839" spans="1:6" x14ac:dyDescent="0.3">
      <c r="A3839" t="s">
        <v>825</v>
      </c>
      <c r="B3839" t="s">
        <v>193</v>
      </c>
      <c r="C3839" t="str">
        <f>HYPERLINK("http://service.sap.com/sap/support/notes/1945665","1945665")</f>
        <v>1945665</v>
      </c>
      <c r="D3839">
        <v>3</v>
      </c>
      <c r="E3839" t="s">
        <v>1873</v>
      </c>
      <c r="F3839" t="s">
        <v>9</v>
      </c>
    </row>
    <row r="3840" spans="1:6" x14ac:dyDescent="0.3">
      <c r="A3840" t="s">
        <v>825</v>
      </c>
      <c r="B3840" t="s">
        <v>193</v>
      </c>
      <c r="C3840" t="str">
        <f>HYPERLINK("http://service.sap.com/sap/support/notes/1949006","1949006")</f>
        <v>1949006</v>
      </c>
      <c r="D3840">
        <v>1</v>
      </c>
      <c r="E3840" t="s">
        <v>1874</v>
      </c>
      <c r="F3840" t="s">
        <v>28</v>
      </c>
    </row>
    <row r="3841" spans="1:6" x14ac:dyDescent="0.3">
      <c r="A3841" t="s">
        <v>825</v>
      </c>
      <c r="B3841" t="s">
        <v>193</v>
      </c>
      <c r="C3841" t="str">
        <f>HYPERLINK("http://service.sap.com/sap/support/notes/1953642","1953642")</f>
        <v>1953642</v>
      </c>
      <c r="D3841">
        <v>8</v>
      </c>
      <c r="E3841" t="s">
        <v>1875</v>
      </c>
      <c r="F3841" t="s">
        <v>28</v>
      </c>
    </row>
    <row r="3842" spans="1:6" x14ac:dyDescent="0.3">
      <c r="A3842" t="s">
        <v>825</v>
      </c>
      <c r="B3842" t="s">
        <v>193</v>
      </c>
      <c r="C3842" t="str">
        <f>HYPERLINK("http://service.sap.com/sap/support/notes/1955009","1955009")</f>
        <v>1955009</v>
      </c>
      <c r="D3842">
        <v>3</v>
      </c>
      <c r="E3842" t="s">
        <v>1876</v>
      </c>
      <c r="F3842" t="s">
        <v>9</v>
      </c>
    </row>
    <row r="3843" spans="1:6" x14ac:dyDescent="0.3">
      <c r="A3843" t="s">
        <v>825</v>
      </c>
      <c r="B3843" t="s">
        <v>193</v>
      </c>
      <c r="C3843" t="str">
        <f>HYPERLINK("http://service.sap.com/sap/support/notes/1956098","1956098")</f>
        <v>1956098</v>
      </c>
      <c r="D3843">
        <v>1</v>
      </c>
      <c r="E3843" t="s">
        <v>1877</v>
      </c>
      <c r="F3843" t="s">
        <v>28</v>
      </c>
    </row>
    <row r="3844" spans="1:6" x14ac:dyDescent="0.3">
      <c r="A3844" t="s">
        <v>825</v>
      </c>
      <c r="B3844" t="s">
        <v>193</v>
      </c>
      <c r="C3844" t="str">
        <f>HYPERLINK("http://service.sap.com/sap/support/notes/1958949","1958949")</f>
        <v>1958949</v>
      </c>
      <c r="D3844">
        <v>1</v>
      </c>
      <c r="E3844" t="s">
        <v>1878</v>
      </c>
      <c r="F3844" t="s">
        <v>9</v>
      </c>
    </row>
    <row r="3845" spans="1:6" x14ac:dyDescent="0.3">
      <c r="A3845" t="s">
        <v>825</v>
      </c>
      <c r="B3845" t="s">
        <v>193</v>
      </c>
      <c r="C3845" t="str">
        <f>HYPERLINK("http://service.sap.com/sap/support/notes/1960888","1960888")</f>
        <v>1960888</v>
      </c>
      <c r="D3845">
        <v>1</v>
      </c>
      <c r="E3845" t="s">
        <v>1879</v>
      </c>
      <c r="F3845" t="s">
        <v>9</v>
      </c>
    </row>
    <row r="3846" spans="1:6" x14ac:dyDescent="0.3">
      <c r="A3846" t="s">
        <v>825</v>
      </c>
      <c r="B3846" t="s">
        <v>193</v>
      </c>
      <c r="C3846" t="str">
        <f>HYPERLINK("http://service.sap.com/sap/support/notes/1960943","1960943")</f>
        <v>1960943</v>
      </c>
      <c r="D3846">
        <v>1</v>
      </c>
      <c r="E3846" t="s">
        <v>1880</v>
      </c>
      <c r="F3846" t="s">
        <v>9</v>
      </c>
    </row>
    <row r="3847" spans="1:6" x14ac:dyDescent="0.3">
      <c r="A3847" t="s">
        <v>825</v>
      </c>
      <c r="B3847" t="s">
        <v>193</v>
      </c>
      <c r="C3847" t="str">
        <f>HYPERLINK("http://service.sap.com/sap/support/notes/1959345","1959345")</f>
        <v>1959345</v>
      </c>
      <c r="D3847">
        <v>6</v>
      </c>
      <c r="E3847" t="s">
        <v>2273</v>
      </c>
      <c r="F3847" t="s">
        <v>9</v>
      </c>
    </row>
    <row r="3848" spans="1:6" x14ac:dyDescent="0.3">
      <c r="A3848" t="s">
        <v>825</v>
      </c>
      <c r="B3848" t="s">
        <v>193</v>
      </c>
      <c r="C3848" t="str">
        <f>HYPERLINK("http://service.sap.com/sap/support/notes/1960932","1960932")</f>
        <v>1960932</v>
      </c>
      <c r="D3848">
        <v>8</v>
      </c>
      <c r="E3848" t="s">
        <v>2274</v>
      </c>
      <c r="F3848" t="s">
        <v>9</v>
      </c>
    </row>
    <row r="3849" spans="1:6" x14ac:dyDescent="0.3">
      <c r="A3849" t="s">
        <v>825</v>
      </c>
      <c r="B3849" t="s">
        <v>193</v>
      </c>
      <c r="C3849" t="str">
        <f>HYPERLINK("http://service.sap.com/sap/support/notes/1962226","1962226")</f>
        <v>1962226</v>
      </c>
      <c r="D3849">
        <v>2</v>
      </c>
      <c r="E3849" t="s">
        <v>2275</v>
      </c>
      <c r="F3849" t="s">
        <v>9</v>
      </c>
    </row>
    <row r="3850" spans="1:6" x14ac:dyDescent="0.3">
      <c r="A3850" t="s">
        <v>825</v>
      </c>
      <c r="B3850" t="s">
        <v>193</v>
      </c>
      <c r="C3850" t="str">
        <f>HYPERLINK("http://service.sap.com/sap/support/notes/1962773","1962773")</f>
        <v>1962773</v>
      </c>
      <c r="D3850">
        <v>1</v>
      </c>
      <c r="E3850" t="s">
        <v>2276</v>
      </c>
      <c r="F3850" t="s">
        <v>9</v>
      </c>
    </row>
    <row r="3851" spans="1:6" x14ac:dyDescent="0.3">
      <c r="A3851" t="s">
        <v>825</v>
      </c>
      <c r="B3851" t="s">
        <v>193</v>
      </c>
      <c r="C3851" t="str">
        <f>HYPERLINK("http://service.sap.com/sap/support/notes/1966412","1966412")</f>
        <v>1966412</v>
      </c>
      <c r="D3851">
        <v>2</v>
      </c>
      <c r="E3851" t="s">
        <v>2277</v>
      </c>
      <c r="F3851" t="s">
        <v>9</v>
      </c>
    </row>
    <row r="3852" spans="1:6" x14ac:dyDescent="0.3">
      <c r="A3852" t="s">
        <v>825</v>
      </c>
      <c r="B3852" t="s">
        <v>193</v>
      </c>
      <c r="C3852" t="str">
        <f>HYPERLINK("http://service.sap.com/sap/support/notes/1967082","1967082")</f>
        <v>1967082</v>
      </c>
      <c r="D3852">
        <v>2</v>
      </c>
      <c r="E3852" t="s">
        <v>2278</v>
      </c>
      <c r="F3852" t="s">
        <v>9</v>
      </c>
    </row>
    <row r="3853" spans="1:6" x14ac:dyDescent="0.3">
      <c r="A3853" t="s">
        <v>825</v>
      </c>
      <c r="B3853" t="s">
        <v>193</v>
      </c>
      <c r="C3853" t="str">
        <f>HYPERLINK("http://service.sap.com/sap/support/notes/1972070","1972070")</f>
        <v>1972070</v>
      </c>
      <c r="D3853">
        <v>18</v>
      </c>
      <c r="E3853" t="s">
        <v>2670</v>
      </c>
      <c r="F3853" t="s">
        <v>9</v>
      </c>
    </row>
    <row r="3854" spans="1:6" x14ac:dyDescent="0.3">
      <c r="A3854" t="s">
        <v>825</v>
      </c>
      <c r="B3854" t="s">
        <v>193</v>
      </c>
      <c r="C3854" t="str">
        <f>HYPERLINK("http://service.sap.com/sap/support/notes/1851323","1851323")</f>
        <v>1851323</v>
      </c>
      <c r="D3854">
        <v>3</v>
      </c>
      <c r="E3854" t="s">
        <v>3140</v>
      </c>
      <c r="F3854" t="s">
        <v>9</v>
      </c>
    </row>
    <row r="3855" spans="1:6" x14ac:dyDescent="0.3">
      <c r="A3855" t="s">
        <v>825</v>
      </c>
      <c r="B3855" t="s">
        <v>193</v>
      </c>
      <c r="C3855" t="str">
        <f>HYPERLINK("http://service.sap.com/sap/support/notes/1856651","1856651")</f>
        <v>1856651</v>
      </c>
      <c r="D3855">
        <v>2</v>
      </c>
      <c r="E3855" t="s">
        <v>3141</v>
      </c>
      <c r="F3855" t="s">
        <v>9</v>
      </c>
    </row>
    <row r="3856" spans="1:6" x14ac:dyDescent="0.3">
      <c r="A3856" t="s">
        <v>825</v>
      </c>
      <c r="B3856" t="s">
        <v>193</v>
      </c>
      <c r="C3856" t="str">
        <f>HYPERLINK("http://service.sap.com/sap/support/notes/1962312","1962312")</f>
        <v>1962312</v>
      </c>
      <c r="D3856">
        <v>4</v>
      </c>
      <c r="E3856" t="s">
        <v>3142</v>
      </c>
      <c r="F3856" t="s">
        <v>9</v>
      </c>
    </row>
    <row r="3857" spans="1:6" x14ac:dyDescent="0.3">
      <c r="A3857" t="s">
        <v>825</v>
      </c>
      <c r="B3857" t="s">
        <v>193</v>
      </c>
      <c r="C3857" t="str">
        <f>HYPERLINK("http://service.sap.com/sap/support/notes/1966480","1966480")</f>
        <v>1966480</v>
      </c>
      <c r="D3857">
        <v>1</v>
      </c>
      <c r="E3857" t="s">
        <v>3143</v>
      </c>
      <c r="F3857" t="s">
        <v>9</v>
      </c>
    </row>
    <row r="3858" spans="1:6" x14ac:dyDescent="0.3">
      <c r="A3858" t="s">
        <v>825</v>
      </c>
      <c r="B3858" t="s">
        <v>193</v>
      </c>
      <c r="C3858" t="str">
        <f>HYPERLINK("http://service.sap.com/sap/support/notes/1970487","1970487")</f>
        <v>1970487</v>
      </c>
      <c r="D3858">
        <v>2</v>
      </c>
      <c r="E3858" t="s">
        <v>3144</v>
      </c>
      <c r="F3858" t="s">
        <v>9</v>
      </c>
    </row>
    <row r="3859" spans="1:6" x14ac:dyDescent="0.3">
      <c r="A3859" t="s">
        <v>825</v>
      </c>
      <c r="B3859" t="s">
        <v>193</v>
      </c>
      <c r="C3859" t="str">
        <f>HYPERLINK("http://service.sap.com/sap/support/notes/1982569","1982569")</f>
        <v>1982569</v>
      </c>
      <c r="D3859">
        <v>2</v>
      </c>
      <c r="E3859" t="s">
        <v>3145</v>
      </c>
      <c r="F3859" t="s">
        <v>9</v>
      </c>
    </row>
    <row r="3860" spans="1:6" x14ac:dyDescent="0.3">
      <c r="A3860" t="s">
        <v>825</v>
      </c>
      <c r="B3860" t="s">
        <v>193</v>
      </c>
      <c r="C3860" t="str">
        <f>HYPERLINK("http://service.sap.com/sap/support/notes/1975152","1975152")</f>
        <v>1975152</v>
      </c>
      <c r="D3860">
        <v>14</v>
      </c>
      <c r="E3860" t="s">
        <v>3785</v>
      </c>
      <c r="F3860" t="s">
        <v>9</v>
      </c>
    </row>
    <row r="3861" spans="1:6" x14ac:dyDescent="0.3">
      <c r="A3861" t="s">
        <v>825</v>
      </c>
      <c r="B3861" t="s">
        <v>193</v>
      </c>
      <c r="C3861" t="str">
        <f>HYPERLINK("http://service.sap.com/sap/support/notes/1976746","1976746")</f>
        <v>1976746</v>
      </c>
      <c r="D3861">
        <v>1</v>
      </c>
      <c r="E3861" t="s">
        <v>3786</v>
      </c>
      <c r="F3861" t="s">
        <v>9</v>
      </c>
    </row>
    <row r="3862" spans="1:6" x14ac:dyDescent="0.3">
      <c r="A3862" t="s">
        <v>825</v>
      </c>
      <c r="B3862" t="s">
        <v>193</v>
      </c>
      <c r="C3862" t="str">
        <f>HYPERLINK("http://service.sap.com/sap/support/notes/1978309","1978309")</f>
        <v>1978309</v>
      </c>
      <c r="D3862">
        <v>3</v>
      </c>
      <c r="E3862" t="s">
        <v>3787</v>
      </c>
      <c r="F3862" t="s">
        <v>9</v>
      </c>
    </row>
    <row r="3863" spans="1:6" x14ac:dyDescent="0.3">
      <c r="A3863" t="s">
        <v>825</v>
      </c>
      <c r="B3863" t="s">
        <v>193</v>
      </c>
      <c r="C3863" t="str">
        <f>HYPERLINK("http://service.sap.com/sap/support/notes/1992828","1992828")</f>
        <v>1992828</v>
      </c>
      <c r="D3863">
        <v>12</v>
      </c>
      <c r="E3863" t="s">
        <v>3788</v>
      </c>
      <c r="F3863" t="s">
        <v>9</v>
      </c>
    </row>
    <row r="3864" spans="1:6" x14ac:dyDescent="0.3">
      <c r="A3864" t="s">
        <v>825</v>
      </c>
      <c r="B3864" t="s">
        <v>193</v>
      </c>
      <c r="C3864" t="str">
        <f>HYPERLINK("http://service.sap.com/sap/support/notes/1994037","1994037")</f>
        <v>1994037</v>
      </c>
      <c r="D3864">
        <v>1</v>
      </c>
      <c r="E3864" t="s">
        <v>3789</v>
      </c>
      <c r="F3864" t="s">
        <v>9</v>
      </c>
    </row>
    <row r="3865" spans="1:6" x14ac:dyDescent="0.3">
      <c r="A3865" t="s">
        <v>825</v>
      </c>
      <c r="B3865" t="s">
        <v>193</v>
      </c>
      <c r="C3865" t="str">
        <f>HYPERLINK("http://service.sap.com/sap/support/notes/2004673","2004673")</f>
        <v>2004673</v>
      </c>
      <c r="D3865">
        <v>3</v>
      </c>
      <c r="E3865" t="s">
        <v>3790</v>
      </c>
      <c r="F3865" t="s">
        <v>9</v>
      </c>
    </row>
    <row r="3866" spans="1:6" x14ac:dyDescent="0.3">
      <c r="A3866" t="s">
        <v>825</v>
      </c>
      <c r="B3866" t="s">
        <v>193</v>
      </c>
      <c r="C3866" t="str">
        <f>HYPERLINK("http://service.sap.com/sap/support/notes/2007047","2007047")</f>
        <v>2007047</v>
      </c>
      <c r="D3866">
        <v>1</v>
      </c>
      <c r="E3866" t="s">
        <v>3791</v>
      </c>
      <c r="F3866" t="s">
        <v>9</v>
      </c>
    </row>
    <row r="3867" spans="1:6" x14ac:dyDescent="0.3">
      <c r="A3867" t="s">
        <v>825</v>
      </c>
      <c r="B3867" t="s">
        <v>193</v>
      </c>
      <c r="C3867" t="str">
        <f>HYPERLINK("http://service.sap.com/sap/support/notes/2007159","2007159")</f>
        <v>2007159</v>
      </c>
      <c r="D3867">
        <v>1</v>
      </c>
      <c r="E3867" t="s">
        <v>3792</v>
      </c>
      <c r="F3867" t="s">
        <v>9</v>
      </c>
    </row>
    <row r="3868" spans="1:6" x14ac:dyDescent="0.3">
      <c r="A3868" t="s">
        <v>825</v>
      </c>
      <c r="B3868" t="s">
        <v>193</v>
      </c>
      <c r="C3868" t="str">
        <f>HYPERLINK("http://service.sap.com/sap/support/notes/2009268","2009268")</f>
        <v>2009268</v>
      </c>
      <c r="D3868">
        <v>1</v>
      </c>
      <c r="E3868" t="s">
        <v>3793</v>
      </c>
      <c r="F3868" t="s">
        <v>9</v>
      </c>
    </row>
    <row r="3869" spans="1:6" x14ac:dyDescent="0.3">
      <c r="A3869" t="s">
        <v>825</v>
      </c>
      <c r="B3869" t="s">
        <v>193</v>
      </c>
      <c r="C3869" t="str">
        <f>HYPERLINK("http://service.sap.com/sap/support/notes/2000481","2000481")</f>
        <v>2000481</v>
      </c>
      <c r="D3869">
        <v>10</v>
      </c>
      <c r="E3869" t="s">
        <v>4281</v>
      </c>
      <c r="F3869" t="s">
        <v>9</v>
      </c>
    </row>
    <row r="3870" spans="1:6" x14ac:dyDescent="0.3">
      <c r="A3870" t="s">
        <v>825</v>
      </c>
      <c r="B3870" t="s">
        <v>193</v>
      </c>
      <c r="C3870" t="str">
        <f>HYPERLINK("http://service.sap.com/sap/support/notes/2014423","2014423")</f>
        <v>2014423</v>
      </c>
      <c r="D3870">
        <v>1</v>
      </c>
      <c r="E3870" t="s">
        <v>4282</v>
      </c>
      <c r="F3870" t="s">
        <v>16</v>
      </c>
    </row>
    <row r="3871" spans="1:6" x14ac:dyDescent="0.3">
      <c r="A3871" t="s">
        <v>825</v>
      </c>
      <c r="B3871" t="s">
        <v>193</v>
      </c>
      <c r="C3871" t="str">
        <f>HYPERLINK("http://service.sap.com/sap/support/notes/2014455","2014455")</f>
        <v>2014455</v>
      </c>
      <c r="D3871">
        <v>5</v>
      </c>
      <c r="E3871" t="s">
        <v>4602</v>
      </c>
      <c r="F3871" t="s">
        <v>9</v>
      </c>
    </row>
    <row r="3872" spans="1:6" x14ac:dyDescent="0.3">
      <c r="A3872" t="s">
        <v>825</v>
      </c>
      <c r="B3872" t="s">
        <v>193</v>
      </c>
      <c r="C3872" t="str">
        <f>HYPERLINK("http://service.sap.com/sap/support/notes/2018557","2018557")</f>
        <v>2018557</v>
      </c>
      <c r="D3872">
        <v>4</v>
      </c>
      <c r="E3872" t="s">
        <v>4603</v>
      </c>
      <c r="F3872" t="s">
        <v>9</v>
      </c>
    </row>
    <row r="3873" spans="1:6" x14ac:dyDescent="0.3">
      <c r="A3873" t="s">
        <v>825</v>
      </c>
      <c r="B3873" t="s">
        <v>193</v>
      </c>
      <c r="C3873" t="str">
        <f>HYPERLINK("http://service.sap.com/sap/support/notes/2014384","2014384")</f>
        <v>2014384</v>
      </c>
      <c r="D3873">
        <v>5</v>
      </c>
      <c r="E3873" t="s">
        <v>4958</v>
      </c>
      <c r="F3873" t="s">
        <v>9</v>
      </c>
    </row>
    <row r="3874" spans="1:6" x14ac:dyDescent="0.3">
      <c r="A3874" t="s">
        <v>825</v>
      </c>
      <c r="B3874" t="s">
        <v>193</v>
      </c>
      <c r="C3874" t="str">
        <f>HYPERLINK("http://service.sap.com/sap/support/notes/2015347","2015347")</f>
        <v>2015347</v>
      </c>
      <c r="D3874">
        <v>4</v>
      </c>
      <c r="E3874" t="s">
        <v>4959</v>
      </c>
      <c r="F3874" t="s">
        <v>9</v>
      </c>
    </row>
    <row r="3875" spans="1:6" x14ac:dyDescent="0.3">
      <c r="A3875" t="s">
        <v>825</v>
      </c>
      <c r="B3875" t="s">
        <v>193</v>
      </c>
      <c r="C3875" t="str">
        <f>HYPERLINK("http://service.sap.com/sap/support/notes/2016196","2016196")</f>
        <v>2016196</v>
      </c>
      <c r="D3875">
        <v>3</v>
      </c>
      <c r="E3875" t="s">
        <v>4960</v>
      </c>
      <c r="F3875" t="s">
        <v>9</v>
      </c>
    </row>
    <row r="3876" spans="1:6" x14ac:dyDescent="0.3">
      <c r="A3876" t="s">
        <v>825</v>
      </c>
      <c r="B3876" t="s">
        <v>193</v>
      </c>
      <c r="C3876" t="str">
        <f>HYPERLINK("http://service.sap.com/sap/support/notes/2025942","2025942")</f>
        <v>2025942</v>
      </c>
      <c r="D3876">
        <v>3</v>
      </c>
      <c r="E3876" t="s">
        <v>4961</v>
      </c>
      <c r="F3876" t="s">
        <v>9</v>
      </c>
    </row>
    <row r="3877" spans="1:6" x14ac:dyDescent="0.3">
      <c r="A3877" t="s">
        <v>825</v>
      </c>
      <c r="B3877" t="s">
        <v>193</v>
      </c>
      <c r="C3877" t="str">
        <f>HYPERLINK("http://service.sap.com/sap/support/notes/2026125","2026125")</f>
        <v>2026125</v>
      </c>
      <c r="D3877">
        <v>9</v>
      </c>
      <c r="E3877" t="s">
        <v>5295</v>
      </c>
      <c r="F3877" t="s">
        <v>9</v>
      </c>
    </row>
    <row r="3878" spans="1:6" x14ac:dyDescent="0.3">
      <c r="A3878" t="s">
        <v>825</v>
      </c>
      <c r="B3878" t="s">
        <v>193</v>
      </c>
      <c r="C3878" t="str">
        <f>HYPERLINK("http://service.sap.com/sap/support/notes/2043666","2043666")</f>
        <v>2043666</v>
      </c>
      <c r="D3878">
        <v>1</v>
      </c>
      <c r="E3878" t="s">
        <v>5296</v>
      </c>
      <c r="F3878" t="s">
        <v>16</v>
      </c>
    </row>
    <row r="3879" spans="1:6" x14ac:dyDescent="0.3">
      <c r="A3879" t="s">
        <v>825</v>
      </c>
      <c r="B3879" t="s">
        <v>193</v>
      </c>
      <c r="C3879" t="str">
        <f>HYPERLINK("http://service.sap.com/sap/support/notes/2045750","2045750")</f>
        <v>2045750</v>
      </c>
      <c r="D3879">
        <v>4</v>
      </c>
      <c r="E3879" t="s">
        <v>5297</v>
      </c>
      <c r="F3879" t="s">
        <v>9</v>
      </c>
    </row>
    <row r="3880" spans="1:6" x14ac:dyDescent="0.3">
      <c r="A3880" t="s">
        <v>825</v>
      </c>
      <c r="B3880" t="s">
        <v>193</v>
      </c>
      <c r="C3880" t="str">
        <f>HYPERLINK("http://service.sap.com/sap/support/notes/2057200","2057200")</f>
        <v>2057200</v>
      </c>
      <c r="D3880">
        <v>2</v>
      </c>
      <c r="E3880" t="s">
        <v>5633</v>
      </c>
      <c r="F3880" t="s">
        <v>9</v>
      </c>
    </row>
    <row r="3881" spans="1:6" x14ac:dyDescent="0.3">
      <c r="A3881" t="s">
        <v>826</v>
      </c>
      <c r="B3881" t="s">
        <v>827</v>
      </c>
      <c r="C3881" t="str">
        <f>HYPERLINK("http://service.sap.com/sap/support/notes/1911253","1911253")</f>
        <v>1911253</v>
      </c>
      <c r="D3881">
        <v>3</v>
      </c>
      <c r="E3881" t="s">
        <v>828</v>
      </c>
      <c r="F3881" t="s">
        <v>28</v>
      </c>
    </row>
    <row r="3882" spans="1:6" x14ac:dyDescent="0.3">
      <c r="A3882" t="s">
        <v>826</v>
      </c>
      <c r="B3882" t="s">
        <v>827</v>
      </c>
      <c r="C3882" t="str">
        <f>HYPERLINK("http://service.sap.com/sap/support/notes/1904193","1904193")</f>
        <v>1904193</v>
      </c>
      <c r="D3882">
        <v>3</v>
      </c>
      <c r="E3882" t="s">
        <v>1333</v>
      </c>
      <c r="F3882" t="s">
        <v>9</v>
      </c>
    </row>
    <row r="3883" spans="1:6" x14ac:dyDescent="0.3">
      <c r="A3883" t="s">
        <v>826</v>
      </c>
      <c r="B3883" t="s">
        <v>827</v>
      </c>
      <c r="C3883" t="str">
        <f>HYPERLINK("http://service.sap.com/sap/support/notes/1934278","1934278")</f>
        <v>1934278</v>
      </c>
      <c r="D3883">
        <v>3</v>
      </c>
      <c r="E3883" t="s">
        <v>1881</v>
      </c>
      <c r="F3883" t="s">
        <v>9</v>
      </c>
    </row>
    <row r="3884" spans="1:6" x14ac:dyDescent="0.3">
      <c r="A3884" t="s">
        <v>826</v>
      </c>
      <c r="B3884" t="s">
        <v>827</v>
      </c>
      <c r="C3884" t="str">
        <f>HYPERLINK("http://service.sap.com/sap/support/notes/1932588","1932588")</f>
        <v>1932588</v>
      </c>
      <c r="D3884">
        <v>10</v>
      </c>
      <c r="E3884" t="s">
        <v>3794</v>
      </c>
      <c r="F3884" t="s">
        <v>9</v>
      </c>
    </row>
    <row r="3885" spans="1:6" x14ac:dyDescent="0.3">
      <c r="A3885" t="s">
        <v>826</v>
      </c>
      <c r="B3885" t="s">
        <v>827</v>
      </c>
      <c r="C3885" t="str">
        <f>HYPERLINK("http://service.sap.com/sap/support/notes/2006009","2006009")</f>
        <v>2006009</v>
      </c>
      <c r="D3885">
        <v>5</v>
      </c>
      <c r="E3885" t="s">
        <v>4283</v>
      </c>
      <c r="F3885" t="s">
        <v>9</v>
      </c>
    </row>
    <row r="3886" spans="1:6" x14ac:dyDescent="0.3">
      <c r="A3886" t="s">
        <v>826</v>
      </c>
      <c r="B3886" t="s">
        <v>827</v>
      </c>
      <c r="C3886" t="str">
        <f>HYPERLINK("http://service.sap.com/sap/support/notes/2029816","2029816")</f>
        <v>2029816</v>
      </c>
      <c r="D3886">
        <v>3</v>
      </c>
      <c r="E3886" t="s">
        <v>4962</v>
      </c>
      <c r="F3886" t="s">
        <v>9</v>
      </c>
    </row>
    <row r="3887" spans="1:6" x14ac:dyDescent="0.3">
      <c r="A3887" t="s">
        <v>826</v>
      </c>
      <c r="B3887" t="s">
        <v>827</v>
      </c>
      <c r="C3887" t="str">
        <f>HYPERLINK("http://service.sap.com/sap/support/notes/2048803","2048803")</f>
        <v>2048803</v>
      </c>
      <c r="D3887">
        <v>1</v>
      </c>
      <c r="E3887" t="s">
        <v>5298</v>
      </c>
      <c r="F3887" t="s">
        <v>16</v>
      </c>
    </row>
    <row r="3888" spans="1:6" x14ac:dyDescent="0.3">
      <c r="A3888" t="s">
        <v>829</v>
      </c>
      <c r="B3888" t="s">
        <v>830</v>
      </c>
      <c r="C3888" t="str">
        <f>HYPERLINK("http://service.sap.com/sap/support/notes/1916965","1916965")</f>
        <v>1916965</v>
      </c>
      <c r="D3888">
        <v>2</v>
      </c>
      <c r="E3888" t="s">
        <v>831</v>
      </c>
      <c r="F3888" t="s">
        <v>9</v>
      </c>
    </row>
    <row r="3889" spans="1:6" x14ac:dyDescent="0.3">
      <c r="A3889" t="s">
        <v>829</v>
      </c>
      <c r="B3889" t="s">
        <v>830</v>
      </c>
      <c r="C3889" t="str">
        <f>HYPERLINK("http://service.sap.com/sap/support/notes/1916999","1916999")</f>
        <v>1916999</v>
      </c>
      <c r="D3889">
        <v>1</v>
      </c>
      <c r="E3889" t="s">
        <v>832</v>
      </c>
      <c r="F3889" t="s">
        <v>9</v>
      </c>
    </row>
    <row r="3890" spans="1:6" x14ac:dyDescent="0.3">
      <c r="A3890" t="s">
        <v>829</v>
      </c>
      <c r="B3890" t="s">
        <v>830</v>
      </c>
      <c r="C3890" t="str">
        <f>HYPERLINK("http://service.sap.com/sap/support/notes/1917107","1917107")</f>
        <v>1917107</v>
      </c>
      <c r="D3890">
        <v>4</v>
      </c>
      <c r="E3890" t="s">
        <v>833</v>
      </c>
      <c r="F3890" t="s">
        <v>9</v>
      </c>
    </row>
    <row r="3891" spans="1:6" x14ac:dyDescent="0.3">
      <c r="A3891" t="s">
        <v>829</v>
      </c>
      <c r="B3891" t="s">
        <v>830</v>
      </c>
      <c r="C3891" t="str">
        <f>HYPERLINK("http://service.sap.com/sap/support/notes/1922121","1922121")</f>
        <v>1922121</v>
      </c>
      <c r="D3891">
        <v>1</v>
      </c>
      <c r="E3891" t="s">
        <v>834</v>
      </c>
      <c r="F3891" t="s">
        <v>9</v>
      </c>
    </row>
    <row r="3892" spans="1:6" x14ac:dyDescent="0.3">
      <c r="A3892" t="s">
        <v>829</v>
      </c>
      <c r="B3892" t="s">
        <v>830</v>
      </c>
      <c r="C3892" t="str">
        <f>HYPERLINK("http://service.sap.com/sap/support/notes/1922708","1922708")</f>
        <v>1922708</v>
      </c>
      <c r="D3892">
        <v>1</v>
      </c>
      <c r="E3892" t="s">
        <v>835</v>
      </c>
      <c r="F3892" t="s">
        <v>9</v>
      </c>
    </row>
    <row r="3893" spans="1:6" x14ac:dyDescent="0.3">
      <c r="A3893" t="s">
        <v>829</v>
      </c>
      <c r="B3893" t="s">
        <v>830</v>
      </c>
      <c r="C3893" t="str">
        <f>HYPERLINK("http://service.sap.com/sap/support/notes/1923556","1923556")</f>
        <v>1923556</v>
      </c>
      <c r="D3893">
        <v>2</v>
      </c>
      <c r="E3893" t="s">
        <v>836</v>
      </c>
      <c r="F3893" t="s">
        <v>9</v>
      </c>
    </row>
    <row r="3894" spans="1:6" x14ac:dyDescent="0.3">
      <c r="A3894" t="s">
        <v>829</v>
      </c>
      <c r="B3894" t="s">
        <v>830</v>
      </c>
      <c r="C3894" t="str">
        <f>HYPERLINK("http://service.sap.com/sap/support/notes/1927248","1927248")</f>
        <v>1927248</v>
      </c>
      <c r="D3894">
        <v>1</v>
      </c>
      <c r="E3894" t="s">
        <v>837</v>
      </c>
      <c r="F3894" t="s">
        <v>9</v>
      </c>
    </row>
    <row r="3895" spans="1:6" x14ac:dyDescent="0.3">
      <c r="A3895" t="s">
        <v>829</v>
      </c>
      <c r="B3895" t="s">
        <v>830</v>
      </c>
      <c r="C3895" t="str">
        <f>HYPERLINK("http://service.sap.com/sap/support/notes/1928052","1928052")</f>
        <v>1928052</v>
      </c>
      <c r="D3895">
        <v>2</v>
      </c>
      <c r="E3895" t="s">
        <v>838</v>
      </c>
      <c r="F3895" t="s">
        <v>9</v>
      </c>
    </row>
    <row r="3896" spans="1:6" x14ac:dyDescent="0.3">
      <c r="A3896" t="s">
        <v>829</v>
      </c>
      <c r="B3896" t="s">
        <v>830</v>
      </c>
      <c r="C3896" t="str">
        <f>HYPERLINK("http://service.sap.com/sap/support/notes/1928575","1928575")</f>
        <v>1928575</v>
      </c>
      <c r="D3896">
        <v>1</v>
      </c>
      <c r="E3896" t="s">
        <v>839</v>
      </c>
      <c r="F3896" t="s">
        <v>9</v>
      </c>
    </row>
    <row r="3897" spans="1:6" x14ac:dyDescent="0.3">
      <c r="A3897" t="s">
        <v>829</v>
      </c>
      <c r="B3897" t="s">
        <v>830</v>
      </c>
      <c r="C3897" t="str">
        <f>HYPERLINK("http://service.sap.com/sap/support/notes/1929453","1929453")</f>
        <v>1929453</v>
      </c>
      <c r="D3897">
        <v>2</v>
      </c>
      <c r="E3897" t="s">
        <v>840</v>
      </c>
      <c r="F3897" t="s">
        <v>9</v>
      </c>
    </row>
    <row r="3898" spans="1:6" x14ac:dyDescent="0.3">
      <c r="A3898" t="s">
        <v>829</v>
      </c>
      <c r="B3898" t="s">
        <v>830</v>
      </c>
      <c r="C3898" t="str">
        <f>HYPERLINK("http://service.sap.com/sap/support/notes/1930137","1930137")</f>
        <v>1930137</v>
      </c>
      <c r="D3898">
        <v>2</v>
      </c>
      <c r="E3898" t="s">
        <v>841</v>
      </c>
      <c r="F3898" t="s">
        <v>9</v>
      </c>
    </row>
    <row r="3899" spans="1:6" x14ac:dyDescent="0.3">
      <c r="A3899" t="s">
        <v>829</v>
      </c>
      <c r="B3899" t="s">
        <v>830</v>
      </c>
      <c r="C3899" t="str">
        <f>HYPERLINK("http://service.sap.com/sap/support/notes/1932062","1932062")</f>
        <v>1932062</v>
      </c>
      <c r="D3899">
        <v>1</v>
      </c>
      <c r="E3899" t="s">
        <v>842</v>
      </c>
      <c r="F3899" t="s">
        <v>9</v>
      </c>
    </row>
    <row r="3900" spans="1:6" x14ac:dyDescent="0.3">
      <c r="A3900" t="s">
        <v>829</v>
      </c>
      <c r="B3900" t="s">
        <v>830</v>
      </c>
      <c r="C3900" t="str">
        <f>HYPERLINK("http://service.sap.com/sap/support/notes/1932174","1932174")</f>
        <v>1932174</v>
      </c>
      <c r="D3900">
        <v>2</v>
      </c>
      <c r="E3900" t="s">
        <v>1334</v>
      </c>
      <c r="F3900" t="s">
        <v>28</v>
      </c>
    </row>
    <row r="3901" spans="1:6" x14ac:dyDescent="0.3">
      <c r="A3901" t="s">
        <v>829</v>
      </c>
      <c r="B3901" t="s">
        <v>830</v>
      </c>
      <c r="C3901" t="str">
        <f>HYPERLINK("http://service.sap.com/sap/support/notes/1935523","1935523")</f>
        <v>1935523</v>
      </c>
      <c r="D3901">
        <v>2</v>
      </c>
      <c r="E3901" t="s">
        <v>1335</v>
      </c>
      <c r="F3901" t="s">
        <v>9</v>
      </c>
    </row>
    <row r="3902" spans="1:6" x14ac:dyDescent="0.3">
      <c r="A3902" t="s">
        <v>829</v>
      </c>
      <c r="B3902" t="s">
        <v>830</v>
      </c>
      <c r="C3902" t="str">
        <f>HYPERLINK("http://service.sap.com/sap/support/notes/1940985","1940985")</f>
        <v>1940985</v>
      </c>
      <c r="D3902">
        <v>1</v>
      </c>
      <c r="E3902" t="s">
        <v>1336</v>
      </c>
      <c r="F3902" t="s">
        <v>9</v>
      </c>
    </row>
    <row r="3903" spans="1:6" x14ac:dyDescent="0.3">
      <c r="A3903" t="s">
        <v>829</v>
      </c>
      <c r="B3903" t="s">
        <v>830</v>
      </c>
      <c r="C3903" t="str">
        <f>HYPERLINK("http://service.sap.com/sap/support/notes/1936011","1936011")</f>
        <v>1936011</v>
      </c>
      <c r="D3903">
        <v>1</v>
      </c>
      <c r="E3903" t="s">
        <v>1882</v>
      </c>
      <c r="F3903" t="s">
        <v>9</v>
      </c>
    </row>
    <row r="3904" spans="1:6" x14ac:dyDescent="0.3">
      <c r="A3904" t="s">
        <v>829</v>
      </c>
      <c r="B3904" t="s">
        <v>830</v>
      </c>
      <c r="C3904" t="str">
        <f>HYPERLINK("http://service.sap.com/sap/support/notes/1945184","1945184")</f>
        <v>1945184</v>
      </c>
      <c r="D3904">
        <v>4</v>
      </c>
      <c r="E3904" t="s">
        <v>1883</v>
      </c>
      <c r="F3904" t="s">
        <v>9</v>
      </c>
    </row>
    <row r="3905" spans="1:6" x14ac:dyDescent="0.3">
      <c r="A3905" t="s">
        <v>829</v>
      </c>
      <c r="B3905" t="s">
        <v>830</v>
      </c>
      <c r="C3905" t="str">
        <f>HYPERLINK("http://service.sap.com/sap/support/notes/1945192","1945192")</f>
        <v>1945192</v>
      </c>
      <c r="D3905">
        <v>1</v>
      </c>
      <c r="E3905" t="s">
        <v>1884</v>
      </c>
      <c r="F3905" t="s">
        <v>9</v>
      </c>
    </row>
    <row r="3906" spans="1:6" x14ac:dyDescent="0.3">
      <c r="A3906" t="s">
        <v>829</v>
      </c>
      <c r="B3906" t="s">
        <v>830</v>
      </c>
      <c r="C3906" t="str">
        <f>HYPERLINK("http://service.sap.com/sap/support/notes/1950359","1950359")</f>
        <v>1950359</v>
      </c>
      <c r="D3906">
        <v>3</v>
      </c>
      <c r="E3906" t="s">
        <v>1885</v>
      </c>
      <c r="F3906" t="s">
        <v>9</v>
      </c>
    </row>
    <row r="3907" spans="1:6" x14ac:dyDescent="0.3">
      <c r="A3907" t="s">
        <v>829</v>
      </c>
      <c r="B3907" t="s">
        <v>830</v>
      </c>
      <c r="C3907" t="str">
        <f>HYPERLINK("http://service.sap.com/sap/support/notes/1951105","1951105")</f>
        <v>1951105</v>
      </c>
      <c r="D3907">
        <v>1</v>
      </c>
      <c r="E3907" t="s">
        <v>1886</v>
      </c>
      <c r="F3907" t="s">
        <v>9</v>
      </c>
    </row>
    <row r="3908" spans="1:6" x14ac:dyDescent="0.3">
      <c r="A3908" t="s">
        <v>829</v>
      </c>
      <c r="B3908" t="s">
        <v>830</v>
      </c>
      <c r="C3908" t="str">
        <f>HYPERLINK("http://service.sap.com/sap/support/notes/1955856","1955856")</f>
        <v>1955856</v>
      </c>
      <c r="D3908">
        <v>5</v>
      </c>
      <c r="E3908" t="s">
        <v>1887</v>
      </c>
      <c r="F3908" t="s">
        <v>9</v>
      </c>
    </row>
    <row r="3909" spans="1:6" x14ac:dyDescent="0.3">
      <c r="A3909" t="s">
        <v>829</v>
      </c>
      <c r="B3909" t="s">
        <v>830</v>
      </c>
      <c r="C3909" t="str">
        <f>HYPERLINK("http://service.sap.com/sap/support/notes/1959166","1959166")</f>
        <v>1959166</v>
      </c>
      <c r="D3909">
        <v>1</v>
      </c>
      <c r="E3909" t="s">
        <v>1888</v>
      </c>
      <c r="F3909" t="s">
        <v>9</v>
      </c>
    </row>
    <row r="3910" spans="1:6" x14ac:dyDescent="0.3">
      <c r="A3910" t="s">
        <v>829</v>
      </c>
      <c r="B3910" t="s">
        <v>830</v>
      </c>
      <c r="C3910" t="str">
        <f>HYPERLINK("http://service.sap.com/sap/support/notes/1959982","1959982")</f>
        <v>1959982</v>
      </c>
      <c r="D3910">
        <v>2</v>
      </c>
      <c r="E3910" t="s">
        <v>1889</v>
      </c>
      <c r="F3910" t="s">
        <v>9</v>
      </c>
    </row>
    <row r="3911" spans="1:6" x14ac:dyDescent="0.3">
      <c r="A3911" t="s">
        <v>829</v>
      </c>
      <c r="B3911" t="s">
        <v>830</v>
      </c>
      <c r="C3911" t="str">
        <f>HYPERLINK("http://service.sap.com/sap/support/notes/1959984","1959984")</f>
        <v>1959984</v>
      </c>
      <c r="D3911">
        <v>1</v>
      </c>
      <c r="E3911" t="s">
        <v>1890</v>
      </c>
      <c r="F3911" t="s">
        <v>9</v>
      </c>
    </row>
    <row r="3912" spans="1:6" x14ac:dyDescent="0.3">
      <c r="A3912" t="s">
        <v>829</v>
      </c>
      <c r="B3912" t="s">
        <v>830</v>
      </c>
      <c r="C3912" t="str">
        <f>HYPERLINK("http://service.sap.com/sap/support/notes/1961140","1961140")</f>
        <v>1961140</v>
      </c>
      <c r="D3912">
        <v>1</v>
      </c>
      <c r="E3912" t="s">
        <v>1891</v>
      </c>
      <c r="F3912" t="s">
        <v>9</v>
      </c>
    </row>
    <row r="3913" spans="1:6" x14ac:dyDescent="0.3">
      <c r="A3913" t="s">
        <v>829</v>
      </c>
      <c r="B3913" t="s">
        <v>830</v>
      </c>
      <c r="C3913" t="str">
        <f>HYPERLINK("http://service.sap.com/sap/support/notes/1961549","1961549")</f>
        <v>1961549</v>
      </c>
      <c r="D3913">
        <v>1</v>
      </c>
      <c r="E3913" t="s">
        <v>2279</v>
      </c>
      <c r="F3913" t="s">
        <v>9</v>
      </c>
    </row>
    <row r="3914" spans="1:6" x14ac:dyDescent="0.3">
      <c r="A3914" t="s">
        <v>829</v>
      </c>
      <c r="B3914" t="s">
        <v>830</v>
      </c>
      <c r="C3914" t="str">
        <f>HYPERLINK("http://service.sap.com/sap/support/notes/1963660","1963660")</f>
        <v>1963660</v>
      </c>
      <c r="D3914">
        <v>1</v>
      </c>
      <c r="E3914" t="s">
        <v>2280</v>
      </c>
      <c r="F3914" t="s">
        <v>9</v>
      </c>
    </row>
    <row r="3915" spans="1:6" x14ac:dyDescent="0.3">
      <c r="A3915" t="s">
        <v>829</v>
      </c>
      <c r="B3915" t="s">
        <v>830</v>
      </c>
      <c r="C3915" t="str">
        <f>HYPERLINK("http://service.sap.com/sap/support/notes/1968119","1968119")</f>
        <v>1968119</v>
      </c>
      <c r="D3915">
        <v>2</v>
      </c>
      <c r="E3915" t="s">
        <v>2281</v>
      </c>
      <c r="F3915" t="s">
        <v>9</v>
      </c>
    </row>
    <row r="3916" spans="1:6" x14ac:dyDescent="0.3">
      <c r="A3916" t="s">
        <v>829</v>
      </c>
      <c r="B3916" t="s">
        <v>830</v>
      </c>
      <c r="C3916" t="str">
        <f>HYPERLINK("http://service.sap.com/sap/support/notes/1970550","1970550")</f>
        <v>1970550</v>
      </c>
      <c r="D3916">
        <v>2</v>
      </c>
      <c r="E3916" t="s">
        <v>2671</v>
      </c>
      <c r="F3916" t="s">
        <v>9</v>
      </c>
    </row>
    <row r="3917" spans="1:6" x14ac:dyDescent="0.3">
      <c r="A3917" t="s">
        <v>829</v>
      </c>
      <c r="B3917" t="s">
        <v>830</v>
      </c>
      <c r="C3917" t="str">
        <f>HYPERLINK("http://service.sap.com/sap/support/notes/1972982","1972982")</f>
        <v>1972982</v>
      </c>
      <c r="D3917">
        <v>1</v>
      </c>
      <c r="E3917" t="s">
        <v>2672</v>
      </c>
      <c r="F3917" t="s">
        <v>9</v>
      </c>
    </row>
    <row r="3918" spans="1:6" x14ac:dyDescent="0.3">
      <c r="A3918" t="s">
        <v>829</v>
      </c>
      <c r="B3918" t="s">
        <v>830</v>
      </c>
      <c r="C3918" t="str">
        <f>HYPERLINK("http://service.sap.com/sap/support/notes/1975899","1975899")</f>
        <v>1975899</v>
      </c>
      <c r="D3918">
        <v>1</v>
      </c>
      <c r="E3918" t="s">
        <v>2673</v>
      </c>
      <c r="F3918" t="s">
        <v>9</v>
      </c>
    </row>
    <row r="3919" spans="1:6" x14ac:dyDescent="0.3">
      <c r="A3919" t="s">
        <v>829</v>
      </c>
      <c r="B3919" t="s">
        <v>830</v>
      </c>
      <c r="C3919" t="str">
        <f>HYPERLINK("http://service.sap.com/sap/support/notes/1977766","1977766")</f>
        <v>1977766</v>
      </c>
      <c r="D3919">
        <v>2</v>
      </c>
      <c r="E3919" t="s">
        <v>2674</v>
      </c>
      <c r="F3919" t="s">
        <v>9</v>
      </c>
    </row>
    <row r="3920" spans="1:6" x14ac:dyDescent="0.3">
      <c r="A3920" t="s">
        <v>829</v>
      </c>
      <c r="B3920" t="s">
        <v>830</v>
      </c>
      <c r="C3920" t="str">
        <f>HYPERLINK("http://service.sap.com/sap/support/notes/1979843","1979843")</f>
        <v>1979843</v>
      </c>
      <c r="D3920">
        <v>2</v>
      </c>
      <c r="E3920" t="s">
        <v>2675</v>
      </c>
      <c r="F3920" t="s">
        <v>9</v>
      </c>
    </row>
    <row r="3921" spans="1:6" x14ac:dyDescent="0.3">
      <c r="A3921" t="s">
        <v>829</v>
      </c>
      <c r="B3921" t="s">
        <v>830</v>
      </c>
      <c r="C3921" t="str">
        <f>HYPERLINK("http://service.sap.com/sap/support/notes/1980796","1980796")</f>
        <v>1980796</v>
      </c>
      <c r="D3921">
        <v>1</v>
      </c>
      <c r="E3921" t="s">
        <v>2676</v>
      </c>
      <c r="F3921" t="s">
        <v>9</v>
      </c>
    </row>
    <row r="3922" spans="1:6" x14ac:dyDescent="0.3">
      <c r="A3922" t="s">
        <v>829</v>
      </c>
      <c r="B3922" t="s">
        <v>830</v>
      </c>
      <c r="C3922" t="str">
        <f>HYPERLINK("http://service.sap.com/sap/support/notes/1980799","1980799")</f>
        <v>1980799</v>
      </c>
      <c r="D3922">
        <v>2</v>
      </c>
      <c r="E3922" t="s">
        <v>2677</v>
      </c>
      <c r="F3922" t="s">
        <v>9</v>
      </c>
    </row>
    <row r="3923" spans="1:6" x14ac:dyDescent="0.3">
      <c r="A3923" t="s">
        <v>829</v>
      </c>
      <c r="B3923" t="s">
        <v>830</v>
      </c>
      <c r="C3923" t="str">
        <f>HYPERLINK("http://service.sap.com/sap/support/notes/1980235","1980235")</f>
        <v>1980235</v>
      </c>
      <c r="D3923">
        <v>1</v>
      </c>
      <c r="E3923" t="s">
        <v>3146</v>
      </c>
      <c r="F3923" t="s">
        <v>9</v>
      </c>
    </row>
    <row r="3924" spans="1:6" x14ac:dyDescent="0.3">
      <c r="A3924" t="s">
        <v>829</v>
      </c>
      <c r="B3924" t="s">
        <v>830</v>
      </c>
      <c r="C3924" t="str">
        <f>HYPERLINK("http://service.sap.com/sap/support/notes/1983209","1983209")</f>
        <v>1983209</v>
      </c>
      <c r="D3924">
        <v>2</v>
      </c>
      <c r="E3924" t="s">
        <v>3147</v>
      </c>
      <c r="F3924" t="s">
        <v>9</v>
      </c>
    </row>
    <row r="3925" spans="1:6" x14ac:dyDescent="0.3">
      <c r="A3925" t="s">
        <v>829</v>
      </c>
      <c r="B3925" t="s">
        <v>830</v>
      </c>
      <c r="C3925" t="str">
        <f>HYPERLINK("http://service.sap.com/sap/support/notes/1984028","1984028")</f>
        <v>1984028</v>
      </c>
      <c r="D3925">
        <v>1</v>
      </c>
      <c r="E3925" t="s">
        <v>3148</v>
      </c>
      <c r="F3925" t="s">
        <v>9</v>
      </c>
    </row>
    <row r="3926" spans="1:6" x14ac:dyDescent="0.3">
      <c r="A3926" t="s">
        <v>829</v>
      </c>
      <c r="B3926" t="s">
        <v>830</v>
      </c>
      <c r="C3926" t="str">
        <f>HYPERLINK("http://service.sap.com/sap/support/notes/1985151","1985151")</f>
        <v>1985151</v>
      </c>
      <c r="D3926">
        <v>2</v>
      </c>
      <c r="E3926" t="s">
        <v>3149</v>
      </c>
      <c r="F3926" t="s">
        <v>9</v>
      </c>
    </row>
    <row r="3927" spans="1:6" x14ac:dyDescent="0.3">
      <c r="A3927" t="s">
        <v>829</v>
      </c>
      <c r="B3927" t="s">
        <v>830</v>
      </c>
      <c r="C3927" t="str">
        <f>HYPERLINK("http://service.sap.com/sap/support/notes/1987978","1987978")</f>
        <v>1987978</v>
      </c>
      <c r="D3927">
        <v>2</v>
      </c>
      <c r="E3927" t="s">
        <v>3150</v>
      </c>
      <c r="F3927" t="s">
        <v>9</v>
      </c>
    </row>
    <row r="3928" spans="1:6" x14ac:dyDescent="0.3">
      <c r="A3928" t="s">
        <v>829</v>
      </c>
      <c r="B3928" t="s">
        <v>830</v>
      </c>
      <c r="C3928" t="str">
        <f>HYPERLINK("http://service.sap.com/sap/support/notes/1988068","1988068")</f>
        <v>1988068</v>
      </c>
      <c r="D3928">
        <v>1</v>
      </c>
      <c r="E3928" t="s">
        <v>3151</v>
      </c>
      <c r="F3928" t="s">
        <v>9</v>
      </c>
    </row>
    <row r="3929" spans="1:6" x14ac:dyDescent="0.3">
      <c r="A3929" t="s">
        <v>829</v>
      </c>
      <c r="B3929" t="s">
        <v>830</v>
      </c>
      <c r="C3929" t="str">
        <f>HYPERLINK("http://service.sap.com/sap/support/notes/1990479","1990479")</f>
        <v>1990479</v>
      </c>
      <c r="D3929">
        <v>2</v>
      </c>
      <c r="E3929" t="s">
        <v>3152</v>
      </c>
      <c r="F3929" t="s">
        <v>9</v>
      </c>
    </row>
    <row r="3930" spans="1:6" x14ac:dyDescent="0.3">
      <c r="A3930" t="s">
        <v>829</v>
      </c>
      <c r="B3930" t="s">
        <v>830</v>
      </c>
      <c r="C3930" t="str">
        <f>HYPERLINK("http://service.sap.com/sap/support/notes/1993621","1993621")</f>
        <v>1993621</v>
      </c>
      <c r="D3930">
        <v>1</v>
      </c>
      <c r="E3930" t="s">
        <v>3153</v>
      </c>
      <c r="F3930" t="s">
        <v>9</v>
      </c>
    </row>
    <row r="3931" spans="1:6" x14ac:dyDescent="0.3">
      <c r="A3931" t="s">
        <v>829</v>
      </c>
      <c r="B3931" t="s">
        <v>830</v>
      </c>
      <c r="C3931" t="str">
        <f>HYPERLINK("http://service.sap.com/sap/support/notes/1994824","1994824")</f>
        <v>1994824</v>
      </c>
      <c r="D3931">
        <v>1</v>
      </c>
      <c r="E3931" t="s">
        <v>3154</v>
      </c>
      <c r="F3931" t="s">
        <v>9</v>
      </c>
    </row>
    <row r="3932" spans="1:6" x14ac:dyDescent="0.3">
      <c r="A3932" t="s">
        <v>829</v>
      </c>
      <c r="B3932" t="s">
        <v>830</v>
      </c>
      <c r="C3932" t="str">
        <f>HYPERLINK("http://service.sap.com/sap/support/notes/1986844","1986844")</f>
        <v>1986844</v>
      </c>
      <c r="D3932">
        <v>1</v>
      </c>
      <c r="E3932" t="s">
        <v>3795</v>
      </c>
      <c r="F3932" t="s">
        <v>9</v>
      </c>
    </row>
    <row r="3933" spans="1:6" x14ac:dyDescent="0.3">
      <c r="A3933" t="s">
        <v>829</v>
      </c>
      <c r="B3933" t="s">
        <v>830</v>
      </c>
      <c r="C3933" t="str">
        <f>HYPERLINK("http://service.sap.com/sap/support/notes/1997987","1997987")</f>
        <v>1997987</v>
      </c>
      <c r="D3933">
        <v>1</v>
      </c>
      <c r="E3933" t="s">
        <v>3796</v>
      </c>
      <c r="F3933" t="s">
        <v>9</v>
      </c>
    </row>
    <row r="3934" spans="1:6" x14ac:dyDescent="0.3">
      <c r="A3934" t="s">
        <v>829</v>
      </c>
      <c r="B3934" t="s">
        <v>830</v>
      </c>
      <c r="C3934" t="str">
        <f>HYPERLINK("http://service.sap.com/sap/support/notes/1999129","1999129")</f>
        <v>1999129</v>
      </c>
      <c r="D3934">
        <v>1</v>
      </c>
      <c r="E3934" t="s">
        <v>3797</v>
      </c>
      <c r="F3934" t="s">
        <v>9</v>
      </c>
    </row>
    <row r="3935" spans="1:6" x14ac:dyDescent="0.3">
      <c r="A3935" t="s">
        <v>829</v>
      </c>
      <c r="B3935" t="s">
        <v>830</v>
      </c>
      <c r="C3935" t="str">
        <f>HYPERLINK("http://service.sap.com/sap/support/notes/2002303","2002303")</f>
        <v>2002303</v>
      </c>
      <c r="D3935">
        <v>1</v>
      </c>
      <c r="E3935" t="s">
        <v>3798</v>
      </c>
      <c r="F3935" t="s">
        <v>9</v>
      </c>
    </row>
    <row r="3936" spans="1:6" x14ac:dyDescent="0.3">
      <c r="A3936" t="s">
        <v>829</v>
      </c>
      <c r="B3936" t="s">
        <v>830</v>
      </c>
      <c r="C3936" t="str">
        <f>HYPERLINK("http://service.sap.com/sap/support/notes/2005064","2005064")</f>
        <v>2005064</v>
      </c>
      <c r="D3936">
        <v>1</v>
      </c>
      <c r="E3936" t="s">
        <v>3799</v>
      </c>
      <c r="F3936" t="s">
        <v>9</v>
      </c>
    </row>
    <row r="3937" spans="1:6" x14ac:dyDescent="0.3">
      <c r="A3937" t="s">
        <v>829</v>
      </c>
      <c r="B3937" t="s">
        <v>830</v>
      </c>
      <c r="C3937" t="str">
        <f>HYPERLINK("http://service.sap.com/sap/support/notes/2006677","2006677")</f>
        <v>2006677</v>
      </c>
      <c r="D3937">
        <v>1</v>
      </c>
      <c r="E3937" t="s">
        <v>3800</v>
      </c>
      <c r="F3937" t="s">
        <v>9</v>
      </c>
    </row>
    <row r="3938" spans="1:6" x14ac:dyDescent="0.3">
      <c r="A3938" t="s">
        <v>829</v>
      </c>
      <c r="B3938" t="s">
        <v>830</v>
      </c>
      <c r="C3938" t="str">
        <f>HYPERLINK("http://service.sap.com/sap/support/notes/2007764","2007764")</f>
        <v>2007764</v>
      </c>
      <c r="D3938">
        <v>1</v>
      </c>
      <c r="E3938" t="s">
        <v>3801</v>
      </c>
      <c r="F3938" t="s">
        <v>9</v>
      </c>
    </row>
    <row r="3939" spans="1:6" x14ac:dyDescent="0.3">
      <c r="A3939" t="s">
        <v>829</v>
      </c>
      <c r="B3939" t="s">
        <v>830</v>
      </c>
      <c r="C3939" t="str">
        <f>HYPERLINK("http://service.sap.com/sap/support/notes/2010882","2010882")</f>
        <v>2010882</v>
      </c>
      <c r="D3939">
        <v>1</v>
      </c>
      <c r="E3939" t="s">
        <v>4284</v>
      </c>
      <c r="F3939" t="s">
        <v>9</v>
      </c>
    </row>
    <row r="3940" spans="1:6" x14ac:dyDescent="0.3">
      <c r="A3940" t="s">
        <v>829</v>
      </c>
      <c r="B3940" t="s">
        <v>830</v>
      </c>
      <c r="C3940" t="str">
        <f>HYPERLINK("http://service.sap.com/sap/support/notes/2015010","2015010")</f>
        <v>2015010</v>
      </c>
      <c r="D3940">
        <v>1</v>
      </c>
      <c r="E3940" t="s">
        <v>4285</v>
      </c>
      <c r="F3940" t="s">
        <v>9</v>
      </c>
    </row>
    <row r="3941" spans="1:6" x14ac:dyDescent="0.3">
      <c r="A3941" t="s">
        <v>829</v>
      </c>
      <c r="B3941" t="s">
        <v>830</v>
      </c>
      <c r="C3941" t="str">
        <f>HYPERLINK("http://service.sap.com/sap/support/notes/2015141","2015141")</f>
        <v>2015141</v>
      </c>
      <c r="D3941">
        <v>1</v>
      </c>
      <c r="E3941" t="s">
        <v>4286</v>
      </c>
      <c r="F3941" t="s">
        <v>9</v>
      </c>
    </row>
    <row r="3942" spans="1:6" x14ac:dyDescent="0.3">
      <c r="A3942" t="s">
        <v>829</v>
      </c>
      <c r="B3942" t="s">
        <v>830</v>
      </c>
      <c r="C3942" t="str">
        <f>HYPERLINK("http://service.sap.com/sap/support/notes/2021366","2021366")</f>
        <v>2021366</v>
      </c>
      <c r="D3942">
        <v>1</v>
      </c>
      <c r="E3942" t="s">
        <v>4287</v>
      </c>
      <c r="F3942" t="s">
        <v>9</v>
      </c>
    </row>
    <row r="3943" spans="1:6" x14ac:dyDescent="0.3">
      <c r="A3943" t="s">
        <v>829</v>
      </c>
      <c r="B3943" t="s">
        <v>830</v>
      </c>
      <c r="C3943" t="str">
        <f>HYPERLINK("http://service.sap.com/sap/support/notes/2011404","2011404")</f>
        <v>2011404</v>
      </c>
      <c r="D3943">
        <v>1</v>
      </c>
      <c r="E3943" t="s">
        <v>4604</v>
      </c>
      <c r="F3943" t="s">
        <v>9</v>
      </c>
    </row>
    <row r="3944" spans="1:6" x14ac:dyDescent="0.3">
      <c r="A3944" t="s">
        <v>829</v>
      </c>
      <c r="B3944" t="s">
        <v>830</v>
      </c>
      <c r="C3944" t="str">
        <f>HYPERLINK("http://service.sap.com/sap/support/notes/2024112","2024112")</f>
        <v>2024112</v>
      </c>
      <c r="D3944">
        <v>5</v>
      </c>
      <c r="E3944" t="s">
        <v>4605</v>
      </c>
      <c r="F3944" t="s">
        <v>9</v>
      </c>
    </row>
    <row r="3945" spans="1:6" x14ac:dyDescent="0.3">
      <c r="A3945" t="s">
        <v>829</v>
      </c>
      <c r="B3945" t="s">
        <v>830</v>
      </c>
      <c r="C3945" t="str">
        <f>HYPERLINK("http://service.sap.com/sap/support/notes/1986793","1986793")</f>
        <v>1986793</v>
      </c>
      <c r="D3945">
        <v>1</v>
      </c>
      <c r="E3945" t="s">
        <v>4963</v>
      </c>
      <c r="F3945" t="s">
        <v>9</v>
      </c>
    </row>
    <row r="3946" spans="1:6" x14ac:dyDescent="0.3">
      <c r="A3946" t="s">
        <v>829</v>
      </c>
      <c r="B3946" t="s">
        <v>830</v>
      </c>
      <c r="C3946" t="str">
        <f>HYPERLINK("http://service.sap.com/sap/support/notes/2007767","2007767")</f>
        <v>2007767</v>
      </c>
      <c r="D3946">
        <v>2</v>
      </c>
      <c r="E3946" t="s">
        <v>4964</v>
      </c>
      <c r="F3946" t="s">
        <v>9</v>
      </c>
    </row>
    <row r="3947" spans="1:6" x14ac:dyDescent="0.3">
      <c r="A3947" t="s">
        <v>829</v>
      </c>
      <c r="B3947" t="s">
        <v>830</v>
      </c>
      <c r="C3947" t="str">
        <f>HYPERLINK("http://service.sap.com/sap/support/notes/2019307","2019307")</f>
        <v>2019307</v>
      </c>
      <c r="D3947">
        <v>1</v>
      </c>
      <c r="E3947" t="s">
        <v>4965</v>
      </c>
      <c r="F3947" t="s">
        <v>9</v>
      </c>
    </row>
    <row r="3948" spans="1:6" x14ac:dyDescent="0.3">
      <c r="A3948" t="s">
        <v>829</v>
      </c>
      <c r="B3948" t="s">
        <v>830</v>
      </c>
      <c r="C3948" t="str">
        <f>HYPERLINK("http://service.sap.com/sap/support/notes/2024112","2024112")</f>
        <v>2024112</v>
      </c>
      <c r="D3948">
        <v>5</v>
      </c>
      <c r="E3948" t="s">
        <v>4605</v>
      </c>
      <c r="F3948" t="s">
        <v>9</v>
      </c>
    </row>
    <row r="3949" spans="1:6" x14ac:dyDescent="0.3">
      <c r="A3949" t="s">
        <v>829</v>
      </c>
      <c r="B3949" t="s">
        <v>830</v>
      </c>
      <c r="C3949" t="str">
        <f>HYPERLINK("http://service.sap.com/sap/support/notes/2033724","2033724")</f>
        <v>2033724</v>
      </c>
      <c r="D3949">
        <v>2</v>
      </c>
      <c r="E3949" t="s">
        <v>4966</v>
      </c>
      <c r="F3949" t="s">
        <v>9</v>
      </c>
    </row>
    <row r="3950" spans="1:6" x14ac:dyDescent="0.3">
      <c r="A3950" t="s">
        <v>829</v>
      </c>
      <c r="B3950" t="s">
        <v>830</v>
      </c>
      <c r="C3950" t="str">
        <f>HYPERLINK("http://service.sap.com/sap/support/notes/2034022","2034022")</f>
        <v>2034022</v>
      </c>
      <c r="D3950">
        <v>1</v>
      </c>
      <c r="E3950" t="s">
        <v>4967</v>
      </c>
      <c r="F3950" t="s">
        <v>9</v>
      </c>
    </row>
    <row r="3951" spans="1:6" x14ac:dyDescent="0.3">
      <c r="A3951" t="s">
        <v>829</v>
      </c>
      <c r="B3951" t="s">
        <v>830</v>
      </c>
      <c r="C3951" t="str">
        <f>HYPERLINK("http://service.sap.com/sap/support/notes/2037100","2037100")</f>
        <v>2037100</v>
      </c>
      <c r="D3951">
        <v>1</v>
      </c>
      <c r="E3951" t="s">
        <v>4968</v>
      </c>
      <c r="F3951" t="s">
        <v>9</v>
      </c>
    </row>
    <row r="3952" spans="1:6" x14ac:dyDescent="0.3">
      <c r="A3952" t="s">
        <v>829</v>
      </c>
      <c r="B3952" t="s">
        <v>830</v>
      </c>
      <c r="C3952" t="str">
        <f>HYPERLINK("http://service.sap.com/sap/support/notes/2037277","2037277")</f>
        <v>2037277</v>
      </c>
      <c r="D3952">
        <v>1</v>
      </c>
      <c r="E3952" t="s">
        <v>4969</v>
      </c>
      <c r="F3952" t="s">
        <v>9</v>
      </c>
    </row>
    <row r="3953" spans="1:6" x14ac:dyDescent="0.3">
      <c r="A3953" t="s">
        <v>829</v>
      </c>
      <c r="B3953" t="s">
        <v>830</v>
      </c>
      <c r="C3953" t="str">
        <f>HYPERLINK("http://service.sap.com/sap/support/notes/2038956","2038956")</f>
        <v>2038956</v>
      </c>
      <c r="D3953">
        <v>1</v>
      </c>
      <c r="E3953" t="s">
        <v>4970</v>
      </c>
      <c r="F3953" t="s">
        <v>9</v>
      </c>
    </row>
    <row r="3954" spans="1:6" x14ac:dyDescent="0.3">
      <c r="A3954" t="s">
        <v>829</v>
      </c>
      <c r="B3954" t="s">
        <v>830</v>
      </c>
      <c r="C3954" t="str">
        <f>HYPERLINK("http://service.sap.com/sap/support/notes/2040502","2040502")</f>
        <v>2040502</v>
      </c>
      <c r="D3954">
        <v>1</v>
      </c>
      <c r="E3954" t="s">
        <v>4971</v>
      </c>
      <c r="F3954" t="s">
        <v>9</v>
      </c>
    </row>
    <row r="3955" spans="1:6" x14ac:dyDescent="0.3">
      <c r="A3955" t="s">
        <v>829</v>
      </c>
      <c r="B3955" t="s">
        <v>830</v>
      </c>
      <c r="C3955" t="str">
        <f>HYPERLINK("http://service.sap.com/sap/support/notes/2030659","2030659")</f>
        <v>2030659</v>
      </c>
      <c r="D3955">
        <v>1</v>
      </c>
      <c r="E3955" t="s">
        <v>5299</v>
      </c>
      <c r="F3955" t="s">
        <v>9</v>
      </c>
    </row>
    <row r="3956" spans="1:6" x14ac:dyDescent="0.3">
      <c r="A3956" t="s">
        <v>829</v>
      </c>
      <c r="B3956" t="s">
        <v>830</v>
      </c>
      <c r="C3956" t="str">
        <f>HYPERLINK("http://service.sap.com/sap/support/notes/2037096","2037096")</f>
        <v>2037096</v>
      </c>
      <c r="D3956">
        <v>1</v>
      </c>
      <c r="E3956" t="s">
        <v>5300</v>
      </c>
      <c r="F3956" t="s">
        <v>9</v>
      </c>
    </row>
    <row r="3957" spans="1:6" x14ac:dyDescent="0.3">
      <c r="A3957" t="s">
        <v>829</v>
      </c>
      <c r="B3957" t="s">
        <v>830</v>
      </c>
      <c r="C3957" t="str">
        <f>HYPERLINK("http://service.sap.com/sap/support/notes/2049845","2049845")</f>
        <v>2049845</v>
      </c>
      <c r="D3957">
        <v>1</v>
      </c>
      <c r="E3957" t="s">
        <v>5301</v>
      </c>
      <c r="F3957" t="s">
        <v>9</v>
      </c>
    </row>
    <row r="3958" spans="1:6" x14ac:dyDescent="0.3">
      <c r="A3958" t="s">
        <v>829</v>
      </c>
      <c r="B3958" t="s">
        <v>830</v>
      </c>
      <c r="C3958" t="str">
        <f>HYPERLINK("http://service.sap.com/sap/support/notes/2056381","2056381")</f>
        <v>2056381</v>
      </c>
      <c r="D3958">
        <v>1</v>
      </c>
      <c r="E3958" t="s">
        <v>5302</v>
      </c>
      <c r="F3958" t="s">
        <v>9</v>
      </c>
    </row>
    <row r="3959" spans="1:6" x14ac:dyDescent="0.3">
      <c r="A3959" t="s">
        <v>829</v>
      </c>
      <c r="B3959" t="s">
        <v>830</v>
      </c>
      <c r="C3959" t="str">
        <f>HYPERLINK("http://service.sap.com/sap/support/notes/2056472","2056472")</f>
        <v>2056472</v>
      </c>
      <c r="D3959">
        <v>1</v>
      </c>
      <c r="E3959" t="s">
        <v>5634</v>
      </c>
      <c r="F3959" t="s">
        <v>9</v>
      </c>
    </row>
    <row r="3960" spans="1:6" x14ac:dyDescent="0.3">
      <c r="A3960" t="s">
        <v>829</v>
      </c>
      <c r="B3960" t="s">
        <v>830</v>
      </c>
      <c r="C3960" t="str">
        <f>HYPERLINK("http://service.sap.com/sap/support/notes/2058123","2058123")</f>
        <v>2058123</v>
      </c>
      <c r="D3960">
        <v>1</v>
      </c>
      <c r="E3960" t="s">
        <v>5635</v>
      </c>
      <c r="F3960" t="s">
        <v>9</v>
      </c>
    </row>
    <row r="3961" spans="1:6" x14ac:dyDescent="0.3">
      <c r="A3961" t="s">
        <v>829</v>
      </c>
      <c r="B3961" t="s">
        <v>830</v>
      </c>
      <c r="C3961" t="str">
        <f>HYPERLINK("http://service.sap.com/sap/support/notes/2064384","2064384")</f>
        <v>2064384</v>
      </c>
      <c r="D3961">
        <v>1</v>
      </c>
      <c r="E3961" t="s">
        <v>5636</v>
      </c>
      <c r="F3961" t="s">
        <v>9</v>
      </c>
    </row>
    <row r="3962" spans="1:6" x14ac:dyDescent="0.3">
      <c r="A3962" t="s">
        <v>843</v>
      </c>
      <c r="B3962" t="s">
        <v>196</v>
      </c>
      <c r="C3962" t="str">
        <f>HYPERLINK("http://service.sap.com/sap/support/notes/1808448","1808448")</f>
        <v>1808448</v>
      </c>
      <c r="D3962">
        <v>5</v>
      </c>
      <c r="E3962" t="s">
        <v>844</v>
      </c>
      <c r="F3962" t="s">
        <v>9</v>
      </c>
    </row>
    <row r="3963" spans="1:6" x14ac:dyDescent="0.3">
      <c r="A3963" t="s">
        <v>843</v>
      </c>
      <c r="B3963" t="s">
        <v>196</v>
      </c>
      <c r="C3963" t="str">
        <f>HYPERLINK("http://service.sap.com/sap/support/notes/1883918","1883918")</f>
        <v>1883918</v>
      </c>
      <c r="D3963">
        <v>4</v>
      </c>
      <c r="E3963" t="s">
        <v>845</v>
      </c>
      <c r="F3963" t="s">
        <v>28</v>
      </c>
    </row>
    <row r="3964" spans="1:6" x14ac:dyDescent="0.3">
      <c r="A3964" t="s">
        <v>843</v>
      </c>
      <c r="B3964" t="s">
        <v>196</v>
      </c>
      <c r="C3964" t="str">
        <f>HYPERLINK("http://service.sap.com/sap/support/notes/1884524","1884524")</f>
        <v>1884524</v>
      </c>
      <c r="D3964">
        <v>1</v>
      </c>
      <c r="E3964" t="s">
        <v>846</v>
      </c>
      <c r="F3964" t="s">
        <v>28</v>
      </c>
    </row>
    <row r="3965" spans="1:6" x14ac:dyDescent="0.3">
      <c r="A3965" t="s">
        <v>843</v>
      </c>
      <c r="B3965" t="s">
        <v>196</v>
      </c>
      <c r="C3965" t="str">
        <f>HYPERLINK("http://service.sap.com/sap/support/notes/1893072","1893072")</f>
        <v>1893072</v>
      </c>
      <c r="D3965">
        <v>1</v>
      </c>
      <c r="E3965" t="s">
        <v>847</v>
      </c>
      <c r="F3965" t="s">
        <v>16</v>
      </c>
    </row>
    <row r="3966" spans="1:6" x14ac:dyDescent="0.3">
      <c r="A3966" t="s">
        <v>843</v>
      </c>
      <c r="B3966" t="s">
        <v>196</v>
      </c>
      <c r="C3966" t="str">
        <f>HYPERLINK("http://service.sap.com/sap/support/notes/1908660","1908660")</f>
        <v>1908660</v>
      </c>
      <c r="D3966">
        <v>1</v>
      </c>
      <c r="E3966" t="s">
        <v>848</v>
      </c>
      <c r="F3966" t="s">
        <v>9</v>
      </c>
    </row>
    <row r="3967" spans="1:6" x14ac:dyDescent="0.3">
      <c r="A3967" t="s">
        <v>843</v>
      </c>
      <c r="B3967" t="s">
        <v>196</v>
      </c>
      <c r="C3967" t="str">
        <f>HYPERLINK("http://service.sap.com/sap/support/notes/1922867","1922867")</f>
        <v>1922867</v>
      </c>
      <c r="D3967">
        <v>1</v>
      </c>
      <c r="E3967" t="s">
        <v>849</v>
      </c>
      <c r="F3967" t="s">
        <v>16</v>
      </c>
    </row>
    <row r="3968" spans="1:6" x14ac:dyDescent="0.3">
      <c r="A3968" t="s">
        <v>843</v>
      </c>
      <c r="B3968" t="s">
        <v>196</v>
      </c>
      <c r="C3968" t="str">
        <f>HYPERLINK("http://service.sap.com/sap/support/notes/1924506","1924506")</f>
        <v>1924506</v>
      </c>
      <c r="D3968">
        <v>2</v>
      </c>
      <c r="E3968" t="s">
        <v>850</v>
      </c>
      <c r="F3968" t="s">
        <v>9</v>
      </c>
    </row>
    <row r="3969" spans="1:6" x14ac:dyDescent="0.3">
      <c r="A3969" t="s">
        <v>843</v>
      </c>
      <c r="B3969" t="s">
        <v>196</v>
      </c>
      <c r="C3969" t="str">
        <f>HYPERLINK("http://service.sap.com/sap/support/notes/1930278","1930278")</f>
        <v>1930278</v>
      </c>
      <c r="D3969">
        <v>4</v>
      </c>
      <c r="E3969" t="s">
        <v>851</v>
      </c>
      <c r="F3969" t="s">
        <v>16</v>
      </c>
    </row>
    <row r="3970" spans="1:6" x14ac:dyDescent="0.3">
      <c r="A3970" t="s">
        <v>843</v>
      </c>
      <c r="B3970" t="s">
        <v>196</v>
      </c>
      <c r="C3970" t="str">
        <f>HYPERLINK("http://service.sap.com/sap/support/notes/1909832","1909832")</f>
        <v>1909832</v>
      </c>
      <c r="D3970">
        <v>3</v>
      </c>
      <c r="E3970" t="s">
        <v>1337</v>
      </c>
      <c r="F3970" t="s">
        <v>28</v>
      </c>
    </row>
    <row r="3971" spans="1:6" x14ac:dyDescent="0.3">
      <c r="A3971" t="s">
        <v>843</v>
      </c>
      <c r="B3971" t="s">
        <v>196</v>
      </c>
      <c r="C3971" t="str">
        <f>HYPERLINK("http://service.sap.com/sap/support/notes/1932293","1932293")</f>
        <v>1932293</v>
      </c>
      <c r="D3971">
        <v>2</v>
      </c>
      <c r="E3971" t="s">
        <v>1338</v>
      </c>
      <c r="F3971" t="s">
        <v>9</v>
      </c>
    </row>
    <row r="3972" spans="1:6" x14ac:dyDescent="0.3">
      <c r="A3972" t="s">
        <v>843</v>
      </c>
      <c r="B3972" t="s">
        <v>196</v>
      </c>
      <c r="C3972" t="str">
        <f>HYPERLINK("http://service.sap.com/sap/support/notes/1932435","1932435")</f>
        <v>1932435</v>
      </c>
      <c r="D3972">
        <v>1</v>
      </c>
      <c r="E3972" t="s">
        <v>1339</v>
      </c>
      <c r="F3972" t="s">
        <v>9</v>
      </c>
    </row>
    <row r="3973" spans="1:6" x14ac:dyDescent="0.3">
      <c r="A3973" t="s">
        <v>843</v>
      </c>
      <c r="B3973" t="s">
        <v>196</v>
      </c>
      <c r="C3973" t="str">
        <f>HYPERLINK("http://service.sap.com/sap/support/notes/1935088","1935088")</f>
        <v>1935088</v>
      </c>
      <c r="D3973">
        <v>1</v>
      </c>
      <c r="E3973" t="s">
        <v>1340</v>
      </c>
      <c r="F3973" t="s">
        <v>9</v>
      </c>
    </row>
    <row r="3974" spans="1:6" x14ac:dyDescent="0.3">
      <c r="A3974" t="s">
        <v>843</v>
      </c>
      <c r="B3974" t="s">
        <v>196</v>
      </c>
      <c r="C3974" t="str">
        <f>HYPERLINK("http://service.sap.com/sap/support/notes/1936268","1936268")</f>
        <v>1936268</v>
      </c>
      <c r="D3974">
        <v>2</v>
      </c>
      <c r="E3974" t="s">
        <v>1341</v>
      </c>
      <c r="F3974" t="s">
        <v>9</v>
      </c>
    </row>
    <row r="3975" spans="1:6" x14ac:dyDescent="0.3">
      <c r="A3975" t="s">
        <v>843</v>
      </c>
      <c r="B3975" t="s">
        <v>196</v>
      </c>
      <c r="C3975" t="str">
        <f>HYPERLINK("http://service.sap.com/sap/support/notes/1886423","1886423")</f>
        <v>1886423</v>
      </c>
      <c r="D3975">
        <v>6</v>
      </c>
      <c r="E3975" t="s">
        <v>1435</v>
      </c>
      <c r="F3975" t="s">
        <v>9</v>
      </c>
    </row>
    <row r="3976" spans="1:6" x14ac:dyDescent="0.3">
      <c r="A3976" t="s">
        <v>843</v>
      </c>
      <c r="B3976" t="s">
        <v>196</v>
      </c>
      <c r="C3976" t="str">
        <f>HYPERLINK("http://service.sap.com/sap/support/notes/1924431","1924431")</f>
        <v>1924431</v>
      </c>
      <c r="D3976">
        <v>4</v>
      </c>
      <c r="E3976" t="s">
        <v>1436</v>
      </c>
      <c r="F3976" t="s">
        <v>9</v>
      </c>
    </row>
    <row r="3977" spans="1:6" x14ac:dyDescent="0.3">
      <c r="A3977" t="s">
        <v>843</v>
      </c>
      <c r="B3977" t="s">
        <v>196</v>
      </c>
      <c r="C3977" t="str">
        <f>HYPERLINK("http://service.sap.com/sap/support/notes/1936199","1936199")</f>
        <v>1936199</v>
      </c>
      <c r="D3977">
        <v>3</v>
      </c>
      <c r="E3977" t="s">
        <v>1437</v>
      </c>
      <c r="F3977" t="s">
        <v>9</v>
      </c>
    </row>
    <row r="3978" spans="1:6" x14ac:dyDescent="0.3">
      <c r="A3978" t="s">
        <v>843</v>
      </c>
      <c r="B3978" t="s">
        <v>196</v>
      </c>
      <c r="C3978" t="str">
        <f>HYPERLINK("http://service.sap.com/sap/support/notes/1940324","1940324")</f>
        <v>1940324</v>
      </c>
      <c r="D3978">
        <v>1</v>
      </c>
      <c r="E3978" t="s">
        <v>1438</v>
      </c>
      <c r="F3978" t="s">
        <v>28</v>
      </c>
    </row>
    <row r="3979" spans="1:6" x14ac:dyDescent="0.3">
      <c r="A3979" t="s">
        <v>843</v>
      </c>
      <c r="B3979" t="s">
        <v>196</v>
      </c>
      <c r="C3979" t="str">
        <f>HYPERLINK("http://service.sap.com/sap/support/notes/1940787","1940787")</f>
        <v>1940787</v>
      </c>
      <c r="D3979">
        <v>1</v>
      </c>
      <c r="E3979" t="s">
        <v>1439</v>
      </c>
      <c r="F3979" t="s">
        <v>28</v>
      </c>
    </row>
    <row r="3980" spans="1:6" x14ac:dyDescent="0.3">
      <c r="A3980" t="s">
        <v>843</v>
      </c>
      <c r="B3980" t="s">
        <v>196</v>
      </c>
      <c r="C3980" t="str">
        <f>HYPERLINK("http://service.sap.com/sap/support/notes/1941882","1941882")</f>
        <v>1941882</v>
      </c>
      <c r="D3980">
        <v>1</v>
      </c>
      <c r="E3980" t="s">
        <v>1440</v>
      </c>
      <c r="F3980" t="s">
        <v>9</v>
      </c>
    </row>
    <row r="3981" spans="1:6" x14ac:dyDescent="0.3">
      <c r="A3981" t="s">
        <v>843</v>
      </c>
      <c r="B3981" t="s">
        <v>196</v>
      </c>
      <c r="C3981" t="str">
        <f>HYPERLINK("http://service.sap.com/sap/support/notes/1942746","1942746")</f>
        <v>1942746</v>
      </c>
      <c r="D3981">
        <v>1</v>
      </c>
      <c r="E3981" t="s">
        <v>1441</v>
      </c>
      <c r="F3981" t="s">
        <v>28</v>
      </c>
    </row>
    <row r="3982" spans="1:6" x14ac:dyDescent="0.3">
      <c r="A3982" t="s">
        <v>843</v>
      </c>
      <c r="B3982" t="s">
        <v>196</v>
      </c>
      <c r="C3982" t="str">
        <f>HYPERLINK("http://service.sap.com/sap/support/notes/1943553","1943553")</f>
        <v>1943553</v>
      </c>
      <c r="D3982">
        <v>1</v>
      </c>
      <c r="E3982" t="s">
        <v>1442</v>
      </c>
      <c r="F3982" t="s">
        <v>9</v>
      </c>
    </row>
    <row r="3983" spans="1:6" x14ac:dyDescent="0.3">
      <c r="A3983" t="s">
        <v>843</v>
      </c>
      <c r="B3983" t="s">
        <v>196</v>
      </c>
      <c r="C3983" t="str">
        <f>HYPERLINK("http://service.sap.com/sap/support/notes/1947911","1947911")</f>
        <v>1947911</v>
      </c>
      <c r="D3983">
        <v>1</v>
      </c>
      <c r="E3983" t="s">
        <v>1443</v>
      </c>
      <c r="F3983" t="s">
        <v>9</v>
      </c>
    </row>
    <row r="3984" spans="1:6" x14ac:dyDescent="0.3">
      <c r="A3984" t="s">
        <v>843</v>
      </c>
      <c r="B3984" t="s">
        <v>196</v>
      </c>
      <c r="C3984" t="str">
        <f>HYPERLINK("http://service.sap.com/sap/support/notes/1939248","1939248")</f>
        <v>1939248</v>
      </c>
      <c r="D3984">
        <v>1</v>
      </c>
      <c r="E3984" t="s">
        <v>1892</v>
      </c>
      <c r="F3984" t="s">
        <v>9</v>
      </c>
    </row>
    <row r="3985" spans="1:6" x14ac:dyDescent="0.3">
      <c r="A3985" t="s">
        <v>843</v>
      </c>
      <c r="B3985" t="s">
        <v>196</v>
      </c>
      <c r="C3985" t="str">
        <f>HYPERLINK("http://service.sap.com/sap/support/notes/1945519","1945519")</f>
        <v>1945519</v>
      </c>
      <c r="D3985">
        <v>1</v>
      </c>
      <c r="E3985" t="s">
        <v>851</v>
      </c>
      <c r="F3985" t="s">
        <v>16</v>
      </c>
    </row>
    <row r="3986" spans="1:6" x14ac:dyDescent="0.3">
      <c r="A3986" t="s">
        <v>843</v>
      </c>
      <c r="B3986" t="s">
        <v>196</v>
      </c>
      <c r="C3986" t="str">
        <f>HYPERLINK("http://service.sap.com/sap/support/notes/1953542","1953542")</f>
        <v>1953542</v>
      </c>
      <c r="D3986">
        <v>1</v>
      </c>
      <c r="E3986" t="s">
        <v>1893</v>
      </c>
      <c r="F3986" t="s">
        <v>9</v>
      </c>
    </row>
    <row r="3987" spans="1:6" x14ac:dyDescent="0.3">
      <c r="A3987" t="s">
        <v>843</v>
      </c>
      <c r="B3987" t="s">
        <v>196</v>
      </c>
      <c r="C3987" t="str">
        <f>HYPERLINK("http://service.sap.com/sap/support/notes/1954165","1954165")</f>
        <v>1954165</v>
      </c>
      <c r="D3987">
        <v>1</v>
      </c>
      <c r="E3987" t="s">
        <v>1894</v>
      </c>
      <c r="F3987" t="s">
        <v>9</v>
      </c>
    </row>
    <row r="3988" spans="1:6" x14ac:dyDescent="0.3">
      <c r="A3988" t="s">
        <v>843</v>
      </c>
      <c r="B3988" t="s">
        <v>196</v>
      </c>
      <c r="C3988" t="str">
        <f>HYPERLINK("http://service.sap.com/sap/support/notes/1954958","1954958")</f>
        <v>1954958</v>
      </c>
      <c r="D3988">
        <v>3</v>
      </c>
      <c r="E3988" t="s">
        <v>1895</v>
      </c>
      <c r="F3988" t="s">
        <v>28</v>
      </c>
    </row>
    <row r="3989" spans="1:6" x14ac:dyDescent="0.3">
      <c r="A3989" t="s">
        <v>843</v>
      </c>
      <c r="B3989" t="s">
        <v>196</v>
      </c>
      <c r="C3989" t="str">
        <f>HYPERLINK("http://service.sap.com/sap/support/notes/1958000","1958000")</f>
        <v>1958000</v>
      </c>
      <c r="D3989">
        <v>1</v>
      </c>
      <c r="E3989" t="s">
        <v>1896</v>
      </c>
      <c r="F3989" t="s">
        <v>28</v>
      </c>
    </row>
    <row r="3990" spans="1:6" x14ac:dyDescent="0.3">
      <c r="A3990" t="s">
        <v>843</v>
      </c>
      <c r="B3990" t="s">
        <v>196</v>
      </c>
      <c r="C3990" t="str">
        <f>HYPERLINK("http://service.sap.com/sap/support/notes/1958863","1958863")</f>
        <v>1958863</v>
      </c>
      <c r="D3990">
        <v>1</v>
      </c>
      <c r="E3990" t="s">
        <v>1897</v>
      </c>
      <c r="F3990" t="s">
        <v>28</v>
      </c>
    </row>
    <row r="3991" spans="1:6" x14ac:dyDescent="0.3">
      <c r="A3991" t="s">
        <v>843</v>
      </c>
      <c r="B3991" t="s">
        <v>196</v>
      </c>
      <c r="C3991" t="str">
        <f>HYPERLINK("http://service.sap.com/sap/support/notes/1959237","1959237")</f>
        <v>1959237</v>
      </c>
      <c r="D3991">
        <v>2</v>
      </c>
      <c r="E3991" t="s">
        <v>1898</v>
      </c>
      <c r="F3991" t="s">
        <v>9</v>
      </c>
    </row>
    <row r="3992" spans="1:6" x14ac:dyDescent="0.3">
      <c r="A3992" t="s">
        <v>843</v>
      </c>
      <c r="B3992" t="s">
        <v>196</v>
      </c>
      <c r="C3992" t="str">
        <f>HYPERLINK("http://service.sap.com/sap/support/notes/1959413","1959413")</f>
        <v>1959413</v>
      </c>
      <c r="D3992">
        <v>2</v>
      </c>
      <c r="E3992" t="s">
        <v>1899</v>
      </c>
      <c r="F3992" t="s">
        <v>9</v>
      </c>
    </row>
    <row r="3993" spans="1:6" x14ac:dyDescent="0.3">
      <c r="A3993" t="s">
        <v>843</v>
      </c>
      <c r="B3993" t="s">
        <v>196</v>
      </c>
      <c r="C3993" t="str">
        <f>HYPERLINK("http://service.sap.com/sap/support/notes/1960900","1960900")</f>
        <v>1960900</v>
      </c>
      <c r="D3993">
        <v>1</v>
      </c>
      <c r="E3993" t="s">
        <v>1900</v>
      </c>
      <c r="F3993" t="s">
        <v>28</v>
      </c>
    </row>
    <row r="3994" spans="1:6" x14ac:dyDescent="0.3">
      <c r="A3994" t="s">
        <v>843</v>
      </c>
      <c r="B3994" t="s">
        <v>196</v>
      </c>
      <c r="C3994" t="str">
        <f>HYPERLINK("http://service.sap.com/sap/support/notes/1960936","1960936")</f>
        <v>1960936</v>
      </c>
      <c r="D3994">
        <v>5</v>
      </c>
      <c r="E3994" t="s">
        <v>2282</v>
      </c>
      <c r="F3994" t="s">
        <v>9</v>
      </c>
    </row>
    <row r="3995" spans="1:6" x14ac:dyDescent="0.3">
      <c r="A3995" t="s">
        <v>843</v>
      </c>
      <c r="B3995" t="s">
        <v>196</v>
      </c>
      <c r="C3995" t="str">
        <f>HYPERLINK("http://service.sap.com/sap/support/notes/1964026","1964026")</f>
        <v>1964026</v>
      </c>
      <c r="D3995">
        <v>1</v>
      </c>
      <c r="E3995" t="s">
        <v>2283</v>
      </c>
      <c r="F3995" t="s">
        <v>16</v>
      </c>
    </row>
    <row r="3996" spans="1:6" x14ac:dyDescent="0.3">
      <c r="A3996" t="s">
        <v>843</v>
      </c>
      <c r="B3996" t="s">
        <v>196</v>
      </c>
      <c r="C3996" t="str">
        <f>HYPERLINK("http://service.sap.com/sap/support/notes/1964069","1964069")</f>
        <v>1964069</v>
      </c>
      <c r="D3996">
        <v>2</v>
      </c>
      <c r="E3996" t="s">
        <v>2284</v>
      </c>
      <c r="F3996" t="s">
        <v>16</v>
      </c>
    </row>
    <row r="3997" spans="1:6" x14ac:dyDescent="0.3">
      <c r="A3997" t="s">
        <v>843</v>
      </c>
      <c r="B3997" t="s">
        <v>196</v>
      </c>
      <c r="C3997" t="str">
        <f>HYPERLINK("http://service.sap.com/sap/support/notes/1969558","1969558")</f>
        <v>1969558</v>
      </c>
      <c r="D3997">
        <v>1</v>
      </c>
      <c r="E3997" t="s">
        <v>2285</v>
      </c>
      <c r="F3997" t="s">
        <v>9</v>
      </c>
    </row>
    <row r="3998" spans="1:6" x14ac:dyDescent="0.3">
      <c r="A3998" t="s">
        <v>843</v>
      </c>
      <c r="B3998" t="s">
        <v>196</v>
      </c>
      <c r="C3998" t="str">
        <f>HYPERLINK("http://service.sap.com/sap/support/notes/1962087","1962087")</f>
        <v>1962087</v>
      </c>
      <c r="D3998">
        <v>3</v>
      </c>
      <c r="E3998" t="s">
        <v>2678</v>
      </c>
      <c r="F3998" t="s">
        <v>9</v>
      </c>
    </row>
    <row r="3999" spans="1:6" x14ac:dyDescent="0.3">
      <c r="A3999" t="s">
        <v>843</v>
      </c>
      <c r="B3999" t="s">
        <v>196</v>
      </c>
      <c r="C3999" t="str">
        <f>HYPERLINK("http://service.sap.com/sap/support/notes/1963372","1963372")</f>
        <v>1963372</v>
      </c>
      <c r="D3999">
        <v>6</v>
      </c>
      <c r="E3999" t="s">
        <v>2679</v>
      </c>
      <c r="F3999" t="s">
        <v>9</v>
      </c>
    </row>
    <row r="4000" spans="1:6" x14ac:dyDescent="0.3">
      <c r="A4000" t="s">
        <v>843</v>
      </c>
      <c r="B4000" t="s">
        <v>196</v>
      </c>
      <c r="C4000" t="str">
        <f>HYPERLINK("http://service.sap.com/sap/support/notes/1970244","1970244")</f>
        <v>1970244</v>
      </c>
      <c r="D4000">
        <v>3</v>
      </c>
      <c r="E4000" t="s">
        <v>2680</v>
      </c>
      <c r="F4000" t="s">
        <v>9</v>
      </c>
    </row>
    <row r="4001" spans="1:6" x14ac:dyDescent="0.3">
      <c r="A4001" t="s">
        <v>843</v>
      </c>
      <c r="B4001" t="s">
        <v>196</v>
      </c>
      <c r="C4001" t="str">
        <f>HYPERLINK("http://service.sap.com/sap/support/notes/1970809","1970809")</f>
        <v>1970809</v>
      </c>
      <c r="D4001">
        <v>2</v>
      </c>
      <c r="E4001" t="s">
        <v>2681</v>
      </c>
      <c r="F4001" t="s">
        <v>9</v>
      </c>
    </row>
    <row r="4002" spans="1:6" x14ac:dyDescent="0.3">
      <c r="A4002" t="s">
        <v>843</v>
      </c>
      <c r="B4002" t="s">
        <v>196</v>
      </c>
      <c r="C4002" t="str">
        <f>HYPERLINK("http://service.sap.com/sap/support/notes/1971330","1971330")</f>
        <v>1971330</v>
      </c>
      <c r="D4002">
        <v>1</v>
      </c>
      <c r="E4002" t="s">
        <v>2682</v>
      </c>
      <c r="F4002" t="s">
        <v>9</v>
      </c>
    </row>
    <row r="4003" spans="1:6" x14ac:dyDescent="0.3">
      <c r="A4003" t="s">
        <v>843</v>
      </c>
      <c r="B4003" t="s">
        <v>196</v>
      </c>
      <c r="C4003" t="str">
        <f>HYPERLINK("http://service.sap.com/sap/support/notes/1972101","1972101")</f>
        <v>1972101</v>
      </c>
      <c r="D4003">
        <v>3</v>
      </c>
      <c r="E4003" t="s">
        <v>2683</v>
      </c>
      <c r="F4003" t="s">
        <v>9</v>
      </c>
    </row>
    <row r="4004" spans="1:6" x14ac:dyDescent="0.3">
      <c r="A4004" t="s">
        <v>843</v>
      </c>
      <c r="B4004" t="s">
        <v>196</v>
      </c>
      <c r="C4004" t="str">
        <f>HYPERLINK("http://service.sap.com/sap/support/notes/1976801","1976801")</f>
        <v>1976801</v>
      </c>
      <c r="D4004">
        <v>2</v>
      </c>
      <c r="E4004" t="s">
        <v>2684</v>
      </c>
      <c r="F4004" t="s">
        <v>9</v>
      </c>
    </row>
    <row r="4005" spans="1:6" x14ac:dyDescent="0.3">
      <c r="A4005" t="s">
        <v>843</v>
      </c>
      <c r="B4005" t="s">
        <v>196</v>
      </c>
      <c r="C4005" t="str">
        <f>HYPERLINK("http://service.sap.com/sap/support/notes/1979215","1979215")</f>
        <v>1979215</v>
      </c>
      <c r="D4005">
        <v>2</v>
      </c>
      <c r="E4005" t="s">
        <v>2685</v>
      </c>
      <c r="F4005" t="s">
        <v>9</v>
      </c>
    </row>
    <row r="4006" spans="1:6" x14ac:dyDescent="0.3">
      <c r="A4006" t="s">
        <v>843</v>
      </c>
      <c r="B4006" t="s">
        <v>196</v>
      </c>
      <c r="C4006" t="str">
        <f>HYPERLINK("http://service.sap.com/sap/support/notes/1979277","1979277")</f>
        <v>1979277</v>
      </c>
      <c r="D4006">
        <v>1</v>
      </c>
      <c r="E4006" t="s">
        <v>2686</v>
      </c>
      <c r="F4006" t="s">
        <v>9</v>
      </c>
    </row>
    <row r="4007" spans="1:6" x14ac:dyDescent="0.3">
      <c r="A4007" t="s">
        <v>843</v>
      </c>
      <c r="B4007" t="s">
        <v>196</v>
      </c>
      <c r="C4007" t="str">
        <f>HYPERLINK("http://service.sap.com/sap/support/notes/1982370","1982370")</f>
        <v>1982370</v>
      </c>
      <c r="D4007">
        <v>2</v>
      </c>
      <c r="E4007" t="s">
        <v>1337</v>
      </c>
      <c r="F4007" t="s">
        <v>28</v>
      </c>
    </row>
    <row r="4008" spans="1:6" x14ac:dyDescent="0.3">
      <c r="A4008" t="s">
        <v>843</v>
      </c>
      <c r="B4008" t="s">
        <v>196</v>
      </c>
      <c r="C4008" t="str">
        <f>HYPERLINK("http://service.sap.com/sap/support/notes/1973107","1973107")</f>
        <v>1973107</v>
      </c>
      <c r="D4008">
        <v>4</v>
      </c>
      <c r="E4008" t="s">
        <v>3155</v>
      </c>
      <c r="F4008" t="s">
        <v>9</v>
      </c>
    </row>
    <row r="4009" spans="1:6" x14ac:dyDescent="0.3">
      <c r="A4009" t="s">
        <v>843</v>
      </c>
      <c r="B4009" t="s">
        <v>196</v>
      </c>
      <c r="C4009" t="str">
        <f>HYPERLINK("http://service.sap.com/sap/support/notes/1976007","1976007")</f>
        <v>1976007</v>
      </c>
      <c r="D4009">
        <v>6</v>
      </c>
      <c r="E4009" t="s">
        <v>3155</v>
      </c>
      <c r="F4009" t="s">
        <v>9</v>
      </c>
    </row>
    <row r="4010" spans="1:6" x14ac:dyDescent="0.3">
      <c r="A4010" t="s">
        <v>843</v>
      </c>
      <c r="B4010" t="s">
        <v>196</v>
      </c>
      <c r="C4010" t="str">
        <f>HYPERLINK("http://service.sap.com/sap/support/notes/1984703","1984703")</f>
        <v>1984703</v>
      </c>
      <c r="D4010">
        <v>1</v>
      </c>
      <c r="E4010" t="s">
        <v>3156</v>
      </c>
      <c r="F4010" t="s">
        <v>9</v>
      </c>
    </row>
    <row r="4011" spans="1:6" x14ac:dyDescent="0.3">
      <c r="A4011" t="s">
        <v>843</v>
      </c>
      <c r="B4011" t="s">
        <v>196</v>
      </c>
      <c r="C4011" t="str">
        <f>HYPERLINK("http://service.sap.com/sap/support/notes/1984705","1984705")</f>
        <v>1984705</v>
      </c>
      <c r="D4011">
        <v>1</v>
      </c>
      <c r="E4011" t="s">
        <v>3157</v>
      </c>
      <c r="F4011" t="s">
        <v>9</v>
      </c>
    </row>
    <row r="4012" spans="1:6" x14ac:dyDescent="0.3">
      <c r="A4012" t="s">
        <v>843</v>
      </c>
      <c r="B4012" t="s">
        <v>196</v>
      </c>
      <c r="C4012" t="str">
        <f>HYPERLINK("http://service.sap.com/sap/support/notes/1985322","1985322")</f>
        <v>1985322</v>
      </c>
      <c r="D4012">
        <v>2</v>
      </c>
      <c r="E4012" t="s">
        <v>3158</v>
      </c>
      <c r="F4012" t="s">
        <v>9</v>
      </c>
    </row>
    <row r="4013" spans="1:6" x14ac:dyDescent="0.3">
      <c r="A4013" t="s">
        <v>843</v>
      </c>
      <c r="B4013" t="s">
        <v>196</v>
      </c>
      <c r="C4013" t="str">
        <f>HYPERLINK("http://service.sap.com/sap/support/notes/1989048","1989048")</f>
        <v>1989048</v>
      </c>
      <c r="D4013">
        <v>1</v>
      </c>
      <c r="E4013" t="s">
        <v>3159</v>
      </c>
      <c r="F4013" t="s">
        <v>9</v>
      </c>
    </row>
    <row r="4014" spans="1:6" x14ac:dyDescent="0.3">
      <c r="A4014" t="s">
        <v>843</v>
      </c>
      <c r="B4014" t="s">
        <v>196</v>
      </c>
      <c r="C4014" t="str">
        <f>HYPERLINK("http://service.sap.com/sap/support/notes/1989994","1989994")</f>
        <v>1989994</v>
      </c>
      <c r="D4014">
        <v>3</v>
      </c>
      <c r="E4014" t="s">
        <v>3160</v>
      </c>
      <c r="F4014" t="s">
        <v>9</v>
      </c>
    </row>
    <row r="4015" spans="1:6" x14ac:dyDescent="0.3">
      <c r="A4015" t="s">
        <v>843</v>
      </c>
      <c r="B4015" t="s">
        <v>196</v>
      </c>
      <c r="C4015" t="str">
        <f>HYPERLINK("http://service.sap.com/sap/support/notes/1991254","1991254")</f>
        <v>1991254</v>
      </c>
      <c r="D4015">
        <v>2</v>
      </c>
      <c r="E4015" t="s">
        <v>3161</v>
      </c>
      <c r="F4015" t="s">
        <v>9</v>
      </c>
    </row>
    <row r="4016" spans="1:6" x14ac:dyDescent="0.3">
      <c r="A4016" t="s">
        <v>843</v>
      </c>
      <c r="B4016" t="s">
        <v>196</v>
      </c>
      <c r="C4016" t="str">
        <f>HYPERLINK("http://service.sap.com/sap/support/notes/1854416","1854416")</f>
        <v>1854416</v>
      </c>
      <c r="D4016">
        <v>1</v>
      </c>
      <c r="E4016" t="s">
        <v>3802</v>
      </c>
      <c r="F4016" t="s">
        <v>9</v>
      </c>
    </row>
    <row r="4017" spans="1:6" x14ac:dyDescent="0.3">
      <c r="A4017" t="s">
        <v>843</v>
      </c>
      <c r="B4017" t="s">
        <v>196</v>
      </c>
      <c r="C4017" t="str">
        <f>HYPERLINK("http://service.sap.com/sap/support/notes/1973809","1973809")</f>
        <v>1973809</v>
      </c>
      <c r="D4017">
        <v>5</v>
      </c>
      <c r="E4017" t="s">
        <v>3803</v>
      </c>
      <c r="F4017" t="s">
        <v>9</v>
      </c>
    </row>
    <row r="4018" spans="1:6" x14ac:dyDescent="0.3">
      <c r="A4018" t="s">
        <v>843</v>
      </c>
      <c r="B4018" t="s">
        <v>196</v>
      </c>
      <c r="C4018" t="str">
        <f>HYPERLINK("http://service.sap.com/sap/support/notes/1991429","1991429")</f>
        <v>1991429</v>
      </c>
      <c r="D4018">
        <v>6</v>
      </c>
      <c r="E4018" t="s">
        <v>3804</v>
      </c>
      <c r="F4018" t="s">
        <v>28</v>
      </c>
    </row>
    <row r="4019" spans="1:6" x14ac:dyDescent="0.3">
      <c r="A4019" t="s">
        <v>843</v>
      </c>
      <c r="B4019" t="s">
        <v>196</v>
      </c>
      <c r="C4019" t="str">
        <f>HYPERLINK("http://service.sap.com/sap/support/notes/1992447","1992447")</f>
        <v>1992447</v>
      </c>
      <c r="D4019">
        <v>2</v>
      </c>
      <c r="E4019" t="s">
        <v>3805</v>
      </c>
      <c r="F4019" t="s">
        <v>28</v>
      </c>
    </row>
    <row r="4020" spans="1:6" x14ac:dyDescent="0.3">
      <c r="A4020" t="s">
        <v>843</v>
      </c>
      <c r="B4020" t="s">
        <v>196</v>
      </c>
      <c r="C4020" t="str">
        <f>HYPERLINK("http://service.sap.com/sap/support/notes/1993948","1993948")</f>
        <v>1993948</v>
      </c>
      <c r="D4020">
        <v>4</v>
      </c>
      <c r="E4020" t="s">
        <v>3806</v>
      </c>
      <c r="F4020" t="s">
        <v>9</v>
      </c>
    </row>
    <row r="4021" spans="1:6" x14ac:dyDescent="0.3">
      <c r="A4021" t="s">
        <v>843</v>
      </c>
      <c r="B4021" t="s">
        <v>196</v>
      </c>
      <c r="C4021" t="str">
        <f>HYPERLINK("http://service.sap.com/sap/support/notes/1996575","1996575")</f>
        <v>1996575</v>
      </c>
      <c r="D4021">
        <v>1</v>
      </c>
      <c r="E4021" t="s">
        <v>3807</v>
      </c>
      <c r="F4021" t="s">
        <v>9</v>
      </c>
    </row>
    <row r="4022" spans="1:6" x14ac:dyDescent="0.3">
      <c r="A4022" t="s">
        <v>843</v>
      </c>
      <c r="B4022" t="s">
        <v>196</v>
      </c>
      <c r="C4022" t="str">
        <f>HYPERLINK("http://service.sap.com/sap/support/notes/2000256","2000256")</f>
        <v>2000256</v>
      </c>
      <c r="D4022">
        <v>1</v>
      </c>
      <c r="E4022" t="s">
        <v>3808</v>
      </c>
      <c r="F4022" t="s">
        <v>9</v>
      </c>
    </row>
    <row r="4023" spans="1:6" x14ac:dyDescent="0.3">
      <c r="A4023" t="s">
        <v>843</v>
      </c>
      <c r="B4023" t="s">
        <v>196</v>
      </c>
      <c r="C4023" t="str">
        <f>HYPERLINK("http://service.sap.com/sap/support/notes/2001554","2001554")</f>
        <v>2001554</v>
      </c>
      <c r="D4023">
        <v>1</v>
      </c>
      <c r="E4023" t="s">
        <v>3809</v>
      </c>
      <c r="F4023" t="s">
        <v>16</v>
      </c>
    </row>
    <row r="4024" spans="1:6" x14ac:dyDescent="0.3">
      <c r="A4024" t="s">
        <v>843</v>
      </c>
      <c r="B4024" t="s">
        <v>196</v>
      </c>
      <c r="C4024" t="str">
        <f>HYPERLINK("http://service.sap.com/sap/support/notes/2003753","2003753")</f>
        <v>2003753</v>
      </c>
      <c r="D4024">
        <v>1</v>
      </c>
      <c r="E4024" t="s">
        <v>3810</v>
      </c>
      <c r="F4024" t="s">
        <v>9</v>
      </c>
    </row>
    <row r="4025" spans="1:6" x14ac:dyDescent="0.3">
      <c r="A4025" t="s">
        <v>843</v>
      </c>
      <c r="B4025" t="s">
        <v>196</v>
      </c>
      <c r="C4025" t="str">
        <f>HYPERLINK("http://service.sap.com/sap/support/notes/2003900","2003900")</f>
        <v>2003900</v>
      </c>
      <c r="D4025">
        <v>1</v>
      </c>
      <c r="E4025" t="s">
        <v>3811</v>
      </c>
      <c r="F4025" t="s">
        <v>9</v>
      </c>
    </row>
    <row r="4026" spans="1:6" x14ac:dyDescent="0.3">
      <c r="A4026" t="s">
        <v>843</v>
      </c>
      <c r="B4026" t="s">
        <v>196</v>
      </c>
      <c r="C4026" t="str">
        <f>HYPERLINK("http://service.sap.com/sap/support/notes/2004681","2004681")</f>
        <v>2004681</v>
      </c>
      <c r="D4026">
        <v>1</v>
      </c>
      <c r="E4026" t="s">
        <v>3812</v>
      </c>
      <c r="F4026" t="s">
        <v>9</v>
      </c>
    </row>
    <row r="4027" spans="1:6" x14ac:dyDescent="0.3">
      <c r="A4027" t="s">
        <v>843</v>
      </c>
      <c r="B4027" t="s">
        <v>196</v>
      </c>
      <c r="C4027" t="str">
        <f>HYPERLINK("http://service.sap.com/sap/support/notes/2005420","2005420")</f>
        <v>2005420</v>
      </c>
      <c r="D4027">
        <v>1</v>
      </c>
      <c r="E4027" t="s">
        <v>3813</v>
      </c>
      <c r="F4027" t="s">
        <v>9</v>
      </c>
    </row>
    <row r="4028" spans="1:6" x14ac:dyDescent="0.3">
      <c r="A4028" t="s">
        <v>843</v>
      </c>
      <c r="B4028" t="s">
        <v>196</v>
      </c>
      <c r="C4028" t="str">
        <f>HYPERLINK("http://service.sap.com/sap/support/notes/2007041","2007041")</f>
        <v>2007041</v>
      </c>
      <c r="D4028">
        <v>3</v>
      </c>
      <c r="E4028" t="s">
        <v>3814</v>
      </c>
      <c r="F4028" t="s">
        <v>9</v>
      </c>
    </row>
    <row r="4029" spans="1:6" x14ac:dyDescent="0.3">
      <c r="A4029" t="s">
        <v>843</v>
      </c>
      <c r="B4029" t="s">
        <v>196</v>
      </c>
      <c r="C4029" t="str">
        <f>HYPERLINK("http://service.sap.com/sap/support/notes/2009689","2009689")</f>
        <v>2009689</v>
      </c>
      <c r="D4029">
        <v>1</v>
      </c>
      <c r="E4029" t="s">
        <v>3815</v>
      </c>
      <c r="F4029" t="s">
        <v>9</v>
      </c>
    </row>
    <row r="4030" spans="1:6" x14ac:dyDescent="0.3">
      <c r="A4030" t="s">
        <v>843</v>
      </c>
      <c r="B4030" t="s">
        <v>196</v>
      </c>
      <c r="C4030" t="str">
        <f>HYPERLINK("http://service.sap.com/sap/support/notes/2015196","2015196")</f>
        <v>2015196</v>
      </c>
      <c r="D4030">
        <v>1</v>
      </c>
      <c r="E4030" t="s">
        <v>4288</v>
      </c>
      <c r="F4030" t="s">
        <v>9</v>
      </c>
    </row>
    <row r="4031" spans="1:6" x14ac:dyDescent="0.3">
      <c r="A4031" t="s">
        <v>843</v>
      </c>
      <c r="B4031" t="s">
        <v>196</v>
      </c>
      <c r="C4031" t="str">
        <f>HYPERLINK("http://service.sap.com/sap/support/notes/2018561","2018561")</f>
        <v>2018561</v>
      </c>
      <c r="D4031">
        <v>3</v>
      </c>
      <c r="E4031" t="s">
        <v>4289</v>
      </c>
      <c r="F4031" t="s">
        <v>9</v>
      </c>
    </row>
    <row r="4032" spans="1:6" x14ac:dyDescent="0.3">
      <c r="A4032" t="s">
        <v>843</v>
      </c>
      <c r="B4032" t="s">
        <v>196</v>
      </c>
      <c r="C4032" t="str">
        <f>HYPERLINK("http://service.sap.com/sap/support/notes/2020963","2020963")</f>
        <v>2020963</v>
      </c>
      <c r="D4032">
        <v>1</v>
      </c>
      <c r="E4032" t="s">
        <v>4290</v>
      </c>
      <c r="F4032" t="s">
        <v>9</v>
      </c>
    </row>
    <row r="4033" spans="1:6" x14ac:dyDescent="0.3">
      <c r="A4033" t="s">
        <v>843</v>
      </c>
      <c r="B4033" t="s">
        <v>196</v>
      </c>
      <c r="C4033" t="str">
        <f>HYPERLINK("http://service.sap.com/sap/support/notes/2020980","2020980")</f>
        <v>2020980</v>
      </c>
      <c r="D4033">
        <v>3</v>
      </c>
      <c r="E4033" t="s">
        <v>4291</v>
      </c>
      <c r="F4033" t="s">
        <v>9</v>
      </c>
    </row>
    <row r="4034" spans="1:6" x14ac:dyDescent="0.3">
      <c r="A4034" t="s">
        <v>843</v>
      </c>
      <c r="B4034" t="s">
        <v>196</v>
      </c>
      <c r="C4034" t="str">
        <f>HYPERLINK("http://service.sap.com/sap/support/notes/1961270","1961270")</f>
        <v>1961270</v>
      </c>
      <c r="D4034">
        <v>3</v>
      </c>
      <c r="E4034" t="s">
        <v>4606</v>
      </c>
      <c r="F4034" t="s">
        <v>9</v>
      </c>
    </row>
    <row r="4035" spans="1:6" x14ac:dyDescent="0.3">
      <c r="A4035" t="s">
        <v>843</v>
      </c>
      <c r="B4035" t="s">
        <v>196</v>
      </c>
      <c r="C4035" t="str">
        <f>HYPERLINK("http://service.sap.com/sap/support/notes/2020980","2020980")</f>
        <v>2020980</v>
      </c>
      <c r="D4035">
        <v>3</v>
      </c>
      <c r="E4035" t="s">
        <v>4291</v>
      </c>
      <c r="F4035" t="s">
        <v>9</v>
      </c>
    </row>
    <row r="4036" spans="1:6" x14ac:dyDescent="0.3">
      <c r="A4036" t="s">
        <v>843</v>
      </c>
      <c r="B4036" t="s">
        <v>196</v>
      </c>
      <c r="C4036" t="str">
        <f>HYPERLINK("http://service.sap.com/sap/support/notes/2022712","2022712")</f>
        <v>2022712</v>
      </c>
      <c r="D4036">
        <v>2</v>
      </c>
      <c r="E4036" t="s">
        <v>4607</v>
      </c>
      <c r="F4036" t="s">
        <v>28</v>
      </c>
    </row>
    <row r="4037" spans="1:6" x14ac:dyDescent="0.3">
      <c r="A4037" t="s">
        <v>843</v>
      </c>
      <c r="B4037" t="s">
        <v>196</v>
      </c>
      <c r="C4037" t="str">
        <f>HYPERLINK("http://service.sap.com/sap/support/notes/2025261","2025261")</f>
        <v>2025261</v>
      </c>
      <c r="D4037">
        <v>1</v>
      </c>
      <c r="E4037" t="s">
        <v>4608</v>
      </c>
      <c r="F4037" t="s">
        <v>9</v>
      </c>
    </row>
    <row r="4038" spans="1:6" x14ac:dyDescent="0.3">
      <c r="A4038" t="s">
        <v>843</v>
      </c>
      <c r="B4038" t="s">
        <v>196</v>
      </c>
      <c r="C4038" t="str">
        <f>HYPERLINK("http://service.sap.com/sap/support/notes/2025657","2025657")</f>
        <v>2025657</v>
      </c>
      <c r="D4038">
        <v>1</v>
      </c>
      <c r="E4038" t="s">
        <v>4609</v>
      </c>
      <c r="F4038" t="s">
        <v>9</v>
      </c>
    </row>
    <row r="4039" spans="1:6" x14ac:dyDescent="0.3">
      <c r="A4039" t="s">
        <v>843</v>
      </c>
      <c r="B4039" t="s">
        <v>196</v>
      </c>
      <c r="C4039" t="str">
        <f>HYPERLINK("http://service.sap.com/sap/support/notes/2025921","2025921")</f>
        <v>2025921</v>
      </c>
      <c r="D4039">
        <v>1</v>
      </c>
      <c r="E4039" t="s">
        <v>4610</v>
      </c>
      <c r="F4039" t="s">
        <v>9</v>
      </c>
    </row>
    <row r="4040" spans="1:6" x14ac:dyDescent="0.3">
      <c r="A4040" t="s">
        <v>843</v>
      </c>
      <c r="B4040" t="s">
        <v>196</v>
      </c>
      <c r="C4040" t="str">
        <f>HYPERLINK("http://service.sap.com/sap/support/notes/2028805","2028805")</f>
        <v>2028805</v>
      </c>
      <c r="D4040">
        <v>1</v>
      </c>
      <c r="E4040" t="s">
        <v>4611</v>
      </c>
      <c r="F4040" t="s">
        <v>9</v>
      </c>
    </row>
    <row r="4041" spans="1:6" x14ac:dyDescent="0.3">
      <c r="A4041" t="s">
        <v>843</v>
      </c>
      <c r="B4041" t="s">
        <v>196</v>
      </c>
      <c r="C4041" t="str">
        <f>HYPERLINK("http://service.sap.com/sap/support/notes/2030768","2030768")</f>
        <v>2030768</v>
      </c>
      <c r="D4041">
        <v>2</v>
      </c>
      <c r="E4041" t="s">
        <v>4612</v>
      </c>
      <c r="F4041" t="s">
        <v>9</v>
      </c>
    </row>
    <row r="4042" spans="1:6" x14ac:dyDescent="0.3">
      <c r="A4042" t="s">
        <v>843</v>
      </c>
      <c r="B4042" t="s">
        <v>196</v>
      </c>
      <c r="C4042" t="str">
        <f>HYPERLINK("http://service.sap.com/sap/support/notes/2021682","2021682")</f>
        <v>2021682</v>
      </c>
      <c r="D4042">
        <v>2</v>
      </c>
      <c r="E4042" t="s">
        <v>4972</v>
      </c>
      <c r="F4042" t="s">
        <v>28</v>
      </c>
    </row>
    <row r="4043" spans="1:6" x14ac:dyDescent="0.3">
      <c r="A4043" t="s">
        <v>843</v>
      </c>
      <c r="B4043" t="s">
        <v>196</v>
      </c>
      <c r="C4043" t="str">
        <f>HYPERLINK("http://service.sap.com/sap/support/notes/2039566","2039566")</f>
        <v>2039566</v>
      </c>
      <c r="D4043">
        <v>3</v>
      </c>
      <c r="E4043" t="s">
        <v>4973</v>
      </c>
      <c r="F4043" t="s">
        <v>9</v>
      </c>
    </row>
    <row r="4044" spans="1:6" x14ac:dyDescent="0.3">
      <c r="A4044" t="s">
        <v>843</v>
      </c>
      <c r="B4044" t="s">
        <v>196</v>
      </c>
      <c r="C4044" t="str">
        <f>HYPERLINK("http://service.sap.com/sap/support/notes/2015843","2015843")</f>
        <v>2015843</v>
      </c>
      <c r="D4044">
        <v>19</v>
      </c>
      <c r="E4044" t="s">
        <v>5303</v>
      </c>
      <c r="F4044" t="s">
        <v>9</v>
      </c>
    </row>
    <row r="4045" spans="1:6" x14ac:dyDescent="0.3">
      <c r="A4045" t="s">
        <v>843</v>
      </c>
      <c r="B4045" t="s">
        <v>196</v>
      </c>
      <c r="C4045" t="str">
        <f>HYPERLINK("http://service.sap.com/sap/support/notes/2031976","2031976")</f>
        <v>2031976</v>
      </c>
      <c r="D4045">
        <v>2</v>
      </c>
      <c r="E4045" t="s">
        <v>5304</v>
      </c>
      <c r="F4045" t="s">
        <v>9</v>
      </c>
    </row>
    <row r="4046" spans="1:6" x14ac:dyDescent="0.3">
      <c r="A4046" t="s">
        <v>843</v>
      </c>
      <c r="B4046" t="s">
        <v>196</v>
      </c>
      <c r="C4046" t="str">
        <f>HYPERLINK("http://service.sap.com/sap/support/notes/2050099","2050099")</f>
        <v>2050099</v>
      </c>
      <c r="D4046">
        <v>3</v>
      </c>
      <c r="E4046" t="s">
        <v>5305</v>
      </c>
      <c r="F4046" t="s">
        <v>9</v>
      </c>
    </row>
    <row r="4047" spans="1:6" x14ac:dyDescent="0.3">
      <c r="A4047" t="s">
        <v>843</v>
      </c>
      <c r="B4047" t="s">
        <v>196</v>
      </c>
      <c r="C4047" t="str">
        <f>HYPERLINK("http://service.sap.com/sap/support/notes/2050115","2050115")</f>
        <v>2050115</v>
      </c>
      <c r="D4047">
        <v>2</v>
      </c>
      <c r="E4047" t="s">
        <v>5306</v>
      </c>
      <c r="F4047" t="s">
        <v>9</v>
      </c>
    </row>
    <row r="4048" spans="1:6" x14ac:dyDescent="0.3">
      <c r="A4048" t="s">
        <v>843</v>
      </c>
      <c r="B4048" t="s">
        <v>196</v>
      </c>
      <c r="C4048" t="str">
        <f>HYPERLINK("http://service.sap.com/sap/support/notes/2051075","2051075")</f>
        <v>2051075</v>
      </c>
      <c r="D4048">
        <v>1</v>
      </c>
      <c r="E4048" t="s">
        <v>5307</v>
      </c>
      <c r="F4048" t="s">
        <v>9</v>
      </c>
    </row>
    <row r="4049" spans="1:6" x14ac:dyDescent="0.3">
      <c r="A4049" t="s">
        <v>843</v>
      </c>
      <c r="B4049" t="s">
        <v>196</v>
      </c>
      <c r="C4049" t="str">
        <f>HYPERLINK("http://service.sap.com/sap/support/notes/2056941","2056941")</f>
        <v>2056941</v>
      </c>
      <c r="D4049">
        <v>1</v>
      </c>
      <c r="E4049" t="s">
        <v>5637</v>
      </c>
      <c r="F4049" t="s">
        <v>9</v>
      </c>
    </row>
    <row r="4050" spans="1:6" x14ac:dyDescent="0.3">
      <c r="A4050" t="s">
        <v>843</v>
      </c>
      <c r="B4050" t="s">
        <v>196</v>
      </c>
      <c r="C4050" t="str">
        <f>HYPERLINK("http://service.sap.com/sap/support/notes/2064597","2064597")</f>
        <v>2064597</v>
      </c>
      <c r="D4050">
        <v>1</v>
      </c>
      <c r="E4050" t="s">
        <v>5638</v>
      </c>
      <c r="F4050" t="s">
        <v>9</v>
      </c>
    </row>
    <row r="4051" spans="1:6" x14ac:dyDescent="0.3">
      <c r="A4051" t="s">
        <v>852</v>
      </c>
      <c r="B4051" t="s">
        <v>853</v>
      </c>
      <c r="C4051" t="str">
        <f>HYPERLINK("http://service.sap.com/sap/support/notes/1850298","1850298")</f>
        <v>1850298</v>
      </c>
      <c r="D4051">
        <v>4</v>
      </c>
      <c r="E4051" t="s">
        <v>854</v>
      </c>
      <c r="F4051" t="s">
        <v>9</v>
      </c>
    </row>
    <row r="4052" spans="1:6" x14ac:dyDescent="0.3">
      <c r="A4052" t="s">
        <v>852</v>
      </c>
      <c r="B4052" t="s">
        <v>853</v>
      </c>
      <c r="C4052" t="str">
        <f>HYPERLINK("http://service.sap.com/sap/support/notes/1907935","1907935")</f>
        <v>1907935</v>
      </c>
      <c r="D4052">
        <v>2</v>
      </c>
      <c r="E4052" t="s">
        <v>855</v>
      </c>
      <c r="F4052" t="s">
        <v>9</v>
      </c>
    </row>
    <row r="4053" spans="1:6" x14ac:dyDescent="0.3">
      <c r="A4053" t="s">
        <v>852</v>
      </c>
      <c r="B4053" t="s">
        <v>853</v>
      </c>
      <c r="C4053" t="str">
        <f>HYPERLINK("http://service.sap.com/sap/support/notes/1917453","1917453")</f>
        <v>1917453</v>
      </c>
      <c r="D4053">
        <v>1</v>
      </c>
      <c r="E4053" t="s">
        <v>856</v>
      </c>
      <c r="F4053" t="s">
        <v>9</v>
      </c>
    </row>
    <row r="4054" spans="1:6" x14ac:dyDescent="0.3">
      <c r="A4054" t="s">
        <v>852</v>
      </c>
      <c r="B4054" t="s">
        <v>853</v>
      </c>
      <c r="C4054" t="str">
        <f>HYPERLINK("http://service.sap.com/sap/support/notes/1931567","1931567")</f>
        <v>1931567</v>
      </c>
      <c r="D4054">
        <v>1</v>
      </c>
      <c r="E4054" t="s">
        <v>857</v>
      </c>
      <c r="F4054" t="s">
        <v>9</v>
      </c>
    </row>
    <row r="4055" spans="1:6" x14ac:dyDescent="0.3">
      <c r="A4055" t="s">
        <v>852</v>
      </c>
      <c r="B4055" t="s">
        <v>853</v>
      </c>
      <c r="C4055" t="str">
        <f>HYPERLINK("http://service.sap.com/sap/support/notes/1931648","1931648")</f>
        <v>1931648</v>
      </c>
      <c r="D4055">
        <v>1</v>
      </c>
      <c r="E4055" t="s">
        <v>858</v>
      </c>
      <c r="F4055" t="s">
        <v>9</v>
      </c>
    </row>
    <row r="4056" spans="1:6" x14ac:dyDescent="0.3">
      <c r="A4056" t="s">
        <v>852</v>
      </c>
      <c r="B4056" t="s">
        <v>853</v>
      </c>
      <c r="C4056" t="str">
        <f>HYPERLINK("http://service.sap.com/sap/support/notes/1934709","1934709")</f>
        <v>1934709</v>
      </c>
      <c r="D4056">
        <v>2</v>
      </c>
      <c r="E4056" t="s">
        <v>1342</v>
      </c>
      <c r="F4056" t="s">
        <v>9</v>
      </c>
    </row>
    <row r="4057" spans="1:6" x14ac:dyDescent="0.3">
      <c r="A4057" t="s">
        <v>852</v>
      </c>
      <c r="B4057" t="s">
        <v>853</v>
      </c>
      <c r="C4057" t="str">
        <f>HYPERLINK("http://service.sap.com/sap/support/notes/1937824","1937824")</f>
        <v>1937824</v>
      </c>
      <c r="D4057">
        <v>2</v>
      </c>
      <c r="E4057" t="s">
        <v>1343</v>
      </c>
      <c r="F4057" t="s">
        <v>9</v>
      </c>
    </row>
    <row r="4058" spans="1:6" x14ac:dyDescent="0.3">
      <c r="A4058" t="s">
        <v>852</v>
      </c>
      <c r="B4058" t="s">
        <v>853</v>
      </c>
      <c r="C4058" t="str">
        <f>HYPERLINK("http://service.sap.com/sap/support/notes/1938434","1938434")</f>
        <v>1938434</v>
      </c>
      <c r="D4058">
        <v>2</v>
      </c>
      <c r="E4058" t="s">
        <v>1344</v>
      </c>
      <c r="F4058" t="s">
        <v>9</v>
      </c>
    </row>
    <row r="4059" spans="1:6" x14ac:dyDescent="0.3">
      <c r="A4059" t="s">
        <v>852</v>
      </c>
      <c r="B4059" t="s">
        <v>853</v>
      </c>
      <c r="C4059" t="str">
        <f>HYPERLINK("http://service.sap.com/sap/support/notes/1918582","1918582")</f>
        <v>1918582</v>
      </c>
      <c r="D4059">
        <v>2</v>
      </c>
      <c r="E4059" t="s">
        <v>1901</v>
      </c>
      <c r="F4059" t="s">
        <v>28</v>
      </c>
    </row>
    <row r="4060" spans="1:6" x14ac:dyDescent="0.3">
      <c r="A4060" t="s">
        <v>852</v>
      </c>
      <c r="B4060" t="s">
        <v>853</v>
      </c>
      <c r="C4060" t="str">
        <f>HYPERLINK("http://service.sap.com/sap/support/notes/1921330","1921330")</f>
        <v>1921330</v>
      </c>
      <c r="D4060">
        <v>6</v>
      </c>
      <c r="E4060" t="s">
        <v>1902</v>
      </c>
      <c r="F4060" t="s">
        <v>9</v>
      </c>
    </row>
    <row r="4061" spans="1:6" x14ac:dyDescent="0.3">
      <c r="A4061" t="s">
        <v>852</v>
      </c>
      <c r="B4061" t="s">
        <v>853</v>
      </c>
      <c r="C4061" t="str">
        <f>HYPERLINK("http://service.sap.com/sap/support/notes/1922160","1922160")</f>
        <v>1922160</v>
      </c>
      <c r="D4061">
        <v>2</v>
      </c>
      <c r="E4061" t="s">
        <v>1903</v>
      </c>
      <c r="F4061" t="s">
        <v>9</v>
      </c>
    </row>
    <row r="4062" spans="1:6" x14ac:dyDescent="0.3">
      <c r="A4062" t="s">
        <v>852</v>
      </c>
      <c r="B4062" t="s">
        <v>853</v>
      </c>
      <c r="C4062" t="str">
        <f>HYPERLINK("http://service.sap.com/sap/support/notes/1933666","1933666")</f>
        <v>1933666</v>
      </c>
      <c r="D4062">
        <v>13</v>
      </c>
      <c r="E4062" t="s">
        <v>1904</v>
      </c>
      <c r="F4062" t="s">
        <v>9</v>
      </c>
    </row>
    <row r="4063" spans="1:6" x14ac:dyDescent="0.3">
      <c r="A4063" t="s">
        <v>852</v>
      </c>
      <c r="B4063" t="s">
        <v>853</v>
      </c>
      <c r="C4063" t="str">
        <f>HYPERLINK("http://service.sap.com/sap/support/notes/1936230","1936230")</f>
        <v>1936230</v>
      </c>
      <c r="D4063">
        <v>1</v>
      </c>
      <c r="E4063" t="s">
        <v>1905</v>
      </c>
      <c r="F4063" t="s">
        <v>9</v>
      </c>
    </row>
    <row r="4064" spans="1:6" x14ac:dyDescent="0.3">
      <c r="A4064" t="s">
        <v>852</v>
      </c>
      <c r="B4064" t="s">
        <v>853</v>
      </c>
      <c r="C4064" t="str">
        <f>HYPERLINK("http://service.sap.com/sap/support/notes/1944627","1944627")</f>
        <v>1944627</v>
      </c>
      <c r="D4064">
        <v>3</v>
      </c>
      <c r="E4064" t="s">
        <v>1906</v>
      </c>
      <c r="F4064" t="s">
        <v>9</v>
      </c>
    </row>
    <row r="4065" spans="1:6" x14ac:dyDescent="0.3">
      <c r="A4065" t="s">
        <v>852</v>
      </c>
      <c r="B4065" t="s">
        <v>853</v>
      </c>
      <c r="C4065" t="str">
        <f>HYPERLINK("http://service.sap.com/sap/support/notes/1945454","1945454")</f>
        <v>1945454</v>
      </c>
      <c r="D4065">
        <v>1</v>
      </c>
      <c r="E4065" t="s">
        <v>1907</v>
      </c>
      <c r="F4065" t="s">
        <v>9</v>
      </c>
    </row>
    <row r="4066" spans="1:6" x14ac:dyDescent="0.3">
      <c r="A4066" t="s">
        <v>852</v>
      </c>
      <c r="B4066" t="s">
        <v>853</v>
      </c>
      <c r="C4066" t="str">
        <f>HYPERLINK("http://service.sap.com/sap/support/notes/1947259","1947259")</f>
        <v>1947259</v>
      </c>
      <c r="D4066">
        <v>2</v>
      </c>
      <c r="E4066" t="s">
        <v>1908</v>
      </c>
      <c r="F4066" t="s">
        <v>9</v>
      </c>
    </row>
    <row r="4067" spans="1:6" x14ac:dyDescent="0.3">
      <c r="A4067" t="s">
        <v>852</v>
      </c>
      <c r="B4067" t="s">
        <v>853</v>
      </c>
      <c r="C4067" t="str">
        <f>HYPERLINK("http://service.sap.com/sap/support/notes/1954361","1954361")</f>
        <v>1954361</v>
      </c>
      <c r="D4067">
        <v>1</v>
      </c>
      <c r="E4067" t="s">
        <v>1909</v>
      </c>
      <c r="F4067" t="s">
        <v>9</v>
      </c>
    </row>
    <row r="4068" spans="1:6" x14ac:dyDescent="0.3">
      <c r="A4068" t="s">
        <v>852</v>
      </c>
      <c r="B4068" t="s">
        <v>853</v>
      </c>
      <c r="C4068" t="str">
        <f>HYPERLINK("http://service.sap.com/sap/support/notes/1956726","1956726")</f>
        <v>1956726</v>
      </c>
      <c r="D4068">
        <v>1</v>
      </c>
      <c r="E4068" t="s">
        <v>1910</v>
      </c>
      <c r="F4068" t="s">
        <v>9</v>
      </c>
    </row>
    <row r="4069" spans="1:6" x14ac:dyDescent="0.3">
      <c r="A4069" t="s">
        <v>852</v>
      </c>
      <c r="B4069" t="s">
        <v>853</v>
      </c>
      <c r="C4069" t="str">
        <f>HYPERLINK("http://service.sap.com/sap/support/notes/1958138","1958138")</f>
        <v>1958138</v>
      </c>
      <c r="D4069">
        <v>1</v>
      </c>
      <c r="E4069" t="s">
        <v>1911</v>
      </c>
      <c r="F4069" t="s">
        <v>9</v>
      </c>
    </row>
    <row r="4070" spans="1:6" x14ac:dyDescent="0.3">
      <c r="A4070" t="s">
        <v>852</v>
      </c>
      <c r="B4070" t="s">
        <v>853</v>
      </c>
      <c r="C4070" t="str">
        <f>HYPERLINK("http://service.sap.com/sap/support/notes/1958139","1958139")</f>
        <v>1958139</v>
      </c>
      <c r="D4070">
        <v>1</v>
      </c>
      <c r="E4070" t="s">
        <v>1912</v>
      </c>
      <c r="F4070" t="s">
        <v>9</v>
      </c>
    </row>
    <row r="4071" spans="1:6" x14ac:dyDescent="0.3">
      <c r="A4071" t="s">
        <v>852</v>
      </c>
      <c r="B4071" t="s">
        <v>853</v>
      </c>
      <c r="C4071" t="str">
        <f>HYPERLINK("http://service.sap.com/sap/support/notes/1958208","1958208")</f>
        <v>1958208</v>
      </c>
      <c r="D4071">
        <v>2</v>
      </c>
      <c r="E4071" t="s">
        <v>1913</v>
      </c>
      <c r="F4071" t="s">
        <v>9</v>
      </c>
    </row>
    <row r="4072" spans="1:6" x14ac:dyDescent="0.3">
      <c r="A4072" t="s">
        <v>852</v>
      </c>
      <c r="B4072" t="s">
        <v>853</v>
      </c>
      <c r="C4072" t="str">
        <f>HYPERLINK("http://service.sap.com/sap/support/notes/1929108","1929108")</f>
        <v>1929108</v>
      </c>
      <c r="D4072">
        <v>3</v>
      </c>
      <c r="E4072" t="s">
        <v>2286</v>
      </c>
      <c r="F4072" t="s">
        <v>9</v>
      </c>
    </row>
    <row r="4073" spans="1:6" x14ac:dyDescent="0.3">
      <c r="A4073" t="s">
        <v>852</v>
      </c>
      <c r="B4073" t="s">
        <v>853</v>
      </c>
      <c r="C4073" t="str">
        <f>HYPERLINK("http://service.sap.com/sap/support/notes/1956388","1956388")</f>
        <v>1956388</v>
      </c>
      <c r="D4073">
        <v>2</v>
      </c>
      <c r="E4073" t="s">
        <v>2287</v>
      </c>
      <c r="F4073" t="s">
        <v>9</v>
      </c>
    </row>
    <row r="4074" spans="1:6" x14ac:dyDescent="0.3">
      <c r="A4074" t="s">
        <v>852</v>
      </c>
      <c r="B4074" t="s">
        <v>853</v>
      </c>
      <c r="C4074" t="str">
        <f>HYPERLINK("http://service.sap.com/sap/support/notes/1962030","1962030")</f>
        <v>1962030</v>
      </c>
      <c r="D4074">
        <v>4</v>
      </c>
      <c r="E4074" t="s">
        <v>2288</v>
      </c>
      <c r="F4074" t="s">
        <v>9</v>
      </c>
    </row>
    <row r="4075" spans="1:6" x14ac:dyDescent="0.3">
      <c r="A4075" t="s">
        <v>852</v>
      </c>
      <c r="B4075" t="s">
        <v>853</v>
      </c>
      <c r="C4075" t="str">
        <f>HYPERLINK("http://service.sap.com/sap/support/notes/1965620","1965620")</f>
        <v>1965620</v>
      </c>
      <c r="D4075">
        <v>1</v>
      </c>
      <c r="E4075" t="s">
        <v>2289</v>
      </c>
      <c r="F4075" t="s">
        <v>9</v>
      </c>
    </row>
    <row r="4076" spans="1:6" x14ac:dyDescent="0.3">
      <c r="A4076" t="s">
        <v>852</v>
      </c>
      <c r="B4076" t="s">
        <v>853</v>
      </c>
      <c r="C4076" t="str">
        <f>HYPERLINK("http://service.sap.com/sap/support/notes/1966523","1966523")</f>
        <v>1966523</v>
      </c>
      <c r="D4076">
        <v>1</v>
      </c>
      <c r="E4076" t="s">
        <v>2290</v>
      </c>
      <c r="F4076" t="s">
        <v>9</v>
      </c>
    </row>
    <row r="4077" spans="1:6" x14ac:dyDescent="0.3">
      <c r="A4077" t="s">
        <v>852</v>
      </c>
      <c r="B4077" t="s">
        <v>853</v>
      </c>
      <c r="C4077" t="str">
        <f>HYPERLINK("http://service.sap.com/sap/support/notes/1969439","1969439")</f>
        <v>1969439</v>
      </c>
      <c r="D4077">
        <v>1</v>
      </c>
      <c r="E4077" t="s">
        <v>2291</v>
      </c>
      <c r="F4077" t="s">
        <v>9</v>
      </c>
    </row>
    <row r="4078" spans="1:6" x14ac:dyDescent="0.3">
      <c r="A4078" t="s">
        <v>852</v>
      </c>
      <c r="B4078" t="s">
        <v>853</v>
      </c>
      <c r="C4078" t="str">
        <f>HYPERLINK("http://service.sap.com/sap/support/notes/1881526","1881526")</f>
        <v>1881526</v>
      </c>
      <c r="D4078">
        <v>5</v>
      </c>
      <c r="E4078" t="s">
        <v>2687</v>
      </c>
      <c r="F4078" t="s">
        <v>9</v>
      </c>
    </row>
    <row r="4079" spans="1:6" x14ac:dyDescent="0.3">
      <c r="A4079" t="s">
        <v>852</v>
      </c>
      <c r="B4079" t="s">
        <v>853</v>
      </c>
      <c r="C4079" t="str">
        <f>HYPERLINK("http://service.sap.com/sap/support/notes/1908284","1908284")</f>
        <v>1908284</v>
      </c>
      <c r="D4079">
        <v>5</v>
      </c>
      <c r="E4079" t="s">
        <v>2688</v>
      </c>
      <c r="F4079" t="s">
        <v>9</v>
      </c>
    </row>
    <row r="4080" spans="1:6" x14ac:dyDescent="0.3">
      <c r="A4080" t="s">
        <v>852</v>
      </c>
      <c r="B4080" t="s">
        <v>853</v>
      </c>
      <c r="C4080" t="str">
        <f>HYPERLINK("http://service.sap.com/sap/support/notes/1931523","1931523")</f>
        <v>1931523</v>
      </c>
      <c r="D4080">
        <v>5</v>
      </c>
      <c r="E4080" t="s">
        <v>2689</v>
      </c>
      <c r="F4080" t="s">
        <v>9</v>
      </c>
    </row>
    <row r="4081" spans="1:6" x14ac:dyDescent="0.3">
      <c r="A4081" t="s">
        <v>852</v>
      </c>
      <c r="B4081" t="s">
        <v>853</v>
      </c>
      <c r="C4081" t="str">
        <f>HYPERLINK("http://service.sap.com/sap/support/notes/1938657","1938657")</f>
        <v>1938657</v>
      </c>
      <c r="D4081">
        <v>3</v>
      </c>
      <c r="E4081" t="s">
        <v>2690</v>
      </c>
      <c r="F4081" t="s">
        <v>9</v>
      </c>
    </row>
    <row r="4082" spans="1:6" x14ac:dyDescent="0.3">
      <c r="A4082" t="s">
        <v>852</v>
      </c>
      <c r="B4082" t="s">
        <v>853</v>
      </c>
      <c r="C4082" t="str">
        <f>HYPERLINK("http://service.sap.com/sap/support/notes/1960964","1960964")</f>
        <v>1960964</v>
      </c>
      <c r="D4082">
        <v>3</v>
      </c>
      <c r="E4082" t="s">
        <v>2691</v>
      </c>
      <c r="F4082" t="s">
        <v>9</v>
      </c>
    </row>
    <row r="4083" spans="1:6" x14ac:dyDescent="0.3">
      <c r="A4083" t="s">
        <v>852</v>
      </c>
      <c r="B4083" t="s">
        <v>853</v>
      </c>
      <c r="C4083" t="str">
        <f>HYPERLINK("http://service.sap.com/sap/support/notes/1962107","1962107")</f>
        <v>1962107</v>
      </c>
      <c r="D4083">
        <v>8</v>
      </c>
      <c r="E4083" t="s">
        <v>2692</v>
      </c>
      <c r="F4083" t="s">
        <v>9</v>
      </c>
    </row>
    <row r="4084" spans="1:6" x14ac:dyDescent="0.3">
      <c r="A4084" t="s">
        <v>852</v>
      </c>
      <c r="B4084" t="s">
        <v>853</v>
      </c>
      <c r="C4084" t="str">
        <f>HYPERLINK("http://service.sap.com/sap/support/notes/1964972","1964972")</f>
        <v>1964972</v>
      </c>
      <c r="D4084">
        <v>5</v>
      </c>
      <c r="E4084" t="s">
        <v>2693</v>
      </c>
      <c r="F4084" t="s">
        <v>9</v>
      </c>
    </row>
    <row r="4085" spans="1:6" x14ac:dyDescent="0.3">
      <c r="A4085" t="s">
        <v>852</v>
      </c>
      <c r="B4085" t="s">
        <v>853</v>
      </c>
      <c r="C4085" t="str">
        <f>HYPERLINK("http://service.sap.com/sap/support/notes/1969960","1969960")</f>
        <v>1969960</v>
      </c>
      <c r="D4085">
        <v>1</v>
      </c>
      <c r="E4085" t="s">
        <v>2694</v>
      </c>
      <c r="F4085" t="s">
        <v>9</v>
      </c>
    </row>
    <row r="4086" spans="1:6" x14ac:dyDescent="0.3">
      <c r="A4086" t="s">
        <v>852</v>
      </c>
      <c r="B4086" t="s">
        <v>853</v>
      </c>
      <c r="C4086" t="str">
        <f>HYPERLINK("http://service.sap.com/sap/support/notes/1969961","1969961")</f>
        <v>1969961</v>
      </c>
      <c r="D4086">
        <v>2</v>
      </c>
      <c r="E4086" t="s">
        <v>2695</v>
      </c>
      <c r="F4086" t="s">
        <v>9</v>
      </c>
    </row>
    <row r="4087" spans="1:6" x14ac:dyDescent="0.3">
      <c r="A4087" t="s">
        <v>852</v>
      </c>
      <c r="B4087" t="s">
        <v>853</v>
      </c>
      <c r="C4087" t="str">
        <f>HYPERLINK("http://service.sap.com/sap/support/notes/1971298","1971298")</f>
        <v>1971298</v>
      </c>
      <c r="D4087">
        <v>4</v>
      </c>
      <c r="E4087" t="s">
        <v>2696</v>
      </c>
      <c r="F4087" t="s">
        <v>9</v>
      </c>
    </row>
    <row r="4088" spans="1:6" x14ac:dyDescent="0.3">
      <c r="A4088" t="s">
        <v>852</v>
      </c>
      <c r="B4088" t="s">
        <v>853</v>
      </c>
      <c r="C4088" t="str">
        <f>HYPERLINK("http://service.sap.com/sap/support/notes/1971500","1971500")</f>
        <v>1971500</v>
      </c>
      <c r="D4088">
        <v>9</v>
      </c>
      <c r="E4088" t="s">
        <v>2697</v>
      </c>
      <c r="F4088" t="s">
        <v>9</v>
      </c>
    </row>
    <row r="4089" spans="1:6" x14ac:dyDescent="0.3">
      <c r="A4089" t="s">
        <v>852</v>
      </c>
      <c r="B4089" t="s">
        <v>853</v>
      </c>
      <c r="C4089" t="str">
        <f>HYPERLINK("http://service.sap.com/sap/support/notes/1972547","1972547")</f>
        <v>1972547</v>
      </c>
      <c r="D4089">
        <v>3</v>
      </c>
      <c r="E4089" t="s">
        <v>2698</v>
      </c>
      <c r="F4089" t="s">
        <v>9</v>
      </c>
    </row>
    <row r="4090" spans="1:6" x14ac:dyDescent="0.3">
      <c r="A4090" t="s">
        <v>852</v>
      </c>
      <c r="B4090" t="s">
        <v>853</v>
      </c>
      <c r="C4090" t="str">
        <f>HYPERLINK("http://service.sap.com/sap/support/notes/1977355","1977355")</f>
        <v>1977355</v>
      </c>
      <c r="D4090">
        <v>1</v>
      </c>
      <c r="E4090" t="s">
        <v>2699</v>
      </c>
      <c r="F4090" t="s">
        <v>9</v>
      </c>
    </row>
    <row r="4091" spans="1:6" x14ac:dyDescent="0.3">
      <c r="A4091" t="s">
        <v>852</v>
      </c>
      <c r="B4091" t="s">
        <v>853</v>
      </c>
      <c r="C4091" t="str">
        <f>HYPERLINK("http://service.sap.com/sap/support/notes/1977459","1977459")</f>
        <v>1977459</v>
      </c>
      <c r="D4091">
        <v>2</v>
      </c>
      <c r="E4091" t="s">
        <v>2700</v>
      </c>
      <c r="F4091" t="s">
        <v>9</v>
      </c>
    </row>
    <row r="4092" spans="1:6" x14ac:dyDescent="0.3">
      <c r="A4092" t="s">
        <v>852</v>
      </c>
      <c r="B4092" t="s">
        <v>853</v>
      </c>
      <c r="C4092" t="str">
        <f>HYPERLINK("http://service.sap.com/sap/support/notes/1979760","1979760")</f>
        <v>1979760</v>
      </c>
      <c r="D4092">
        <v>7</v>
      </c>
      <c r="E4092" t="s">
        <v>2701</v>
      </c>
      <c r="F4092" t="s">
        <v>9</v>
      </c>
    </row>
    <row r="4093" spans="1:6" x14ac:dyDescent="0.3">
      <c r="A4093" t="s">
        <v>852</v>
      </c>
      <c r="B4093" t="s">
        <v>853</v>
      </c>
      <c r="C4093" t="str">
        <f>HYPERLINK("http://service.sap.com/sap/support/notes/1971500","1971500")</f>
        <v>1971500</v>
      </c>
      <c r="D4093">
        <v>9</v>
      </c>
      <c r="E4093" t="s">
        <v>2697</v>
      </c>
      <c r="F4093" t="s">
        <v>9</v>
      </c>
    </row>
    <row r="4094" spans="1:6" x14ac:dyDescent="0.3">
      <c r="A4094" t="s">
        <v>852</v>
      </c>
      <c r="B4094" t="s">
        <v>853</v>
      </c>
      <c r="C4094" t="str">
        <f>HYPERLINK("http://service.sap.com/sap/support/notes/1975626","1975626")</f>
        <v>1975626</v>
      </c>
      <c r="D4094">
        <v>4</v>
      </c>
      <c r="E4094" t="s">
        <v>3162</v>
      </c>
      <c r="F4094" t="s">
        <v>9</v>
      </c>
    </row>
    <row r="4095" spans="1:6" x14ac:dyDescent="0.3">
      <c r="A4095" t="s">
        <v>852</v>
      </c>
      <c r="B4095" t="s">
        <v>853</v>
      </c>
      <c r="C4095" t="str">
        <f>HYPERLINK("http://service.sap.com/sap/support/notes/1979760","1979760")</f>
        <v>1979760</v>
      </c>
      <c r="D4095">
        <v>7</v>
      </c>
      <c r="E4095" t="s">
        <v>2701</v>
      </c>
      <c r="F4095" t="s">
        <v>9</v>
      </c>
    </row>
    <row r="4096" spans="1:6" x14ac:dyDescent="0.3">
      <c r="A4096" t="s">
        <v>852</v>
      </c>
      <c r="B4096" t="s">
        <v>853</v>
      </c>
      <c r="C4096" t="str">
        <f>HYPERLINK("http://service.sap.com/sap/support/notes/1980492","1980492")</f>
        <v>1980492</v>
      </c>
      <c r="D4096">
        <v>3</v>
      </c>
      <c r="E4096" t="s">
        <v>3163</v>
      </c>
      <c r="F4096" t="s">
        <v>9</v>
      </c>
    </row>
    <row r="4097" spans="1:6" x14ac:dyDescent="0.3">
      <c r="A4097" t="s">
        <v>852</v>
      </c>
      <c r="B4097" t="s">
        <v>853</v>
      </c>
      <c r="C4097" t="str">
        <f>HYPERLINK("http://service.sap.com/sap/support/notes/1982964","1982964")</f>
        <v>1982964</v>
      </c>
      <c r="D4097">
        <v>2</v>
      </c>
      <c r="E4097" t="s">
        <v>3164</v>
      </c>
      <c r="F4097" t="s">
        <v>9</v>
      </c>
    </row>
    <row r="4098" spans="1:6" x14ac:dyDescent="0.3">
      <c r="A4098" t="s">
        <v>852</v>
      </c>
      <c r="B4098" t="s">
        <v>853</v>
      </c>
      <c r="C4098" t="str">
        <f>HYPERLINK("http://service.sap.com/sap/support/notes/1982965","1982965")</f>
        <v>1982965</v>
      </c>
      <c r="D4098">
        <v>10</v>
      </c>
      <c r="E4098" t="s">
        <v>3165</v>
      </c>
      <c r="F4098" t="s">
        <v>9</v>
      </c>
    </row>
    <row r="4099" spans="1:6" x14ac:dyDescent="0.3">
      <c r="A4099" t="s">
        <v>852</v>
      </c>
      <c r="B4099" t="s">
        <v>853</v>
      </c>
      <c r="C4099" t="str">
        <f>HYPERLINK("http://service.sap.com/sap/support/notes/1984431","1984431")</f>
        <v>1984431</v>
      </c>
      <c r="D4099">
        <v>2</v>
      </c>
      <c r="E4099" t="s">
        <v>3166</v>
      </c>
      <c r="F4099" t="s">
        <v>28</v>
      </c>
    </row>
    <row r="4100" spans="1:6" x14ac:dyDescent="0.3">
      <c r="A4100" t="s">
        <v>852</v>
      </c>
      <c r="B4100" t="s">
        <v>853</v>
      </c>
      <c r="C4100" t="str">
        <f>HYPERLINK("http://service.sap.com/sap/support/notes/1989476","1989476")</f>
        <v>1989476</v>
      </c>
      <c r="D4100">
        <v>3</v>
      </c>
      <c r="E4100" t="s">
        <v>3167</v>
      </c>
      <c r="F4100" t="s">
        <v>9</v>
      </c>
    </row>
    <row r="4101" spans="1:6" x14ac:dyDescent="0.3">
      <c r="A4101" t="s">
        <v>852</v>
      </c>
      <c r="B4101" t="s">
        <v>853</v>
      </c>
      <c r="C4101" t="str">
        <f>HYPERLINK("http://service.sap.com/sap/support/notes/1992174","1992174")</f>
        <v>1992174</v>
      </c>
      <c r="D4101">
        <v>2</v>
      </c>
      <c r="E4101" t="s">
        <v>3168</v>
      </c>
      <c r="F4101" t="s">
        <v>9</v>
      </c>
    </row>
    <row r="4102" spans="1:6" x14ac:dyDescent="0.3">
      <c r="A4102" t="s">
        <v>852</v>
      </c>
      <c r="B4102" t="s">
        <v>853</v>
      </c>
      <c r="C4102" t="str">
        <f>HYPERLINK("http://service.sap.com/sap/support/notes/1994011","1994011")</f>
        <v>1994011</v>
      </c>
      <c r="D4102">
        <v>1</v>
      </c>
      <c r="E4102" t="s">
        <v>3169</v>
      </c>
      <c r="F4102" t="s">
        <v>9</v>
      </c>
    </row>
    <row r="4103" spans="1:6" x14ac:dyDescent="0.3">
      <c r="A4103" t="s">
        <v>852</v>
      </c>
      <c r="B4103" t="s">
        <v>853</v>
      </c>
      <c r="C4103" t="str">
        <f>HYPERLINK("http://service.sap.com/sap/support/notes/1994016","1994016")</f>
        <v>1994016</v>
      </c>
      <c r="D4103">
        <v>1</v>
      </c>
      <c r="E4103" t="s">
        <v>3170</v>
      </c>
      <c r="F4103" t="s">
        <v>9</v>
      </c>
    </row>
    <row r="4104" spans="1:6" x14ac:dyDescent="0.3">
      <c r="A4104" t="s">
        <v>852</v>
      </c>
      <c r="B4104" t="s">
        <v>853</v>
      </c>
      <c r="C4104" t="str">
        <f>HYPERLINK("http://service.sap.com/sap/support/notes/1994234","1994234")</f>
        <v>1994234</v>
      </c>
      <c r="D4104">
        <v>3</v>
      </c>
      <c r="E4104" t="s">
        <v>3171</v>
      </c>
      <c r="F4104" t="s">
        <v>9</v>
      </c>
    </row>
    <row r="4105" spans="1:6" x14ac:dyDescent="0.3">
      <c r="A4105" t="s">
        <v>852</v>
      </c>
      <c r="B4105" t="s">
        <v>853</v>
      </c>
      <c r="C4105" t="str">
        <f>HYPERLINK("http://service.sap.com/sap/support/notes/1976519","1976519")</f>
        <v>1976519</v>
      </c>
      <c r="D4105">
        <v>2</v>
      </c>
      <c r="E4105" t="s">
        <v>3816</v>
      </c>
      <c r="F4105" t="s">
        <v>9</v>
      </c>
    </row>
    <row r="4106" spans="1:6" x14ac:dyDescent="0.3">
      <c r="A4106" t="s">
        <v>852</v>
      </c>
      <c r="B4106" t="s">
        <v>853</v>
      </c>
      <c r="C4106" t="str">
        <f>HYPERLINK("http://service.sap.com/sap/support/notes/1979414","1979414")</f>
        <v>1979414</v>
      </c>
      <c r="D4106">
        <v>3</v>
      </c>
      <c r="E4106" t="s">
        <v>3817</v>
      </c>
      <c r="F4106" t="s">
        <v>9</v>
      </c>
    </row>
    <row r="4107" spans="1:6" x14ac:dyDescent="0.3">
      <c r="A4107" t="s">
        <v>852</v>
      </c>
      <c r="B4107" t="s">
        <v>853</v>
      </c>
      <c r="C4107" t="str">
        <f>HYPERLINK("http://service.sap.com/sap/support/notes/1979835","1979835")</f>
        <v>1979835</v>
      </c>
      <c r="D4107">
        <v>2</v>
      </c>
      <c r="E4107" t="s">
        <v>3818</v>
      </c>
      <c r="F4107" t="s">
        <v>9</v>
      </c>
    </row>
    <row r="4108" spans="1:6" x14ac:dyDescent="0.3">
      <c r="A4108" t="s">
        <v>852</v>
      </c>
      <c r="B4108" t="s">
        <v>853</v>
      </c>
      <c r="C4108" t="str">
        <f>HYPERLINK("http://service.sap.com/sap/support/notes/1980918","1980918")</f>
        <v>1980918</v>
      </c>
      <c r="D4108">
        <v>3</v>
      </c>
      <c r="E4108" t="s">
        <v>3819</v>
      </c>
      <c r="F4108" t="s">
        <v>9</v>
      </c>
    </row>
    <row r="4109" spans="1:6" x14ac:dyDescent="0.3">
      <c r="A4109" t="s">
        <v>852</v>
      </c>
      <c r="B4109" t="s">
        <v>853</v>
      </c>
      <c r="C4109" t="str">
        <f>HYPERLINK("http://service.sap.com/sap/support/notes/1995526","1995526")</f>
        <v>1995526</v>
      </c>
      <c r="D4109">
        <v>5</v>
      </c>
      <c r="E4109" t="s">
        <v>3820</v>
      </c>
      <c r="F4109" t="s">
        <v>9</v>
      </c>
    </row>
    <row r="4110" spans="1:6" x14ac:dyDescent="0.3">
      <c r="A4110" t="s">
        <v>852</v>
      </c>
      <c r="B4110" t="s">
        <v>853</v>
      </c>
      <c r="C4110" t="str">
        <f>HYPERLINK("http://service.sap.com/sap/support/notes/1995527","1995527")</f>
        <v>1995527</v>
      </c>
      <c r="D4110">
        <v>16</v>
      </c>
      <c r="E4110" t="s">
        <v>3821</v>
      </c>
      <c r="F4110" t="s">
        <v>9</v>
      </c>
    </row>
    <row r="4111" spans="1:6" x14ac:dyDescent="0.3">
      <c r="A4111" t="s">
        <v>852</v>
      </c>
      <c r="B4111" t="s">
        <v>853</v>
      </c>
      <c r="C4111" t="str">
        <f>HYPERLINK("http://service.sap.com/sap/support/notes/1997155","1997155")</f>
        <v>1997155</v>
      </c>
      <c r="D4111">
        <v>3</v>
      </c>
      <c r="E4111" t="s">
        <v>3822</v>
      </c>
      <c r="F4111" t="s">
        <v>9</v>
      </c>
    </row>
    <row r="4112" spans="1:6" x14ac:dyDescent="0.3">
      <c r="A4112" t="s">
        <v>852</v>
      </c>
      <c r="B4112" t="s">
        <v>853</v>
      </c>
      <c r="C4112" t="str">
        <f>HYPERLINK("http://service.sap.com/sap/support/notes/2006249","2006249")</f>
        <v>2006249</v>
      </c>
      <c r="D4112">
        <v>5</v>
      </c>
      <c r="E4112" t="s">
        <v>3823</v>
      </c>
      <c r="F4112" t="s">
        <v>9</v>
      </c>
    </row>
    <row r="4113" spans="1:6" x14ac:dyDescent="0.3">
      <c r="A4113" t="s">
        <v>852</v>
      </c>
      <c r="B4113" t="s">
        <v>853</v>
      </c>
      <c r="C4113" t="str">
        <f>HYPERLINK("http://service.sap.com/sap/support/notes/2006796","2006796")</f>
        <v>2006796</v>
      </c>
      <c r="D4113">
        <v>1</v>
      </c>
      <c r="E4113" t="s">
        <v>3824</v>
      </c>
      <c r="F4113" t="s">
        <v>9</v>
      </c>
    </row>
    <row r="4114" spans="1:6" x14ac:dyDescent="0.3">
      <c r="A4114" t="s">
        <v>852</v>
      </c>
      <c r="B4114" t="s">
        <v>853</v>
      </c>
      <c r="C4114" t="str">
        <f>HYPERLINK("http://service.sap.com/sap/support/notes/2008358","2008358")</f>
        <v>2008358</v>
      </c>
      <c r="D4114">
        <v>1</v>
      </c>
      <c r="E4114" t="s">
        <v>3825</v>
      </c>
      <c r="F4114" t="s">
        <v>16</v>
      </c>
    </row>
    <row r="4115" spans="1:6" x14ac:dyDescent="0.3">
      <c r="A4115" t="s">
        <v>852</v>
      </c>
      <c r="B4115" t="s">
        <v>853</v>
      </c>
      <c r="C4115" t="str">
        <f>HYPERLINK("http://service.sap.com/sap/support/notes/1917526","1917526")</f>
        <v>1917526</v>
      </c>
      <c r="D4115">
        <v>13</v>
      </c>
      <c r="E4115" t="s">
        <v>4292</v>
      </c>
      <c r="F4115" t="s">
        <v>9</v>
      </c>
    </row>
    <row r="4116" spans="1:6" x14ac:dyDescent="0.3">
      <c r="A4116" t="s">
        <v>852</v>
      </c>
      <c r="B4116" t="s">
        <v>853</v>
      </c>
      <c r="C4116" t="str">
        <f>HYPERLINK("http://service.sap.com/sap/support/notes/1988237","1988237")</f>
        <v>1988237</v>
      </c>
      <c r="D4116">
        <v>12</v>
      </c>
      <c r="E4116" t="s">
        <v>4293</v>
      </c>
      <c r="F4116" t="s">
        <v>9</v>
      </c>
    </row>
    <row r="4117" spans="1:6" x14ac:dyDescent="0.3">
      <c r="A4117" t="s">
        <v>852</v>
      </c>
      <c r="B4117" t="s">
        <v>853</v>
      </c>
      <c r="C4117" t="str">
        <f>HYPERLINK("http://service.sap.com/sap/support/notes/2008191","2008191")</f>
        <v>2008191</v>
      </c>
      <c r="D4117">
        <v>9</v>
      </c>
      <c r="E4117" t="s">
        <v>4294</v>
      </c>
      <c r="F4117" t="s">
        <v>9</v>
      </c>
    </row>
    <row r="4118" spans="1:6" x14ac:dyDescent="0.3">
      <c r="A4118" t="s">
        <v>852</v>
      </c>
      <c r="B4118" t="s">
        <v>853</v>
      </c>
      <c r="C4118" t="str">
        <f>HYPERLINK("http://service.sap.com/sap/support/notes/2008192","2008192")</f>
        <v>2008192</v>
      </c>
      <c r="D4118">
        <v>2</v>
      </c>
      <c r="E4118" t="s">
        <v>4295</v>
      </c>
      <c r="F4118" t="s">
        <v>9</v>
      </c>
    </row>
    <row r="4119" spans="1:6" x14ac:dyDescent="0.3">
      <c r="A4119" t="s">
        <v>852</v>
      </c>
      <c r="B4119" t="s">
        <v>853</v>
      </c>
      <c r="C4119" t="str">
        <f>HYPERLINK("http://service.sap.com/sap/support/notes/2008193","2008193")</f>
        <v>2008193</v>
      </c>
      <c r="D4119">
        <v>14</v>
      </c>
      <c r="E4119" t="s">
        <v>4296</v>
      </c>
      <c r="F4119" t="s">
        <v>9</v>
      </c>
    </row>
    <row r="4120" spans="1:6" x14ac:dyDescent="0.3">
      <c r="A4120" t="s">
        <v>852</v>
      </c>
      <c r="B4120" t="s">
        <v>853</v>
      </c>
      <c r="C4120" t="str">
        <f>HYPERLINK("http://service.sap.com/sap/support/notes/2008194","2008194")</f>
        <v>2008194</v>
      </c>
      <c r="D4120">
        <v>4</v>
      </c>
      <c r="E4120" t="s">
        <v>4297</v>
      </c>
      <c r="F4120" t="s">
        <v>9</v>
      </c>
    </row>
    <row r="4121" spans="1:6" x14ac:dyDescent="0.3">
      <c r="A4121" t="s">
        <v>852</v>
      </c>
      <c r="B4121" t="s">
        <v>853</v>
      </c>
      <c r="C4121" t="str">
        <f>HYPERLINK("http://service.sap.com/sap/support/notes/2011791","2011791")</f>
        <v>2011791</v>
      </c>
      <c r="D4121">
        <v>4</v>
      </c>
      <c r="E4121" t="s">
        <v>4298</v>
      </c>
      <c r="F4121" t="s">
        <v>9</v>
      </c>
    </row>
    <row r="4122" spans="1:6" x14ac:dyDescent="0.3">
      <c r="A4122" t="s">
        <v>852</v>
      </c>
      <c r="B4122" t="s">
        <v>853</v>
      </c>
      <c r="C4122" t="str">
        <f>HYPERLINK("http://service.sap.com/sap/support/notes/2017226","2017226")</f>
        <v>2017226</v>
      </c>
      <c r="D4122">
        <v>1</v>
      </c>
      <c r="E4122" t="s">
        <v>4299</v>
      </c>
      <c r="F4122" t="s">
        <v>9</v>
      </c>
    </row>
    <row r="4123" spans="1:6" x14ac:dyDescent="0.3">
      <c r="A4123" t="s">
        <v>852</v>
      </c>
      <c r="B4123" t="s">
        <v>853</v>
      </c>
      <c r="C4123" t="str">
        <f>HYPERLINK("http://service.sap.com/sap/support/notes/2017526","2017526")</f>
        <v>2017526</v>
      </c>
      <c r="D4123">
        <v>1</v>
      </c>
      <c r="E4123" t="s">
        <v>4300</v>
      </c>
      <c r="F4123" t="s">
        <v>9</v>
      </c>
    </row>
    <row r="4124" spans="1:6" x14ac:dyDescent="0.3">
      <c r="A4124" t="s">
        <v>852</v>
      </c>
      <c r="B4124" t="s">
        <v>853</v>
      </c>
      <c r="C4124" t="str">
        <f>HYPERLINK("http://service.sap.com/sap/support/notes/2019623","2019623")</f>
        <v>2019623</v>
      </c>
      <c r="D4124">
        <v>1</v>
      </c>
      <c r="E4124" t="s">
        <v>4301</v>
      </c>
      <c r="F4124" t="s">
        <v>16</v>
      </c>
    </row>
    <row r="4125" spans="1:6" x14ac:dyDescent="0.3">
      <c r="A4125" t="s">
        <v>852</v>
      </c>
      <c r="B4125" t="s">
        <v>853</v>
      </c>
      <c r="C4125" t="str">
        <f>HYPERLINK("http://service.sap.com/sap/support/notes/2019738","2019738")</f>
        <v>2019738</v>
      </c>
      <c r="D4125">
        <v>1</v>
      </c>
      <c r="E4125" t="s">
        <v>4302</v>
      </c>
      <c r="F4125" t="s">
        <v>16</v>
      </c>
    </row>
    <row r="4126" spans="1:6" x14ac:dyDescent="0.3">
      <c r="A4126" t="s">
        <v>852</v>
      </c>
      <c r="B4126" t="s">
        <v>853</v>
      </c>
      <c r="C4126" t="str">
        <f>HYPERLINK("http://service.sap.com/sap/support/notes/2021520","2021520")</f>
        <v>2021520</v>
      </c>
      <c r="D4126">
        <v>1</v>
      </c>
      <c r="E4126" t="s">
        <v>4303</v>
      </c>
      <c r="F4126" t="s">
        <v>9</v>
      </c>
    </row>
    <row r="4127" spans="1:6" x14ac:dyDescent="0.3">
      <c r="A4127" t="s">
        <v>852</v>
      </c>
      <c r="B4127" t="s">
        <v>853</v>
      </c>
      <c r="C4127" t="str">
        <f>HYPERLINK("http://service.sap.com/sap/support/notes/2010623","2010623")</f>
        <v>2010623</v>
      </c>
      <c r="D4127">
        <v>5</v>
      </c>
      <c r="E4127" t="s">
        <v>4613</v>
      </c>
      <c r="F4127" t="s">
        <v>9</v>
      </c>
    </row>
    <row r="4128" spans="1:6" x14ac:dyDescent="0.3">
      <c r="A4128" t="s">
        <v>852</v>
      </c>
      <c r="B4128" t="s">
        <v>853</v>
      </c>
      <c r="C4128" t="str">
        <f>HYPERLINK("http://service.sap.com/sap/support/notes/2018463","2018463")</f>
        <v>2018463</v>
      </c>
      <c r="D4128">
        <v>2</v>
      </c>
      <c r="E4128" t="s">
        <v>4614</v>
      </c>
      <c r="F4128" t="s">
        <v>9</v>
      </c>
    </row>
    <row r="4129" spans="1:6" x14ac:dyDescent="0.3">
      <c r="A4129" t="s">
        <v>852</v>
      </c>
      <c r="B4129" t="s">
        <v>853</v>
      </c>
      <c r="C4129" t="str">
        <f>HYPERLINK("http://service.sap.com/sap/support/notes/2018464","2018464")</f>
        <v>2018464</v>
      </c>
      <c r="D4129">
        <v>2</v>
      </c>
      <c r="E4129" t="s">
        <v>4615</v>
      </c>
      <c r="F4129" t="s">
        <v>9</v>
      </c>
    </row>
    <row r="4130" spans="1:6" x14ac:dyDescent="0.3">
      <c r="A4130" t="s">
        <v>852</v>
      </c>
      <c r="B4130" t="s">
        <v>853</v>
      </c>
      <c r="C4130" t="str">
        <f>HYPERLINK("http://service.sap.com/sap/support/notes/2018465","2018465")</f>
        <v>2018465</v>
      </c>
      <c r="D4130">
        <v>14</v>
      </c>
      <c r="E4130" t="s">
        <v>4616</v>
      </c>
      <c r="F4130" t="s">
        <v>9</v>
      </c>
    </row>
    <row r="4131" spans="1:6" x14ac:dyDescent="0.3">
      <c r="A4131" t="s">
        <v>852</v>
      </c>
      <c r="B4131" t="s">
        <v>853</v>
      </c>
      <c r="C4131" t="str">
        <f>HYPERLINK("http://service.sap.com/sap/support/notes/2018466","2018466")</f>
        <v>2018466</v>
      </c>
      <c r="D4131">
        <v>2</v>
      </c>
      <c r="E4131" t="s">
        <v>4617</v>
      </c>
      <c r="F4131" t="s">
        <v>9</v>
      </c>
    </row>
    <row r="4132" spans="1:6" x14ac:dyDescent="0.3">
      <c r="A4132" t="s">
        <v>852</v>
      </c>
      <c r="B4132" t="s">
        <v>853</v>
      </c>
      <c r="C4132" t="str">
        <f>HYPERLINK("http://service.sap.com/sap/support/notes/2022359","2022359")</f>
        <v>2022359</v>
      </c>
      <c r="D4132">
        <v>2</v>
      </c>
      <c r="E4132" t="s">
        <v>4618</v>
      </c>
      <c r="F4132" t="s">
        <v>9</v>
      </c>
    </row>
    <row r="4133" spans="1:6" x14ac:dyDescent="0.3">
      <c r="A4133" t="s">
        <v>852</v>
      </c>
      <c r="B4133" t="s">
        <v>853</v>
      </c>
      <c r="C4133" t="str">
        <f>HYPERLINK("http://service.sap.com/sap/support/notes/2023397","2023397")</f>
        <v>2023397</v>
      </c>
      <c r="D4133">
        <v>4</v>
      </c>
      <c r="E4133" t="s">
        <v>4619</v>
      </c>
      <c r="F4133" t="s">
        <v>9</v>
      </c>
    </row>
    <row r="4134" spans="1:6" x14ac:dyDescent="0.3">
      <c r="A4134" t="s">
        <v>852</v>
      </c>
      <c r="B4134" t="s">
        <v>853</v>
      </c>
      <c r="C4134" t="str">
        <f>HYPERLINK("http://service.sap.com/sap/support/notes/2024454","2024454")</f>
        <v>2024454</v>
      </c>
      <c r="D4134">
        <v>2</v>
      </c>
      <c r="E4134" t="s">
        <v>4620</v>
      </c>
      <c r="F4134" t="s">
        <v>9</v>
      </c>
    </row>
    <row r="4135" spans="1:6" x14ac:dyDescent="0.3">
      <c r="A4135" t="s">
        <v>852</v>
      </c>
      <c r="B4135" t="s">
        <v>853</v>
      </c>
      <c r="C4135" t="str">
        <f>HYPERLINK("http://service.sap.com/sap/support/notes/2030095","2030095")</f>
        <v>2030095</v>
      </c>
      <c r="D4135">
        <v>1</v>
      </c>
      <c r="E4135" t="s">
        <v>4621</v>
      </c>
      <c r="F4135" t="s">
        <v>9</v>
      </c>
    </row>
    <row r="4136" spans="1:6" x14ac:dyDescent="0.3">
      <c r="A4136" t="s">
        <v>852</v>
      </c>
      <c r="B4136" t="s">
        <v>853</v>
      </c>
      <c r="C4136" t="str">
        <f>HYPERLINK("http://service.sap.com/sap/support/notes/2030251","2030251")</f>
        <v>2030251</v>
      </c>
      <c r="D4136">
        <v>2</v>
      </c>
      <c r="E4136" t="s">
        <v>4622</v>
      </c>
      <c r="F4136" t="s">
        <v>9</v>
      </c>
    </row>
    <row r="4137" spans="1:6" x14ac:dyDescent="0.3">
      <c r="A4137" t="s">
        <v>852</v>
      </c>
      <c r="B4137" t="s">
        <v>853</v>
      </c>
      <c r="C4137" t="str">
        <f>HYPERLINK("http://service.sap.com/sap/support/notes/2029630","2029630")</f>
        <v>2029630</v>
      </c>
      <c r="D4137">
        <v>4</v>
      </c>
      <c r="E4137" t="s">
        <v>4974</v>
      </c>
      <c r="F4137" t="s">
        <v>9</v>
      </c>
    </row>
    <row r="4138" spans="1:6" x14ac:dyDescent="0.3">
      <c r="A4138" t="s">
        <v>852</v>
      </c>
      <c r="B4138" t="s">
        <v>853</v>
      </c>
      <c r="C4138" t="str">
        <f>HYPERLINK("http://service.sap.com/sap/support/notes/2029781","2029781")</f>
        <v>2029781</v>
      </c>
      <c r="D4138">
        <v>4</v>
      </c>
      <c r="E4138" t="s">
        <v>4975</v>
      </c>
      <c r="F4138" t="s">
        <v>9</v>
      </c>
    </row>
    <row r="4139" spans="1:6" x14ac:dyDescent="0.3">
      <c r="A4139" t="s">
        <v>852</v>
      </c>
      <c r="B4139" t="s">
        <v>853</v>
      </c>
      <c r="C4139" t="str">
        <f>HYPERLINK("http://service.sap.com/sap/support/notes/2029782","2029782")</f>
        <v>2029782</v>
      </c>
      <c r="D4139">
        <v>14</v>
      </c>
      <c r="E4139" t="s">
        <v>4976</v>
      </c>
      <c r="F4139" t="s">
        <v>9</v>
      </c>
    </row>
    <row r="4140" spans="1:6" x14ac:dyDescent="0.3">
      <c r="A4140" t="s">
        <v>852</v>
      </c>
      <c r="B4140" t="s">
        <v>853</v>
      </c>
      <c r="C4140" t="str">
        <f>HYPERLINK("http://service.sap.com/sap/support/notes/2029783","2029783")</f>
        <v>2029783</v>
      </c>
      <c r="D4140">
        <v>1</v>
      </c>
      <c r="E4140" t="s">
        <v>4977</v>
      </c>
      <c r="F4140" t="s">
        <v>9</v>
      </c>
    </row>
    <row r="4141" spans="1:6" x14ac:dyDescent="0.3">
      <c r="A4141" t="s">
        <v>852</v>
      </c>
      <c r="B4141" t="s">
        <v>853</v>
      </c>
      <c r="C4141" t="str">
        <f>HYPERLINK("http://service.sap.com/sap/support/notes/2030956","2030956")</f>
        <v>2030956</v>
      </c>
      <c r="D4141">
        <v>8</v>
      </c>
      <c r="E4141" t="s">
        <v>4978</v>
      </c>
      <c r="F4141" t="s">
        <v>9</v>
      </c>
    </row>
    <row r="4142" spans="1:6" x14ac:dyDescent="0.3">
      <c r="A4142" t="s">
        <v>852</v>
      </c>
      <c r="B4142" t="s">
        <v>853</v>
      </c>
      <c r="C4142" t="str">
        <f>HYPERLINK("http://service.sap.com/sap/support/notes/2032199","2032199")</f>
        <v>2032199</v>
      </c>
      <c r="D4142">
        <v>3</v>
      </c>
      <c r="E4142" t="s">
        <v>4979</v>
      </c>
      <c r="F4142" t="s">
        <v>9</v>
      </c>
    </row>
    <row r="4143" spans="1:6" x14ac:dyDescent="0.3">
      <c r="A4143" t="s">
        <v>852</v>
      </c>
      <c r="B4143" t="s">
        <v>853</v>
      </c>
      <c r="C4143" t="str">
        <f>HYPERLINK("http://service.sap.com/sap/support/notes/2033032","2033032")</f>
        <v>2033032</v>
      </c>
      <c r="D4143">
        <v>2</v>
      </c>
      <c r="E4143" t="s">
        <v>4980</v>
      </c>
      <c r="F4143" t="s">
        <v>28</v>
      </c>
    </row>
    <row r="4144" spans="1:6" x14ac:dyDescent="0.3">
      <c r="A4144" t="s">
        <v>852</v>
      </c>
      <c r="B4144" t="s">
        <v>853</v>
      </c>
      <c r="C4144" t="str">
        <f>HYPERLINK("http://service.sap.com/sap/support/notes/2033284","2033284")</f>
        <v>2033284</v>
      </c>
      <c r="D4144">
        <v>1</v>
      </c>
      <c r="E4144" t="s">
        <v>4981</v>
      </c>
      <c r="F4144" t="s">
        <v>9</v>
      </c>
    </row>
    <row r="4145" spans="1:6" x14ac:dyDescent="0.3">
      <c r="A4145" t="s">
        <v>852</v>
      </c>
      <c r="B4145" t="s">
        <v>853</v>
      </c>
      <c r="C4145" t="str">
        <f>HYPERLINK("http://service.sap.com/sap/support/notes/2034619","2034619")</f>
        <v>2034619</v>
      </c>
      <c r="D4145">
        <v>3</v>
      </c>
      <c r="E4145" t="s">
        <v>4982</v>
      </c>
      <c r="F4145" t="s">
        <v>9</v>
      </c>
    </row>
    <row r="4146" spans="1:6" x14ac:dyDescent="0.3">
      <c r="A4146" t="s">
        <v>852</v>
      </c>
      <c r="B4146" t="s">
        <v>853</v>
      </c>
      <c r="C4146" t="str">
        <f>HYPERLINK("http://service.sap.com/sap/support/notes/2043674","2043674")</f>
        <v>2043674</v>
      </c>
      <c r="D4146">
        <v>1</v>
      </c>
      <c r="E4146" t="s">
        <v>5308</v>
      </c>
      <c r="F4146" t="s">
        <v>9</v>
      </c>
    </row>
    <row r="4147" spans="1:6" x14ac:dyDescent="0.3">
      <c r="A4147" t="s">
        <v>852</v>
      </c>
      <c r="B4147" t="s">
        <v>853</v>
      </c>
      <c r="C4147" t="str">
        <f>HYPERLINK("http://service.sap.com/sap/support/notes/2043675","2043675")</f>
        <v>2043675</v>
      </c>
      <c r="D4147">
        <v>1</v>
      </c>
      <c r="E4147" t="s">
        <v>5309</v>
      </c>
      <c r="F4147" t="s">
        <v>9</v>
      </c>
    </row>
    <row r="4148" spans="1:6" x14ac:dyDescent="0.3">
      <c r="A4148" t="s">
        <v>852</v>
      </c>
      <c r="B4148" t="s">
        <v>853</v>
      </c>
      <c r="C4148" t="str">
        <f>HYPERLINK("http://service.sap.com/sap/support/notes/2043676","2043676")</f>
        <v>2043676</v>
      </c>
      <c r="D4148">
        <v>2</v>
      </c>
      <c r="E4148" t="s">
        <v>5310</v>
      </c>
      <c r="F4148" t="s">
        <v>9</v>
      </c>
    </row>
    <row r="4149" spans="1:6" x14ac:dyDescent="0.3">
      <c r="A4149" t="s">
        <v>852</v>
      </c>
      <c r="B4149" t="s">
        <v>853</v>
      </c>
      <c r="C4149" t="str">
        <f>HYPERLINK("http://service.sap.com/sap/support/notes/2046448","2046448")</f>
        <v>2046448</v>
      </c>
      <c r="D4149">
        <v>6</v>
      </c>
      <c r="E4149" t="s">
        <v>5311</v>
      </c>
      <c r="F4149" t="s">
        <v>9</v>
      </c>
    </row>
    <row r="4150" spans="1:6" x14ac:dyDescent="0.3">
      <c r="A4150" t="s">
        <v>852</v>
      </c>
      <c r="B4150" t="s">
        <v>853</v>
      </c>
      <c r="C4150" t="str">
        <f>HYPERLINK("http://service.sap.com/sap/support/notes/2051784","2051784")</f>
        <v>2051784</v>
      </c>
      <c r="D4150">
        <v>2</v>
      </c>
      <c r="E4150" t="s">
        <v>5312</v>
      </c>
      <c r="F4150" t="s">
        <v>9</v>
      </c>
    </row>
    <row r="4151" spans="1:6" x14ac:dyDescent="0.3">
      <c r="A4151" t="s">
        <v>852</v>
      </c>
      <c r="B4151" t="s">
        <v>853</v>
      </c>
      <c r="C4151" t="str">
        <f>HYPERLINK("http://service.sap.com/sap/support/notes/2019186","2019186")</f>
        <v>2019186</v>
      </c>
      <c r="D4151">
        <v>5</v>
      </c>
      <c r="E4151" t="s">
        <v>5639</v>
      </c>
      <c r="F4151" t="s">
        <v>9</v>
      </c>
    </row>
    <row r="4152" spans="1:6" x14ac:dyDescent="0.3">
      <c r="A4152" t="s">
        <v>852</v>
      </c>
      <c r="B4152" t="s">
        <v>853</v>
      </c>
      <c r="C4152" t="str">
        <f>HYPERLINK("http://service.sap.com/sap/support/notes/2028283","2028283")</f>
        <v>2028283</v>
      </c>
      <c r="D4152">
        <v>3</v>
      </c>
      <c r="E4152" t="s">
        <v>5640</v>
      </c>
      <c r="F4152" t="s">
        <v>9</v>
      </c>
    </row>
    <row r="4153" spans="1:6" x14ac:dyDescent="0.3">
      <c r="A4153" t="s">
        <v>852</v>
      </c>
      <c r="B4153" t="s">
        <v>853</v>
      </c>
      <c r="C4153" t="str">
        <f>HYPERLINK("http://service.sap.com/sap/support/notes/2056513","2056513")</f>
        <v>2056513</v>
      </c>
      <c r="D4153">
        <v>1</v>
      </c>
      <c r="E4153" t="s">
        <v>5641</v>
      </c>
      <c r="F4153" t="s">
        <v>9</v>
      </c>
    </row>
    <row r="4154" spans="1:6" x14ac:dyDescent="0.3">
      <c r="A4154" t="s">
        <v>852</v>
      </c>
      <c r="B4154" t="s">
        <v>853</v>
      </c>
      <c r="C4154" t="str">
        <f>HYPERLINK("http://service.sap.com/sap/support/notes/2056514","2056514")</f>
        <v>2056514</v>
      </c>
      <c r="D4154">
        <v>2</v>
      </c>
      <c r="E4154" t="s">
        <v>5642</v>
      </c>
      <c r="F4154" t="s">
        <v>9</v>
      </c>
    </row>
    <row r="4155" spans="1:6" x14ac:dyDescent="0.3">
      <c r="A4155" t="s">
        <v>852</v>
      </c>
      <c r="B4155" t="s">
        <v>853</v>
      </c>
      <c r="C4155" t="str">
        <f>HYPERLINK("http://service.sap.com/sap/support/notes/2056515","2056515")</f>
        <v>2056515</v>
      </c>
      <c r="D4155">
        <v>9</v>
      </c>
      <c r="E4155" t="s">
        <v>5643</v>
      </c>
      <c r="F4155" t="s">
        <v>9</v>
      </c>
    </row>
    <row r="4156" spans="1:6" x14ac:dyDescent="0.3">
      <c r="A4156" t="s">
        <v>852</v>
      </c>
      <c r="B4156" t="s">
        <v>853</v>
      </c>
      <c r="C4156" t="str">
        <f>HYPERLINK("http://service.sap.com/sap/support/notes/2056516","2056516")</f>
        <v>2056516</v>
      </c>
      <c r="D4156">
        <v>2</v>
      </c>
      <c r="E4156" t="s">
        <v>5644</v>
      </c>
      <c r="F4156" t="s">
        <v>9</v>
      </c>
    </row>
    <row r="4157" spans="1:6" x14ac:dyDescent="0.3">
      <c r="A4157" t="s">
        <v>852</v>
      </c>
      <c r="B4157" t="s">
        <v>853</v>
      </c>
      <c r="C4157" t="str">
        <f>HYPERLINK("http://service.sap.com/sap/support/notes/2057767","2057767")</f>
        <v>2057767</v>
      </c>
      <c r="D4157">
        <v>5</v>
      </c>
      <c r="E4157" t="s">
        <v>5645</v>
      </c>
      <c r="F4157" t="s">
        <v>9</v>
      </c>
    </row>
    <row r="4158" spans="1:6" x14ac:dyDescent="0.3">
      <c r="A4158" t="s">
        <v>852</v>
      </c>
      <c r="B4158" t="s">
        <v>853</v>
      </c>
      <c r="C4158" t="str">
        <f>HYPERLINK("http://service.sap.com/sap/support/notes/2058316","2058316")</f>
        <v>2058316</v>
      </c>
      <c r="D4158">
        <v>4</v>
      </c>
      <c r="E4158" t="s">
        <v>5646</v>
      </c>
      <c r="F4158" t="s">
        <v>9</v>
      </c>
    </row>
    <row r="4159" spans="1:6" x14ac:dyDescent="0.3">
      <c r="A4159" t="s">
        <v>852</v>
      </c>
      <c r="B4159" t="s">
        <v>853</v>
      </c>
      <c r="C4159" t="str">
        <f>HYPERLINK("http://service.sap.com/sap/support/notes/2063637","2063637")</f>
        <v>2063637</v>
      </c>
      <c r="D4159">
        <v>2</v>
      </c>
      <c r="E4159" t="s">
        <v>5647</v>
      </c>
      <c r="F4159" t="s">
        <v>9</v>
      </c>
    </row>
    <row r="4160" spans="1:6" x14ac:dyDescent="0.3">
      <c r="A4160" t="s">
        <v>859</v>
      </c>
      <c r="B4160" t="s">
        <v>860</v>
      </c>
      <c r="C4160" t="str">
        <f>HYPERLINK("http://service.sap.com/sap/support/notes/1922829","1922829")</f>
        <v>1922829</v>
      </c>
      <c r="D4160">
        <v>1</v>
      </c>
      <c r="E4160" t="s">
        <v>861</v>
      </c>
      <c r="F4160" t="s">
        <v>16</v>
      </c>
    </row>
    <row r="4161" spans="1:6" x14ac:dyDescent="0.3">
      <c r="A4161" t="s">
        <v>859</v>
      </c>
      <c r="B4161" t="s">
        <v>4304</v>
      </c>
      <c r="C4161" t="str">
        <f>HYPERLINK("http://service.sap.com/sap/support/notes/2018039","2018039")</f>
        <v>2018039</v>
      </c>
      <c r="D4161">
        <v>4</v>
      </c>
      <c r="E4161" t="s">
        <v>4305</v>
      </c>
      <c r="F4161" t="s">
        <v>9</v>
      </c>
    </row>
    <row r="4162" spans="1:6" x14ac:dyDescent="0.3">
      <c r="A4162" t="s">
        <v>859</v>
      </c>
      <c r="B4162" t="s">
        <v>4304</v>
      </c>
      <c r="C4162" t="str">
        <f>HYPERLINK("http://service.sap.com/sap/support/notes/2023894","2023894")</f>
        <v>2023894</v>
      </c>
      <c r="D4162">
        <v>5</v>
      </c>
      <c r="E4162" t="s">
        <v>4983</v>
      </c>
      <c r="F4162" t="s">
        <v>9</v>
      </c>
    </row>
    <row r="4163" spans="1:6" x14ac:dyDescent="0.3">
      <c r="A4163" t="s">
        <v>859</v>
      </c>
      <c r="B4163" t="s">
        <v>4304</v>
      </c>
      <c r="C4163" t="str">
        <f>HYPERLINK("http://service.sap.com/sap/support/notes/2028658","2028658")</f>
        <v>2028658</v>
      </c>
      <c r="D4163">
        <v>3</v>
      </c>
      <c r="E4163" t="s">
        <v>4984</v>
      </c>
      <c r="F4163" t="s">
        <v>9</v>
      </c>
    </row>
    <row r="4164" spans="1:6" x14ac:dyDescent="0.3">
      <c r="A4164" t="s">
        <v>859</v>
      </c>
      <c r="B4164" t="s">
        <v>4304</v>
      </c>
      <c r="C4164" t="str">
        <f>HYPERLINK("http://service.sap.com/sap/support/notes/2039184","2039184")</f>
        <v>2039184</v>
      </c>
      <c r="D4164">
        <v>3</v>
      </c>
      <c r="E4164" t="s">
        <v>4985</v>
      </c>
      <c r="F4164" t="s">
        <v>9</v>
      </c>
    </row>
    <row r="4165" spans="1:6" x14ac:dyDescent="0.3">
      <c r="A4165" t="s">
        <v>859</v>
      </c>
      <c r="B4165" t="s">
        <v>4304</v>
      </c>
      <c r="C4165" t="str">
        <f>HYPERLINK("http://service.sap.com/sap/support/notes/2047224","2047224")</f>
        <v>2047224</v>
      </c>
      <c r="D4165">
        <v>4</v>
      </c>
      <c r="E4165" t="s">
        <v>5313</v>
      </c>
      <c r="F4165" t="s">
        <v>9</v>
      </c>
    </row>
    <row r="4166" spans="1:6" x14ac:dyDescent="0.3">
      <c r="A4166" t="s">
        <v>862</v>
      </c>
      <c r="B4166" t="s">
        <v>863</v>
      </c>
      <c r="C4166" t="str">
        <f>HYPERLINK("http://service.sap.com/sap/support/notes/1884707","1884707")</f>
        <v>1884707</v>
      </c>
      <c r="D4166">
        <v>1</v>
      </c>
      <c r="E4166" t="s">
        <v>864</v>
      </c>
      <c r="F4166" t="s">
        <v>9</v>
      </c>
    </row>
    <row r="4167" spans="1:6" x14ac:dyDescent="0.3">
      <c r="A4167" t="s">
        <v>862</v>
      </c>
      <c r="B4167" t="s">
        <v>863</v>
      </c>
      <c r="C4167" t="str">
        <f>HYPERLINK("http://service.sap.com/sap/support/notes/1913977","1913977")</f>
        <v>1913977</v>
      </c>
      <c r="D4167">
        <v>4</v>
      </c>
      <c r="E4167" t="s">
        <v>865</v>
      </c>
      <c r="F4167" t="s">
        <v>9</v>
      </c>
    </row>
    <row r="4168" spans="1:6" x14ac:dyDescent="0.3">
      <c r="A4168" t="s">
        <v>862</v>
      </c>
      <c r="B4168" t="s">
        <v>863</v>
      </c>
      <c r="C4168" t="str">
        <f>HYPERLINK("http://service.sap.com/sap/support/notes/1918332","1918332")</f>
        <v>1918332</v>
      </c>
      <c r="D4168">
        <v>1</v>
      </c>
      <c r="E4168" t="s">
        <v>866</v>
      </c>
      <c r="F4168" t="s">
        <v>9</v>
      </c>
    </row>
    <row r="4169" spans="1:6" x14ac:dyDescent="0.3">
      <c r="A4169" t="s">
        <v>862</v>
      </c>
      <c r="B4169" t="s">
        <v>863</v>
      </c>
      <c r="C4169" t="str">
        <f>HYPERLINK("http://service.sap.com/sap/support/notes/1921812","1921812")</f>
        <v>1921812</v>
      </c>
      <c r="D4169">
        <v>1</v>
      </c>
      <c r="E4169" t="s">
        <v>867</v>
      </c>
      <c r="F4169" t="s">
        <v>9</v>
      </c>
    </row>
    <row r="4170" spans="1:6" x14ac:dyDescent="0.3">
      <c r="A4170" t="s">
        <v>862</v>
      </c>
      <c r="B4170" t="s">
        <v>863</v>
      </c>
      <c r="C4170" t="str">
        <f>HYPERLINK("http://service.sap.com/sap/support/notes/1922873","1922873")</f>
        <v>1922873</v>
      </c>
      <c r="D4170">
        <v>1</v>
      </c>
      <c r="E4170" t="s">
        <v>868</v>
      </c>
      <c r="F4170" t="s">
        <v>9</v>
      </c>
    </row>
    <row r="4171" spans="1:6" x14ac:dyDescent="0.3">
      <c r="A4171" t="s">
        <v>862</v>
      </c>
      <c r="B4171" t="s">
        <v>863</v>
      </c>
      <c r="C4171" t="str">
        <f>HYPERLINK("http://service.sap.com/sap/support/notes/1929948","1929948")</f>
        <v>1929948</v>
      </c>
      <c r="D4171">
        <v>6</v>
      </c>
      <c r="E4171" t="s">
        <v>869</v>
      </c>
      <c r="F4171" t="s">
        <v>9</v>
      </c>
    </row>
    <row r="4172" spans="1:6" x14ac:dyDescent="0.3">
      <c r="A4172" t="s">
        <v>862</v>
      </c>
      <c r="B4172" t="s">
        <v>1345</v>
      </c>
      <c r="C4172" t="str">
        <f>HYPERLINK("http://service.sap.com/sap/support/notes/1896882","1896882")</f>
        <v>1896882</v>
      </c>
      <c r="D4172">
        <v>2</v>
      </c>
      <c r="E4172" t="s">
        <v>1346</v>
      </c>
      <c r="F4172" t="s">
        <v>9</v>
      </c>
    </row>
    <row r="4173" spans="1:6" x14ac:dyDescent="0.3">
      <c r="A4173" t="s">
        <v>862</v>
      </c>
      <c r="B4173" t="s">
        <v>1345</v>
      </c>
      <c r="C4173" t="str">
        <f>HYPERLINK("http://service.sap.com/sap/support/notes/1902205","1902205")</f>
        <v>1902205</v>
      </c>
      <c r="D4173">
        <v>3</v>
      </c>
      <c r="E4173" t="s">
        <v>1347</v>
      </c>
      <c r="F4173" t="s">
        <v>9</v>
      </c>
    </row>
    <row r="4174" spans="1:6" x14ac:dyDescent="0.3">
      <c r="A4174" t="s">
        <v>862</v>
      </c>
      <c r="B4174" t="s">
        <v>1345</v>
      </c>
      <c r="C4174" t="str">
        <f>HYPERLINK("http://service.sap.com/sap/support/notes/1909085","1909085")</f>
        <v>1909085</v>
      </c>
      <c r="D4174">
        <v>3</v>
      </c>
      <c r="E4174" t="s">
        <v>1348</v>
      </c>
      <c r="F4174" t="s">
        <v>9</v>
      </c>
    </row>
    <row r="4175" spans="1:6" x14ac:dyDescent="0.3">
      <c r="A4175" t="s">
        <v>862</v>
      </c>
      <c r="B4175" t="s">
        <v>1345</v>
      </c>
      <c r="C4175" t="str">
        <f>HYPERLINK("http://service.sap.com/sap/support/notes/1911557","1911557")</f>
        <v>1911557</v>
      </c>
      <c r="D4175">
        <v>5</v>
      </c>
      <c r="E4175" t="s">
        <v>1349</v>
      </c>
      <c r="F4175" t="s">
        <v>9</v>
      </c>
    </row>
    <row r="4176" spans="1:6" x14ac:dyDescent="0.3">
      <c r="A4176" t="s">
        <v>862</v>
      </c>
      <c r="B4176" t="s">
        <v>1345</v>
      </c>
      <c r="C4176" t="str">
        <f>HYPERLINK("http://service.sap.com/sap/support/notes/1929948","1929948")</f>
        <v>1929948</v>
      </c>
      <c r="D4176">
        <v>6</v>
      </c>
      <c r="E4176" t="s">
        <v>869</v>
      </c>
      <c r="F4176" t="s">
        <v>9</v>
      </c>
    </row>
    <row r="4177" spans="1:6" x14ac:dyDescent="0.3">
      <c r="A4177" t="s">
        <v>862</v>
      </c>
      <c r="B4177" t="s">
        <v>1345</v>
      </c>
      <c r="C4177" t="str">
        <f>HYPERLINK("http://service.sap.com/sap/support/notes/1936333","1936333")</f>
        <v>1936333</v>
      </c>
      <c r="D4177">
        <v>2</v>
      </c>
      <c r="E4177" t="s">
        <v>1350</v>
      </c>
      <c r="F4177" t="s">
        <v>9</v>
      </c>
    </row>
    <row r="4178" spans="1:6" x14ac:dyDescent="0.3">
      <c r="A4178" t="s">
        <v>862</v>
      </c>
      <c r="B4178" t="s">
        <v>1345</v>
      </c>
      <c r="C4178" t="str">
        <f>HYPERLINK("http://service.sap.com/sap/support/notes/1939844","1939844")</f>
        <v>1939844</v>
      </c>
      <c r="D4178">
        <v>2</v>
      </c>
      <c r="E4178" t="s">
        <v>1351</v>
      </c>
      <c r="F4178" t="s">
        <v>9</v>
      </c>
    </row>
    <row r="4179" spans="1:6" x14ac:dyDescent="0.3">
      <c r="A4179" t="s">
        <v>862</v>
      </c>
      <c r="B4179" t="s">
        <v>863</v>
      </c>
      <c r="C4179" t="str">
        <f>HYPERLINK("http://service.sap.com/sap/support/notes/1884707","1884707")</f>
        <v>1884707</v>
      </c>
      <c r="D4179">
        <v>1</v>
      </c>
      <c r="E4179" t="s">
        <v>864</v>
      </c>
      <c r="F4179" t="s">
        <v>9</v>
      </c>
    </row>
    <row r="4180" spans="1:6" x14ac:dyDescent="0.3">
      <c r="A4180" t="s">
        <v>862</v>
      </c>
      <c r="B4180" t="s">
        <v>863</v>
      </c>
      <c r="C4180" t="str">
        <f>HYPERLINK("http://service.sap.com/sap/support/notes/1912583","1912583")</f>
        <v>1912583</v>
      </c>
      <c r="D4180">
        <v>4</v>
      </c>
      <c r="E4180" t="s">
        <v>1914</v>
      </c>
      <c r="F4180" t="s">
        <v>9</v>
      </c>
    </row>
    <row r="4181" spans="1:6" x14ac:dyDescent="0.3">
      <c r="A4181" t="s">
        <v>862</v>
      </c>
      <c r="B4181" t="s">
        <v>863</v>
      </c>
      <c r="C4181" t="str">
        <f>HYPERLINK("http://service.sap.com/sap/support/notes/1912834","1912834")</f>
        <v>1912834</v>
      </c>
      <c r="D4181">
        <v>4</v>
      </c>
      <c r="E4181" t="s">
        <v>1915</v>
      </c>
      <c r="F4181" t="s">
        <v>9</v>
      </c>
    </row>
    <row r="4182" spans="1:6" x14ac:dyDescent="0.3">
      <c r="A4182" t="s">
        <v>862</v>
      </c>
      <c r="B4182" t="s">
        <v>863</v>
      </c>
      <c r="C4182" t="str">
        <f>HYPERLINK("http://service.sap.com/sap/support/notes/1924748","1924748")</f>
        <v>1924748</v>
      </c>
      <c r="D4182">
        <v>1</v>
      </c>
      <c r="E4182" t="s">
        <v>1916</v>
      </c>
      <c r="F4182" t="s">
        <v>9</v>
      </c>
    </row>
    <row r="4183" spans="1:6" x14ac:dyDescent="0.3">
      <c r="A4183" t="s">
        <v>862</v>
      </c>
      <c r="B4183" t="s">
        <v>863</v>
      </c>
      <c r="C4183" t="str">
        <f>HYPERLINK("http://service.sap.com/sap/support/notes/1928952","1928952")</f>
        <v>1928952</v>
      </c>
      <c r="D4183">
        <v>1</v>
      </c>
      <c r="E4183" t="s">
        <v>1917</v>
      </c>
      <c r="F4183" t="s">
        <v>9</v>
      </c>
    </row>
    <row r="4184" spans="1:6" x14ac:dyDescent="0.3">
      <c r="A4184" t="s">
        <v>862</v>
      </c>
      <c r="B4184" t="s">
        <v>863</v>
      </c>
      <c r="C4184" t="str">
        <f>HYPERLINK("http://service.sap.com/sap/support/notes/1936247","1936247")</f>
        <v>1936247</v>
      </c>
      <c r="D4184">
        <v>1</v>
      </c>
      <c r="E4184" t="s">
        <v>1918</v>
      </c>
      <c r="F4184" t="s">
        <v>9</v>
      </c>
    </row>
    <row r="4185" spans="1:6" x14ac:dyDescent="0.3">
      <c r="A4185" t="s">
        <v>862</v>
      </c>
      <c r="B4185" t="s">
        <v>863</v>
      </c>
      <c r="C4185" t="str">
        <f>HYPERLINK("http://service.sap.com/sap/support/notes/1938952","1938952")</f>
        <v>1938952</v>
      </c>
      <c r="D4185">
        <v>1</v>
      </c>
      <c r="E4185" t="s">
        <v>1919</v>
      </c>
      <c r="F4185" t="s">
        <v>9</v>
      </c>
    </row>
    <row r="4186" spans="1:6" x14ac:dyDescent="0.3">
      <c r="A4186" t="s">
        <v>862</v>
      </c>
      <c r="B4186" t="s">
        <v>863</v>
      </c>
      <c r="C4186" t="str">
        <f>HYPERLINK("http://service.sap.com/sap/support/notes/1939171","1939171")</f>
        <v>1939171</v>
      </c>
      <c r="D4186">
        <v>3</v>
      </c>
      <c r="E4186" t="s">
        <v>1920</v>
      </c>
      <c r="F4186" t="s">
        <v>9</v>
      </c>
    </row>
    <row r="4187" spans="1:6" x14ac:dyDescent="0.3">
      <c r="A4187" t="s">
        <v>862</v>
      </c>
      <c r="B4187" t="s">
        <v>863</v>
      </c>
      <c r="C4187" t="str">
        <f>HYPERLINK("http://service.sap.com/sap/support/notes/1939630","1939630")</f>
        <v>1939630</v>
      </c>
      <c r="D4187">
        <v>2</v>
      </c>
      <c r="E4187" t="s">
        <v>1921</v>
      </c>
      <c r="F4187" t="s">
        <v>9</v>
      </c>
    </row>
    <row r="4188" spans="1:6" x14ac:dyDescent="0.3">
      <c r="A4188" t="s">
        <v>862</v>
      </c>
      <c r="B4188" t="s">
        <v>863</v>
      </c>
      <c r="C4188" t="str">
        <f>HYPERLINK("http://service.sap.com/sap/support/notes/1940274","1940274")</f>
        <v>1940274</v>
      </c>
      <c r="D4188">
        <v>2</v>
      </c>
      <c r="E4188" t="s">
        <v>1922</v>
      </c>
      <c r="F4188" t="s">
        <v>9</v>
      </c>
    </row>
    <row r="4189" spans="1:6" x14ac:dyDescent="0.3">
      <c r="A4189" t="s">
        <v>862</v>
      </c>
      <c r="B4189" t="s">
        <v>863</v>
      </c>
      <c r="C4189" t="str">
        <f>HYPERLINK("http://service.sap.com/sap/support/notes/1942394","1942394")</f>
        <v>1942394</v>
      </c>
      <c r="D4189">
        <v>1</v>
      </c>
      <c r="E4189" t="s">
        <v>1923</v>
      </c>
      <c r="F4189" t="s">
        <v>9</v>
      </c>
    </row>
    <row r="4190" spans="1:6" x14ac:dyDescent="0.3">
      <c r="A4190" t="s">
        <v>862</v>
      </c>
      <c r="B4190" t="s">
        <v>863</v>
      </c>
      <c r="C4190" t="str">
        <f>HYPERLINK("http://service.sap.com/sap/support/notes/1942631","1942631")</f>
        <v>1942631</v>
      </c>
      <c r="D4190">
        <v>1</v>
      </c>
      <c r="E4190" t="s">
        <v>1924</v>
      </c>
      <c r="F4190" t="s">
        <v>9</v>
      </c>
    </row>
    <row r="4191" spans="1:6" x14ac:dyDescent="0.3">
      <c r="A4191" t="s">
        <v>862</v>
      </c>
      <c r="B4191" t="s">
        <v>863</v>
      </c>
      <c r="C4191" t="str">
        <f>HYPERLINK("http://service.sap.com/sap/support/notes/1943173","1943173")</f>
        <v>1943173</v>
      </c>
      <c r="D4191">
        <v>2</v>
      </c>
      <c r="E4191" t="s">
        <v>1925</v>
      </c>
      <c r="F4191" t="s">
        <v>9</v>
      </c>
    </row>
    <row r="4192" spans="1:6" x14ac:dyDescent="0.3">
      <c r="A4192" t="s">
        <v>862</v>
      </c>
      <c r="B4192" t="s">
        <v>863</v>
      </c>
      <c r="C4192" t="str">
        <f>HYPERLINK("http://service.sap.com/sap/support/notes/1943175","1943175")</f>
        <v>1943175</v>
      </c>
      <c r="D4192">
        <v>1</v>
      </c>
      <c r="E4192" t="s">
        <v>1926</v>
      </c>
      <c r="F4192" t="s">
        <v>9</v>
      </c>
    </row>
    <row r="4193" spans="1:6" x14ac:dyDescent="0.3">
      <c r="A4193" t="s">
        <v>862</v>
      </c>
      <c r="B4193" t="s">
        <v>863</v>
      </c>
      <c r="C4193" t="str">
        <f>HYPERLINK("http://service.sap.com/sap/support/notes/1945497","1945497")</f>
        <v>1945497</v>
      </c>
      <c r="D4193">
        <v>1</v>
      </c>
      <c r="E4193" t="s">
        <v>1927</v>
      </c>
      <c r="F4193" t="s">
        <v>9</v>
      </c>
    </row>
    <row r="4194" spans="1:6" x14ac:dyDescent="0.3">
      <c r="A4194" t="s">
        <v>862</v>
      </c>
      <c r="B4194" t="s">
        <v>863</v>
      </c>
      <c r="C4194" t="str">
        <f>HYPERLINK("http://service.sap.com/sap/support/notes/1948277","1948277")</f>
        <v>1948277</v>
      </c>
      <c r="D4194">
        <v>1</v>
      </c>
      <c r="E4194" t="s">
        <v>1928</v>
      </c>
      <c r="F4194" t="s">
        <v>9</v>
      </c>
    </row>
    <row r="4195" spans="1:6" x14ac:dyDescent="0.3">
      <c r="A4195" t="s">
        <v>862</v>
      </c>
      <c r="B4195" t="s">
        <v>863</v>
      </c>
      <c r="C4195" t="str">
        <f>HYPERLINK("http://service.sap.com/sap/support/notes/1949969","1949969")</f>
        <v>1949969</v>
      </c>
      <c r="D4195">
        <v>2</v>
      </c>
      <c r="E4195" t="s">
        <v>1929</v>
      </c>
      <c r="F4195" t="s">
        <v>9</v>
      </c>
    </row>
    <row r="4196" spans="1:6" x14ac:dyDescent="0.3">
      <c r="A4196" t="s">
        <v>862</v>
      </c>
      <c r="B4196" t="s">
        <v>863</v>
      </c>
      <c r="C4196" t="str">
        <f>HYPERLINK("http://service.sap.com/sap/support/notes/1951807","1951807")</f>
        <v>1951807</v>
      </c>
      <c r="D4196">
        <v>2</v>
      </c>
      <c r="E4196" t="s">
        <v>1930</v>
      </c>
      <c r="F4196" t="s">
        <v>9</v>
      </c>
    </row>
    <row r="4197" spans="1:6" x14ac:dyDescent="0.3">
      <c r="A4197" t="s">
        <v>862</v>
      </c>
      <c r="B4197" t="s">
        <v>863</v>
      </c>
      <c r="C4197" t="str">
        <f>HYPERLINK("http://service.sap.com/sap/support/notes/1952713","1952713")</f>
        <v>1952713</v>
      </c>
      <c r="D4197">
        <v>1</v>
      </c>
      <c r="E4197" t="s">
        <v>1931</v>
      </c>
      <c r="F4197" t="s">
        <v>9</v>
      </c>
    </row>
    <row r="4198" spans="1:6" x14ac:dyDescent="0.3">
      <c r="A4198" t="s">
        <v>862</v>
      </c>
      <c r="B4198" t="s">
        <v>863</v>
      </c>
      <c r="C4198" t="str">
        <f>HYPERLINK("http://service.sap.com/sap/support/notes/1957491","1957491")</f>
        <v>1957491</v>
      </c>
      <c r="D4198">
        <v>1</v>
      </c>
      <c r="E4198" t="s">
        <v>1932</v>
      </c>
      <c r="F4198" t="s">
        <v>9</v>
      </c>
    </row>
    <row r="4199" spans="1:6" x14ac:dyDescent="0.3">
      <c r="A4199" t="s">
        <v>862</v>
      </c>
      <c r="B4199" t="s">
        <v>863</v>
      </c>
      <c r="C4199" t="str">
        <f>HYPERLINK("http://service.sap.com/sap/support/notes/1958908","1958908")</f>
        <v>1958908</v>
      </c>
      <c r="D4199">
        <v>1</v>
      </c>
      <c r="E4199" t="s">
        <v>1933</v>
      </c>
      <c r="F4199" t="s">
        <v>9</v>
      </c>
    </row>
    <row r="4200" spans="1:6" x14ac:dyDescent="0.3">
      <c r="A4200" t="s">
        <v>862</v>
      </c>
      <c r="B4200" t="s">
        <v>1345</v>
      </c>
      <c r="C4200" t="str">
        <f>HYPERLINK("http://service.sap.com/sap/support/notes/1943173","1943173")</f>
        <v>1943173</v>
      </c>
      <c r="D4200">
        <v>2</v>
      </c>
      <c r="E4200" t="s">
        <v>2292</v>
      </c>
      <c r="F4200" t="s">
        <v>9</v>
      </c>
    </row>
    <row r="4201" spans="1:6" x14ac:dyDescent="0.3">
      <c r="A4201" t="s">
        <v>862</v>
      </c>
      <c r="B4201" t="s">
        <v>1345</v>
      </c>
      <c r="C4201" t="str">
        <f>HYPERLINK("http://service.sap.com/sap/support/notes/1945497","1945497")</f>
        <v>1945497</v>
      </c>
      <c r="D4201">
        <v>1</v>
      </c>
      <c r="E4201" t="s">
        <v>1927</v>
      </c>
      <c r="F4201" t="s">
        <v>9</v>
      </c>
    </row>
    <row r="4202" spans="1:6" x14ac:dyDescent="0.3">
      <c r="A4202" t="s">
        <v>862</v>
      </c>
      <c r="B4202" t="s">
        <v>1345</v>
      </c>
      <c r="C4202" t="str">
        <f>HYPERLINK("http://service.sap.com/sap/support/notes/1951807","1951807")</f>
        <v>1951807</v>
      </c>
      <c r="D4202">
        <v>2</v>
      </c>
      <c r="E4202" t="s">
        <v>2293</v>
      </c>
      <c r="F4202" t="s">
        <v>9</v>
      </c>
    </row>
    <row r="4203" spans="1:6" x14ac:dyDescent="0.3">
      <c r="A4203" t="s">
        <v>862</v>
      </c>
      <c r="B4203" t="s">
        <v>1345</v>
      </c>
      <c r="C4203" t="str">
        <f>HYPERLINK("http://service.sap.com/sap/support/notes/1957491","1957491")</f>
        <v>1957491</v>
      </c>
      <c r="D4203">
        <v>1</v>
      </c>
      <c r="E4203" t="s">
        <v>1932</v>
      </c>
      <c r="F4203" t="s">
        <v>9</v>
      </c>
    </row>
    <row r="4204" spans="1:6" x14ac:dyDescent="0.3">
      <c r="A4204" t="s">
        <v>862</v>
      </c>
      <c r="B4204" t="s">
        <v>1345</v>
      </c>
      <c r="C4204" t="str">
        <f>HYPERLINK("http://service.sap.com/sap/support/notes/1958908","1958908")</f>
        <v>1958908</v>
      </c>
      <c r="D4204">
        <v>1</v>
      </c>
      <c r="E4204" t="s">
        <v>1933</v>
      </c>
      <c r="F4204" t="s">
        <v>9</v>
      </c>
    </row>
    <row r="4205" spans="1:6" x14ac:dyDescent="0.3">
      <c r="A4205" t="s">
        <v>862</v>
      </c>
      <c r="B4205" t="s">
        <v>1345</v>
      </c>
      <c r="C4205" t="str">
        <f>HYPERLINK("http://service.sap.com/sap/support/notes/1963662","1963662")</f>
        <v>1963662</v>
      </c>
      <c r="D4205">
        <v>2</v>
      </c>
      <c r="E4205" t="s">
        <v>2294</v>
      </c>
      <c r="F4205" t="s">
        <v>9</v>
      </c>
    </row>
    <row r="4206" spans="1:6" x14ac:dyDescent="0.3">
      <c r="A4206" t="s">
        <v>862</v>
      </c>
      <c r="B4206" t="s">
        <v>1345</v>
      </c>
      <c r="C4206" t="str">
        <f>HYPERLINK("http://service.sap.com/sap/support/notes/1966977","1966977")</f>
        <v>1966977</v>
      </c>
      <c r="D4206">
        <v>1</v>
      </c>
      <c r="E4206" t="s">
        <v>2295</v>
      </c>
      <c r="F4206" t="s">
        <v>9</v>
      </c>
    </row>
    <row r="4207" spans="1:6" x14ac:dyDescent="0.3">
      <c r="A4207" t="s">
        <v>862</v>
      </c>
      <c r="B4207" t="s">
        <v>1345</v>
      </c>
      <c r="C4207" t="str">
        <f>HYPERLINK("http://service.sap.com/sap/support/notes/1968168","1968168")</f>
        <v>1968168</v>
      </c>
      <c r="D4207">
        <v>1</v>
      </c>
      <c r="E4207" t="s">
        <v>2296</v>
      </c>
      <c r="F4207" t="s">
        <v>9</v>
      </c>
    </row>
    <row r="4208" spans="1:6" x14ac:dyDescent="0.3">
      <c r="A4208" t="s">
        <v>862</v>
      </c>
      <c r="B4208" t="s">
        <v>1345</v>
      </c>
      <c r="C4208" t="str">
        <f>HYPERLINK("http://service.sap.com/sap/support/notes/1968943","1968943")</f>
        <v>1968943</v>
      </c>
      <c r="D4208">
        <v>1</v>
      </c>
      <c r="E4208" t="s">
        <v>2297</v>
      </c>
      <c r="F4208" t="s">
        <v>9</v>
      </c>
    </row>
    <row r="4209" spans="1:6" x14ac:dyDescent="0.3">
      <c r="A4209" t="s">
        <v>862</v>
      </c>
      <c r="B4209" t="s">
        <v>1345</v>
      </c>
      <c r="C4209" t="str">
        <f>HYPERLINK("http://service.sap.com/sap/support/notes/1950346","1950346")</f>
        <v>1950346</v>
      </c>
      <c r="D4209">
        <v>3</v>
      </c>
      <c r="E4209" t="s">
        <v>2702</v>
      </c>
      <c r="F4209" t="s">
        <v>9</v>
      </c>
    </row>
    <row r="4210" spans="1:6" x14ac:dyDescent="0.3">
      <c r="A4210" t="s">
        <v>862</v>
      </c>
      <c r="B4210" t="s">
        <v>1345</v>
      </c>
      <c r="C4210" t="str">
        <f>HYPERLINK("http://service.sap.com/sap/support/notes/1959997","1959997")</f>
        <v>1959997</v>
      </c>
      <c r="D4210">
        <v>3</v>
      </c>
      <c r="E4210" t="s">
        <v>2703</v>
      </c>
      <c r="F4210" t="s">
        <v>9</v>
      </c>
    </row>
    <row r="4211" spans="1:6" x14ac:dyDescent="0.3">
      <c r="A4211" t="s">
        <v>862</v>
      </c>
      <c r="B4211" t="s">
        <v>1345</v>
      </c>
      <c r="C4211" t="str">
        <f>HYPERLINK("http://service.sap.com/sap/support/notes/1969624","1969624")</f>
        <v>1969624</v>
      </c>
      <c r="D4211">
        <v>1</v>
      </c>
      <c r="E4211" t="s">
        <v>2704</v>
      </c>
      <c r="F4211" t="s">
        <v>9</v>
      </c>
    </row>
    <row r="4212" spans="1:6" x14ac:dyDescent="0.3">
      <c r="A4212" t="s">
        <v>862</v>
      </c>
      <c r="B4212" t="s">
        <v>1345</v>
      </c>
      <c r="C4212" t="str">
        <f>HYPERLINK("http://service.sap.com/sap/support/notes/1971368","1971368")</f>
        <v>1971368</v>
      </c>
      <c r="D4212">
        <v>1</v>
      </c>
      <c r="E4212" t="s">
        <v>2705</v>
      </c>
      <c r="F4212" t="s">
        <v>9</v>
      </c>
    </row>
    <row r="4213" spans="1:6" x14ac:dyDescent="0.3">
      <c r="A4213" t="s">
        <v>862</v>
      </c>
      <c r="B4213" t="s">
        <v>1345</v>
      </c>
      <c r="C4213" t="str">
        <f>HYPERLINK("http://service.sap.com/sap/support/notes/1976086","1976086")</f>
        <v>1976086</v>
      </c>
      <c r="D4213">
        <v>1</v>
      </c>
      <c r="E4213" t="s">
        <v>2706</v>
      </c>
      <c r="F4213" t="s">
        <v>9</v>
      </c>
    </row>
    <row r="4214" spans="1:6" x14ac:dyDescent="0.3">
      <c r="A4214" t="s">
        <v>862</v>
      </c>
      <c r="B4214" t="s">
        <v>863</v>
      </c>
      <c r="C4214" t="str">
        <f>HYPERLINK("http://service.sap.com/sap/support/notes/1886437","1886437")</f>
        <v>1886437</v>
      </c>
      <c r="D4214">
        <v>1</v>
      </c>
      <c r="E4214" t="s">
        <v>3172</v>
      </c>
      <c r="F4214" t="s">
        <v>9</v>
      </c>
    </row>
    <row r="4215" spans="1:6" x14ac:dyDescent="0.3">
      <c r="A4215" t="s">
        <v>862</v>
      </c>
      <c r="B4215" t="s">
        <v>863</v>
      </c>
      <c r="C4215" t="str">
        <f>HYPERLINK("http://service.sap.com/sap/support/notes/1941340","1941340")</f>
        <v>1941340</v>
      </c>
      <c r="D4215">
        <v>3</v>
      </c>
      <c r="E4215" t="s">
        <v>3173</v>
      </c>
      <c r="F4215" t="s">
        <v>9</v>
      </c>
    </row>
    <row r="4216" spans="1:6" x14ac:dyDescent="0.3">
      <c r="A4216" t="s">
        <v>862</v>
      </c>
      <c r="B4216" t="s">
        <v>863</v>
      </c>
      <c r="C4216" t="str">
        <f>HYPERLINK("http://service.sap.com/sap/support/notes/1959841","1959841")</f>
        <v>1959841</v>
      </c>
      <c r="D4216">
        <v>4</v>
      </c>
      <c r="E4216" t="s">
        <v>3174</v>
      </c>
      <c r="F4216" t="s">
        <v>9</v>
      </c>
    </row>
    <row r="4217" spans="1:6" x14ac:dyDescent="0.3">
      <c r="A4217" t="s">
        <v>862</v>
      </c>
      <c r="B4217" t="s">
        <v>863</v>
      </c>
      <c r="C4217" t="str">
        <f>HYPERLINK("http://service.sap.com/sap/support/notes/1972485","1972485")</f>
        <v>1972485</v>
      </c>
      <c r="D4217">
        <v>2</v>
      </c>
      <c r="E4217" t="s">
        <v>3174</v>
      </c>
      <c r="F4217" t="s">
        <v>9</v>
      </c>
    </row>
    <row r="4218" spans="1:6" x14ac:dyDescent="0.3">
      <c r="A4218" t="s">
        <v>862</v>
      </c>
      <c r="B4218" t="s">
        <v>863</v>
      </c>
      <c r="C4218" t="str">
        <f>HYPERLINK("http://service.sap.com/sap/support/notes/1977994","1977994")</f>
        <v>1977994</v>
      </c>
      <c r="D4218">
        <v>1</v>
      </c>
      <c r="E4218" t="s">
        <v>3175</v>
      </c>
      <c r="F4218" t="s">
        <v>9</v>
      </c>
    </row>
    <row r="4219" spans="1:6" x14ac:dyDescent="0.3">
      <c r="A4219" t="s">
        <v>862</v>
      </c>
      <c r="B4219" t="s">
        <v>863</v>
      </c>
      <c r="C4219" t="str">
        <f>HYPERLINK("http://service.sap.com/sap/support/notes/1980446","1980446")</f>
        <v>1980446</v>
      </c>
      <c r="D4219">
        <v>3</v>
      </c>
      <c r="E4219" t="s">
        <v>3176</v>
      </c>
      <c r="F4219" t="s">
        <v>9</v>
      </c>
    </row>
    <row r="4220" spans="1:6" x14ac:dyDescent="0.3">
      <c r="A4220" t="s">
        <v>862</v>
      </c>
      <c r="B4220" t="s">
        <v>863</v>
      </c>
      <c r="C4220" t="str">
        <f>HYPERLINK("http://service.sap.com/sap/support/notes/1984497","1984497")</f>
        <v>1984497</v>
      </c>
      <c r="D4220">
        <v>2</v>
      </c>
      <c r="E4220" t="s">
        <v>3177</v>
      </c>
      <c r="F4220" t="s">
        <v>9</v>
      </c>
    </row>
    <row r="4221" spans="1:6" x14ac:dyDescent="0.3">
      <c r="A4221" t="s">
        <v>862</v>
      </c>
      <c r="B4221" t="s">
        <v>863</v>
      </c>
      <c r="C4221" t="str">
        <f>HYPERLINK("http://service.sap.com/sap/support/notes/1987407","1987407")</f>
        <v>1987407</v>
      </c>
      <c r="D4221">
        <v>1</v>
      </c>
      <c r="E4221" t="s">
        <v>3178</v>
      </c>
      <c r="F4221" t="s">
        <v>9</v>
      </c>
    </row>
    <row r="4222" spans="1:6" x14ac:dyDescent="0.3">
      <c r="A4222" t="s">
        <v>862</v>
      </c>
      <c r="B4222" t="s">
        <v>863</v>
      </c>
      <c r="C4222" t="str">
        <f>HYPERLINK("http://service.sap.com/sap/support/notes/1987590","1987590")</f>
        <v>1987590</v>
      </c>
      <c r="D4222">
        <v>1</v>
      </c>
      <c r="E4222" t="s">
        <v>1349</v>
      </c>
      <c r="F4222" t="s">
        <v>9</v>
      </c>
    </row>
    <row r="4223" spans="1:6" x14ac:dyDescent="0.3">
      <c r="A4223" t="s">
        <v>862</v>
      </c>
      <c r="B4223" t="s">
        <v>863</v>
      </c>
      <c r="C4223" t="str">
        <f>HYPERLINK("http://service.sap.com/sap/support/notes/1988291","1988291")</f>
        <v>1988291</v>
      </c>
      <c r="D4223">
        <v>1</v>
      </c>
      <c r="E4223" t="s">
        <v>3179</v>
      </c>
      <c r="F4223" t="s">
        <v>9</v>
      </c>
    </row>
    <row r="4224" spans="1:6" x14ac:dyDescent="0.3">
      <c r="A4224" t="s">
        <v>862</v>
      </c>
      <c r="B4224" t="s">
        <v>863</v>
      </c>
      <c r="C4224" t="str">
        <f>HYPERLINK("http://service.sap.com/sap/support/notes/1990805","1990805")</f>
        <v>1990805</v>
      </c>
      <c r="D4224">
        <v>2</v>
      </c>
      <c r="E4224" t="s">
        <v>3180</v>
      </c>
      <c r="F4224" t="s">
        <v>9</v>
      </c>
    </row>
    <row r="4225" spans="1:6" x14ac:dyDescent="0.3">
      <c r="A4225" t="s">
        <v>862</v>
      </c>
      <c r="B4225" t="s">
        <v>863</v>
      </c>
      <c r="C4225" t="str">
        <f>HYPERLINK("http://service.sap.com/sap/support/notes/1994165","1994165")</f>
        <v>1994165</v>
      </c>
      <c r="D4225">
        <v>2</v>
      </c>
      <c r="E4225" t="s">
        <v>3181</v>
      </c>
      <c r="F4225" t="s">
        <v>9</v>
      </c>
    </row>
    <row r="4226" spans="1:6" x14ac:dyDescent="0.3">
      <c r="A4226" t="s">
        <v>862</v>
      </c>
      <c r="B4226" t="s">
        <v>863</v>
      </c>
      <c r="C4226" t="str">
        <f>HYPERLINK("http://service.sap.com/sap/support/notes/1946098","1946098")</f>
        <v>1946098</v>
      </c>
      <c r="D4226">
        <v>2</v>
      </c>
      <c r="E4226" t="s">
        <v>3826</v>
      </c>
      <c r="F4226" t="s">
        <v>9</v>
      </c>
    </row>
    <row r="4227" spans="1:6" x14ac:dyDescent="0.3">
      <c r="A4227" t="s">
        <v>862</v>
      </c>
      <c r="B4227" t="s">
        <v>863</v>
      </c>
      <c r="C4227" t="str">
        <f>HYPERLINK("http://service.sap.com/sap/support/notes/1995519","1995519")</f>
        <v>1995519</v>
      </c>
      <c r="D4227">
        <v>2</v>
      </c>
      <c r="E4227" t="s">
        <v>3827</v>
      </c>
      <c r="F4227" t="s">
        <v>9</v>
      </c>
    </row>
    <row r="4228" spans="1:6" x14ac:dyDescent="0.3">
      <c r="A4228" t="s">
        <v>862</v>
      </c>
      <c r="B4228" t="s">
        <v>863</v>
      </c>
      <c r="C4228" t="str">
        <f>HYPERLINK("http://service.sap.com/sap/support/notes/1996272","1996272")</f>
        <v>1996272</v>
      </c>
      <c r="D4228">
        <v>3</v>
      </c>
      <c r="E4228" t="s">
        <v>3828</v>
      </c>
      <c r="F4228" t="s">
        <v>9</v>
      </c>
    </row>
    <row r="4229" spans="1:6" x14ac:dyDescent="0.3">
      <c r="A4229" t="s">
        <v>862</v>
      </c>
      <c r="B4229" t="s">
        <v>863</v>
      </c>
      <c r="C4229" t="str">
        <f>HYPERLINK("http://service.sap.com/sap/support/notes/1996938","1996938")</f>
        <v>1996938</v>
      </c>
      <c r="D4229">
        <v>3</v>
      </c>
      <c r="E4229" t="s">
        <v>3829</v>
      </c>
      <c r="F4229" t="s">
        <v>9</v>
      </c>
    </row>
    <row r="4230" spans="1:6" x14ac:dyDescent="0.3">
      <c r="A4230" t="s">
        <v>862</v>
      </c>
      <c r="B4230" t="s">
        <v>863</v>
      </c>
      <c r="C4230" t="str">
        <f>HYPERLINK("http://service.sap.com/sap/support/notes/1997507","1997507")</f>
        <v>1997507</v>
      </c>
      <c r="D4230">
        <v>1</v>
      </c>
      <c r="E4230" t="s">
        <v>3830</v>
      </c>
      <c r="F4230" t="s">
        <v>9</v>
      </c>
    </row>
    <row r="4231" spans="1:6" x14ac:dyDescent="0.3">
      <c r="A4231" t="s">
        <v>862</v>
      </c>
      <c r="B4231" t="s">
        <v>863</v>
      </c>
      <c r="C4231" t="str">
        <f>HYPERLINK("http://service.sap.com/sap/support/notes/1997642","1997642")</f>
        <v>1997642</v>
      </c>
      <c r="D4231">
        <v>2</v>
      </c>
      <c r="E4231" t="s">
        <v>3831</v>
      </c>
      <c r="F4231" t="s">
        <v>9</v>
      </c>
    </row>
    <row r="4232" spans="1:6" x14ac:dyDescent="0.3">
      <c r="A4232" t="s">
        <v>862</v>
      </c>
      <c r="B4232" t="s">
        <v>863</v>
      </c>
      <c r="C4232" t="str">
        <f>HYPERLINK("http://service.sap.com/sap/support/notes/1997829","1997829")</f>
        <v>1997829</v>
      </c>
      <c r="D4232">
        <v>2</v>
      </c>
      <c r="E4232" t="s">
        <v>3832</v>
      </c>
      <c r="F4232" t="s">
        <v>9</v>
      </c>
    </row>
    <row r="4233" spans="1:6" x14ac:dyDescent="0.3">
      <c r="A4233" t="s">
        <v>862</v>
      </c>
      <c r="B4233" t="s">
        <v>863</v>
      </c>
      <c r="C4233" t="str">
        <f>HYPERLINK("http://service.sap.com/sap/support/notes/1998027","1998027")</f>
        <v>1998027</v>
      </c>
      <c r="D4233">
        <v>2</v>
      </c>
      <c r="E4233" t="s">
        <v>3833</v>
      </c>
      <c r="F4233" t="s">
        <v>9</v>
      </c>
    </row>
    <row r="4234" spans="1:6" x14ac:dyDescent="0.3">
      <c r="A4234" t="s">
        <v>862</v>
      </c>
      <c r="B4234" t="s">
        <v>863</v>
      </c>
      <c r="C4234" t="str">
        <f>HYPERLINK("http://service.sap.com/sap/support/notes/2001796","2001796")</f>
        <v>2001796</v>
      </c>
      <c r="D4234">
        <v>3</v>
      </c>
      <c r="E4234" t="s">
        <v>3834</v>
      </c>
      <c r="F4234" t="s">
        <v>9</v>
      </c>
    </row>
    <row r="4235" spans="1:6" x14ac:dyDescent="0.3">
      <c r="A4235" t="s">
        <v>862</v>
      </c>
      <c r="B4235" t="s">
        <v>1345</v>
      </c>
      <c r="C4235" t="str">
        <f>HYPERLINK("http://service.sap.com/sap/support/notes/1994165","1994165")</f>
        <v>1994165</v>
      </c>
      <c r="D4235">
        <v>2</v>
      </c>
      <c r="E4235" t="s">
        <v>4306</v>
      </c>
      <c r="F4235" t="s">
        <v>9</v>
      </c>
    </row>
    <row r="4236" spans="1:6" x14ac:dyDescent="0.3">
      <c r="A4236" t="s">
        <v>862</v>
      </c>
      <c r="B4236" t="s">
        <v>1345</v>
      </c>
      <c r="C4236" t="str">
        <f>HYPERLINK("http://service.sap.com/sap/support/notes/2004626","2004626")</f>
        <v>2004626</v>
      </c>
      <c r="D4236">
        <v>2</v>
      </c>
      <c r="E4236" t="s">
        <v>1933</v>
      </c>
      <c r="F4236" t="s">
        <v>9</v>
      </c>
    </row>
    <row r="4237" spans="1:6" x14ac:dyDescent="0.3">
      <c r="A4237" t="s">
        <v>862</v>
      </c>
      <c r="B4237" t="s">
        <v>1345</v>
      </c>
      <c r="C4237" t="str">
        <f>HYPERLINK("http://service.sap.com/sap/support/notes/2015128","2015128")</f>
        <v>2015128</v>
      </c>
      <c r="D4237">
        <v>1</v>
      </c>
      <c r="E4237" t="s">
        <v>4307</v>
      </c>
      <c r="F4237" t="s">
        <v>9</v>
      </c>
    </row>
    <row r="4238" spans="1:6" x14ac:dyDescent="0.3">
      <c r="A4238" t="s">
        <v>862</v>
      </c>
      <c r="B4238" t="s">
        <v>1345</v>
      </c>
      <c r="C4238" t="str">
        <f>HYPERLINK("http://service.sap.com/sap/support/notes/2015687","2015687")</f>
        <v>2015687</v>
      </c>
      <c r="D4238">
        <v>2</v>
      </c>
      <c r="E4238" t="s">
        <v>4308</v>
      </c>
      <c r="F4238" t="s">
        <v>9</v>
      </c>
    </row>
    <row r="4239" spans="1:6" x14ac:dyDescent="0.3">
      <c r="A4239" t="s">
        <v>862</v>
      </c>
      <c r="B4239" t="s">
        <v>1345</v>
      </c>
      <c r="C4239" t="str">
        <f>HYPERLINK("http://service.sap.com/sap/support/notes/1986364","1986364")</f>
        <v>1986364</v>
      </c>
      <c r="D4239">
        <v>2</v>
      </c>
      <c r="E4239" t="s">
        <v>4623</v>
      </c>
      <c r="F4239" t="s">
        <v>9</v>
      </c>
    </row>
    <row r="4240" spans="1:6" x14ac:dyDescent="0.3">
      <c r="A4240" t="s">
        <v>862</v>
      </c>
      <c r="B4240" t="s">
        <v>1345</v>
      </c>
      <c r="C4240" t="str">
        <f>HYPERLINK("http://service.sap.com/sap/support/notes/2001448","2001448")</f>
        <v>2001448</v>
      </c>
      <c r="D4240">
        <v>1</v>
      </c>
      <c r="E4240" t="s">
        <v>4624</v>
      </c>
      <c r="F4240" t="s">
        <v>9</v>
      </c>
    </row>
    <row r="4241" spans="1:6" x14ac:dyDescent="0.3">
      <c r="A4241" t="s">
        <v>862</v>
      </c>
      <c r="B4241" t="s">
        <v>1345</v>
      </c>
      <c r="C4241" t="str">
        <f>HYPERLINK("http://service.sap.com/sap/support/notes/2009602","2009602")</f>
        <v>2009602</v>
      </c>
      <c r="D4241">
        <v>3</v>
      </c>
      <c r="E4241" t="s">
        <v>4625</v>
      </c>
      <c r="F4241" t="s">
        <v>9</v>
      </c>
    </row>
    <row r="4242" spans="1:6" x14ac:dyDescent="0.3">
      <c r="A4242" t="s">
        <v>862</v>
      </c>
      <c r="B4242" t="s">
        <v>1345</v>
      </c>
      <c r="C4242" t="str">
        <f>HYPERLINK("http://service.sap.com/sap/support/notes/2018167","2018167")</f>
        <v>2018167</v>
      </c>
      <c r="D4242">
        <v>3</v>
      </c>
      <c r="E4242" t="s">
        <v>4626</v>
      </c>
      <c r="F4242" t="s">
        <v>9</v>
      </c>
    </row>
    <row r="4243" spans="1:6" x14ac:dyDescent="0.3">
      <c r="A4243" t="s">
        <v>862</v>
      </c>
      <c r="B4243" t="s">
        <v>1345</v>
      </c>
      <c r="C4243" t="str">
        <f>HYPERLINK("http://service.sap.com/sap/support/notes/2028496","2028496")</f>
        <v>2028496</v>
      </c>
      <c r="D4243">
        <v>3</v>
      </c>
      <c r="E4243" t="s">
        <v>4627</v>
      </c>
      <c r="F4243" t="s">
        <v>9</v>
      </c>
    </row>
    <row r="4244" spans="1:6" x14ac:dyDescent="0.3">
      <c r="A4244" t="s">
        <v>862</v>
      </c>
      <c r="B4244" t="s">
        <v>1345</v>
      </c>
      <c r="C4244" t="str">
        <f>HYPERLINK("http://service.sap.com/sap/support/notes/2032475","2032475")</f>
        <v>2032475</v>
      </c>
      <c r="D4244">
        <v>1</v>
      </c>
      <c r="E4244" t="s">
        <v>4628</v>
      </c>
      <c r="F4244" t="s">
        <v>9</v>
      </c>
    </row>
    <row r="4245" spans="1:6" x14ac:dyDescent="0.3">
      <c r="A4245" t="s">
        <v>862</v>
      </c>
      <c r="B4245" t="s">
        <v>1345</v>
      </c>
      <c r="C4245" t="str">
        <f>HYPERLINK("http://service.sap.com/sap/support/notes/1991316","1991316")</f>
        <v>1991316</v>
      </c>
      <c r="D4245">
        <v>2</v>
      </c>
      <c r="E4245" t="s">
        <v>4986</v>
      </c>
      <c r="F4245" t="s">
        <v>9</v>
      </c>
    </row>
    <row r="4246" spans="1:6" x14ac:dyDescent="0.3">
      <c r="A4246" t="s">
        <v>862</v>
      </c>
      <c r="B4246" t="s">
        <v>1345</v>
      </c>
      <c r="C4246" t="str">
        <f>HYPERLINK("http://service.sap.com/sap/support/notes/2027001","2027001")</f>
        <v>2027001</v>
      </c>
      <c r="D4246">
        <v>3</v>
      </c>
      <c r="E4246" t="s">
        <v>4987</v>
      </c>
      <c r="F4246" t="s">
        <v>9</v>
      </c>
    </row>
    <row r="4247" spans="1:6" x14ac:dyDescent="0.3">
      <c r="A4247" t="s">
        <v>862</v>
      </c>
      <c r="B4247" t="s">
        <v>1345</v>
      </c>
      <c r="C4247" t="str">
        <f>HYPERLINK("http://service.sap.com/sap/support/notes/2028093","2028093")</f>
        <v>2028093</v>
      </c>
      <c r="D4247">
        <v>1</v>
      </c>
      <c r="E4247" t="s">
        <v>4988</v>
      </c>
      <c r="F4247" t="s">
        <v>9</v>
      </c>
    </row>
    <row r="4248" spans="1:6" x14ac:dyDescent="0.3">
      <c r="A4248" t="s">
        <v>862</v>
      </c>
      <c r="B4248" t="s">
        <v>1345</v>
      </c>
      <c r="C4248" t="str">
        <f>HYPERLINK("http://service.sap.com/sap/support/notes/2029933","2029933")</f>
        <v>2029933</v>
      </c>
      <c r="D4248">
        <v>3</v>
      </c>
      <c r="E4248" t="s">
        <v>1349</v>
      </c>
      <c r="F4248" t="s">
        <v>9</v>
      </c>
    </row>
    <row r="4249" spans="1:6" x14ac:dyDescent="0.3">
      <c r="A4249" t="s">
        <v>862</v>
      </c>
      <c r="B4249" t="s">
        <v>1345</v>
      </c>
      <c r="C4249" t="str">
        <f>HYPERLINK("http://service.sap.com/sap/support/notes/2040055","2040055")</f>
        <v>2040055</v>
      </c>
      <c r="D4249">
        <v>1</v>
      </c>
      <c r="E4249" t="s">
        <v>4989</v>
      </c>
      <c r="F4249" t="s">
        <v>9</v>
      </c>
    </row>
    <row r="4250" spans="1:6" x14ac:dyDescent="0.3">
      <c r="A4250" t="s">
        <v>862</v>
      </c>
      <c r="B4250" t="s">
        <v>1345</v>
      </c>
      <c r="C4250" t="str">
        <f>HYPERLINK("http://service.sap.com/sap/support/notes/1974261","1974261")</f>
        <v>1974261</v>
      </c>
      <c r="D4250">
        <v>3</v>
      </c>
      <c r="E4250" t="s">
        <v>5314</v>
      </c>
      <c r="F4250" t="s">
        <v>9</v>
      </c>
    </row>
    <row r="4251" spans="1:6" x14ac:dyDescent="0.3">
      <c r="A4251" t="s">
        <v>862</v>
      </c>
      <c r="B4251" t="s">
        <v>1345</v>
      </c>
      <c r="C4251" t="str">
        <f>HYPERLINK("http://service.sap.com/sap/support/notes/2039573","2039573")</f>
        <v>2039573</v>
      </c>
      <c r="D4251">
        <v>1</v>
      </c>
      <c r="E4251" t="s">
        <v>5648</v>
      </c>
      <c r="F4251" t="s">
        <v>9</v>
      </c>
    </row>
    <row r="4252" spans="1:6" x14ac:dyDescent="0.3">
      <c r="A4252" t="s">
        <v>862</v>
      </c>
      <c r="B4252" t="s">
        <v>1345</v>
      </c>
      <c r="C4252" t="str">
        <f>HYPERLINK("http://service.sap.com/sap/support/notes/2059755","2059755")</f>
        <v>2059755</v>
      </c>
      <c r="D4252">
        <v>1</v>
      </c>
      <c r="E4252" t="s">
        <v>5649</v>
      </c>
      <c r="F4252" t="s">
        <v>9</v>
      </c>
    </row>
    <row r="4253" spans="1:6" x14ac:dyDescent="0.3">
      <c r="A4253" t="s">
        <v>862</v>
      </c>
      <c r="B4253" t="s">
        <v>1345</v>
      </c>
      <c r="C4253" t="str">
        <f>HYPERLINK("http://service.sap.com/sap/support/notes/2064543","2064543")</f>
        <v>2064543</v>
      </c>
      <c r="D4253">
        <v>1</v>
      </c>
      <c r="E4253" t="s">
        <v>5650</v>
      </c>
      <c r="F4253" t="s">
        <v>9</v>
      </c>
    </row>
    <row r="4254" spans="1:6" x14ac:dyDescent="0.3">
      <c r="A4254" t="s">
        <v>870</v>
      </c>
      <c r="B4254" t="s">
        <v>871</v>
      </c>
      <c r="C4254" t="str">
        <f>HYPERLINK("http://service.sap.com/sap/support/notes/1827199","1827199")</f>
        <v>1827199</v>
      </c>
      <c r="D4254">
        <v>2</v>
      </c>
      <c r="E4254" t="s">
        <v>872</v>
      </c>
      <c r="F4254" t="s">
        <v>9</v>
      </c>
    </row>
    <row r="4255" spans="1:6" x14ac:dyDescent="0.3">
      <c r="A4255" t="s">
        <v>870</v>
      </c>
      <c r="B4255" t="s">
        <v>871</v>
      </c>
      <c r="C4255" t="str">
        <f>HYPERLINK("http://service.sap.com/sap/support/notes/1916960","1916960")</f>
        <v>1916960</v>
      </c>
      <c r="D4255">
        <v>1</v>
      </c>
      <c r="E4255" t="s">
        <v>873</v>
      </c>
      <c r="F4255" t="s">
        <v>9</v>
      </c>
    </row>
    <row r="4256" spans="1:6" x14ac:dyDescent="0.3">
      <c r="A4256" t="s">
        <v>870</v>
      </c>
      <c r="B4256" t="s">
        <v>871</v>
      </c>
      <c r="C4256" t="str">
        <f>HYPERLINK("http://service.sap.com/sap/support/notes/1920243","1920243")</f>
        <v>1920243</v>
      </c>
      <c r="D4256">
        <v>1</v>
      </c>
      <c r="E4256" t="s">
        <v>874</v>
      </c>
      <c r="F4256" t="s">
        <v>9</v>
      </c>
    </row>
    <row r="4257" spans="1:6" x14ac:dyDescent="0.3">
      <c r="A4257" t="s">
        <v>870</v>
      </c>
      <c r="B4257" t="s">
        <v>871</v>
      </c>
      <c r="C4257" t="str">
        <f>HYPERLINK("http://service.sap.com/sap/support/notes/1921262","1921262")</f>
        <v>1921262</v>
      </c>
      <c r="D4257">
        <v>2</v>
      </c>
      <c r="E4257" t="s">
        <v>875</v>
      </c>
      <c r="F4257" t="s">
        <v>9</v>
      </c>
    </row>
    <row r="4258" spans="1:6" x14ac:dyDescent="0.3">
      <c r="A4258" t="s">
        <v>870</v>
      </c>
      <c r="B4258" t="s">
        <v>871</v>
      </c>
      <c r="C4258" t="str">
        <f>HYPERLINK("http://service.sap.com/sap/support/notes/1928595","1928595")</f>
        <v>1928595</v>
      </c>
      <c r="D4258">
        <v>1</v>
      </c>
      <c r="E4258" t="s">
        <v>876</v>
      </c>
      <c r="F4258" t="s">
        <v>9</v>
      </c>
    </row>
    <row r="4259" spans="1:6" x14ac:dyDescent="0.3">
      <c r="A4259" t="s">
        <v>870</v>
      </c>
      <c r="B4259" t="s">
        <v>871</v>
      </c>
      <c r="C4259" t="str">
        <f>HYPERLINK("http://service.sap.com/sap/support/notes/1915934","1915934")</f>
        <v>1915934</v>
      </c>
      <c r="D4259">
        <v>1</v>
      </c>
      <c r="E4259" t="s">
        <v>1352</v>
      </c>
      <c r="F4259" t="s">
        <v>9</v>
      </c>
    </row>
    <row r="4260" spans="1:6" x14ac:dyDescent="0.3">
      <c r="A4260" t="s">
        <v>870</v>
      </c>
      <c r="B4260" t="s">
        <v>871</v>
      </c>
      <c r="C4260" t="str">
        <f>HYPERLINK("http://service.sap.com/sap/support/notes/1921192","1921192")</f>
        <v>1921192</v>
      </c>
      <c r="D4260">
        <v>2</v>
      </c>
      <c r="E4260" t="s">
        <v>1353</v>
      </c>
      <c r="F4260" t="s">
        <v>9</v>
      </c>
    </row>
    <row r="4261" spans="1:6" x14ac:dyDescent="0.3">
      <c r="A4261" t="s">
        <v>870</v>
      </c>
      <c r="B4261" t="s">
        <v>871</v>
      </c>
      <c r="C4261" t="str">
        <f>HYPERLINK("http://service.sap.com/sap/support/notes/808408","808408")</f>
        <v>808408</v>
      </c>
      <c r="D4261">
        <v>1</v>
      </c>
      <c r="E4261" t="s">
        <v>1934</v>
      </c>
      <c r="F4261" t="s">
        <v>9</v>
      </c>
    </row>
    <row r="4262" spans="1:6" x14ac:dyDescent="0.3">
      <c r="A4262" t="s">
        <v>870</v>
      </c>
      <c r="B4262" t="s">
        <v>871</v>
      </c>
      <c r="C4262" t="str">
        <f>HYPERLINK("http://service.sap.com/sap/support/notes/1882705","1882705")</f>
        <v>1882705</v>
      </c>
      <c r="D4262">
        <v>2</v>
      </c>
      <c r="E4262" t="s">
        <v>1935</v>
      </c>
      <c r="F4262" t="s">
        <v>9</v>
      </c>
    </row>
    <row r="4263" spans="1:6" x14ac:dyDescent="0.3">
      <c r="A4263" t="s">
        <v>870</v>
      </c>
      <c r="B4263" t="s">
        <v>871</v>
      </c>
      <c r="C4263" t="str">
        <f>HYPERLINK("http://service.sap.com/sap/support/notes/1907859","1907859")</f>
        <v>1907859</v>
      </c>
      <c r="D4263">
        <v>1</v>
      </c>
      <c r="E4263" t="s">
        <v>1936</v>
      </c>
      <c r="F4263" t="s">
        <v>9</v>
      </c>
    </row>
    <row r="4264" spans="1:6" x14ac:dyDescent="0.3">
      <c r="A4264" t="s">
        <v>870</v>
      </c>
      <c r="B4264" t="s">
        <v>871</v>
      </c>
      <c r="C4264" t="str">
        <f>HYPERLINK("http://service.sap.com/sap/support/notes/1936246","1936246")</f>
        <v>1936246</v>
      </c>
      <c r="D4264">
        <v>1</v>
      </c>
      <c r="E4264" t="s">
        <v>1937</v>
      </c>
      <c r="F4264" t="s">
        <v>9</v>
      </c>
    </row>
    <row r="4265" spans="1:6" x14ac:dyDescent="0.3">
      <c r="A4265" t="s">
        <v>870</v>
      </c>
      <c r="B4265" t="s">
        <v>871</v>
      </c>
      <c r="C4265" t="str">
        <f>HYPERLINK("http://service.sap.com/sap/support/notes/1952470","1952470")</f>
        <v>1952470</v>
      </c>
      <c r="D4265">
        <v>1</v>
      </c>
      <c r="E4265" t="s">
        <v>1938</v>
      </c>
      <c r="F4265" t="s">
        <v>9</v>
      </c>
    </row>
    <row r="4266" spans="1:6" x14ac:dyDescent="0.3">
      <c r="A4266" t="s">
        <v>870</v>
      </c>
      <c r="B4266" t="s">
        <v>871</v>
      </c>
      <c r="C4266" t="str">
        <f>HYPERLINK("http://service.sap.com/sap/support/notes/1953727","1953727")</f>
        <v>1953727</v>
      </c>
      <c r="D4266">
        <v>1</v>
      </c>
      <c r="E4266" t="s">
        <v>1939</v>
      </c>
      <c r="F4266" t="s">
        <v>9</v>
      </c>
    </row>
    <row r="4267" spans="1:6" x14ac:dyDescent="0.3">
      <c r="A4267" t="s">
        <v>870</v>
      </c>
      <c r="B4267" t="s">
        <v>871</v>
      </c>
      <c r="C4267" t="str">
        <f>HYPERLINK("http://service.sap.com/sap/support/notes/1958695","1958695")</f>
        <v>1958695</v>
      </c>
      <c r="D4267">
        <v>4</v>
      </c>
      <c r="E4267" t="s">
        <v>1940</v>
      </c>
      <c r="F4267" t="s">
        <v>9</v>
      </c>
    </row>
    <row r="4268" spans="1:6" x14ac:dyDescent="0.3">
      <c r="A4268" t="s">
        <v>870</v>
      </c>
      <c r="B4268" t="s">
        <v>871</v>
      </c>
      <c r="C4268" t="str">
        <f>HYPERLINK("http://service.sap.com/sap/support/notes/1857353","1857353")</f>
        <v>1857353</v>
      </c>
      <c r="D4268">
        <v>3</v>
      </c>
      <c r="E4268" t="s">
        <v>2298</v>
      </c>
      <c r="F4268" t="s">
        <v>9</v>
      </c>
    </row>
    <row r="4269" spans="1:6" x14ac:dyDescent="0.3">
      <c r="A4269" t="s">
        <v>870</v>
      </c>
      <c r="B4269" t="s">
        <v>871</v>
      </c>
      <c r="C4269" t="str">
        <f>HYPERLINK("http://service.sap.com/sap/support/notes/1930629","1930629")</f>
        <v>1930629</v>
      </c>
      <c r="D4269">
        <v>4</v>
      </c>
      <c r="E4269" t="s">
        <v>2299</v>
      </c>
      <c r="F4269" t="s">
        <v>9</v>
      </c>
    </row>
    <row r="4270" spans="1:6" x14ac:dyDescent="0.3">
      <c r="A4270" t="s">
        <v>870</v>
      </c>
      <c r="B4270" t="s">
        <v>871</v>
      </c>
      <c r="C4270" t="str">
        <f>HYPERLINK("http://service.sap.com/sap/support/notes/1931346","1931346")</f>
        <v>1931346</v>
      </c>
      <c r="D4270">
        <v>2</v>
      </c>
      <c r="E4270" t="s">
        <v>2300</v>
      </c>
      <c r="F4270" t="s">
        <v>9</v>
      </c>
    </row>
    <row r="4271" spans="1:6" x14ac:dyDescent="0.3">
      <c r="A4271" t="s">
        <v>870</v>
      </c>
      <c r="B4271" t="s">
        <v>871</v>
      </c>
      <c r="C4271" t="str">
        <f>HYPERLINK("http://service.sap.com/sap/support/notes/1950433","1950433")</f>
        <v>1950433</v>
      </c>
      <c r="D4271">
        <v>1</v>
      </c>
      <c r="E4271" t="s">
        <v>2301</v>
      </c>
      <c r="F4271" t="s">
        <v>9</v>
      </c>
    </row>
    <row r="4272" spans="1:6" x14ac:dyDescent="0.3">
      <c r="A4272" t="s">
        <v>870</v>
      </c>
      <c r="B4272" t="s">
        <v>871</v>
      </c>
      <c r="C4272" t="str">
        <f>HYPERLINK("http://service.sap.com/sap/support/notes/1959933","1959933")</f>
        <v>1959933</v>
      </c>
      <c r="D4272">
        <v>2</v>
      </c>
      <c r="E4272" t="s">
        <v>2302</v>
      </c>
      <c r="F4272" t="s">
        <v>9</v>
      </c>
    </row>
    <row r="4273" spans="1:6" x14ac:dyDescent="0.3">
      <c r="A4273" t="s">
        <v>870</v>
      </c>
      <c r="B4273" t="s">
        <v>871</v>
      </c>
      <c r="C4273" t="str">
        <f>HYPERLINK("http://service.sap.com/sap/support/notes/1963640","1963640")</f>
        <v>1963640</v>
      </c>
      <c r="D4273">
        <v>1</v>
      </c>
      <c r="E4273" t="s">
        <v>2303</v>
      </c>
      <c r="F4273" t="s">
        <v>9</v>
      </c>
    </row>
    <row r="4274" spans="1:6" x14ac:dyDescent="0.3">
      <c r="A4274" t="s">
        <v>870</v>
      </c>
      <c r="B4274" t="s">
        <v>871</v>
      </c>
      <c r="C4274" t="str">
        <f>HYPERLINK("http://service.sap.com/sap/support/notes/1967087","1967087")</f>
        <v>1967087</v>
      </c>
      <c r="D4274">
        <v>1</v>
      </c>
      <c r="E4274" t="s">
        <v>2304</v>
      </c>
      <c r="F4274" t="s">
        <v>9</v>
      </c>
    </row>
    <row r="4275" spans="1:6" x14ac:dyDescent="0.3">
      <c r="A4275" t="s">
        <v>870</v>
      </c>
      <c r="B4275" t="s">
        <v>871</v>
      </c>
      <c r="C4275" t="str">
        <f>HYPERLINK("http://service.sap.com/sap/support/notes/1937583","1937583")</f>
        <v>1937583</v>
      </c>
      <c r="D4275">
        <v>5</v>
      </c>
      <c r="E4275" t="s">
        <v>2707</v>
      </c>
      <c r="F4275" t="s">
        <v>9</v>
      </c>
    </row>
    <row r="4276" spans="1:6" x14ac:dyDescent="0.3">
      <c r="A4276" t="s">
        <v>870</v>
      </c>
      <c r="B4276" t="s">
        <v>871</v>
      </c>
      <c r="C4276" t="str">
        <f>HYPERLINK("http://service.sap.com/sap/support/notes/1971487","1971487")</f>
        <v>1971487</v>
      </c>
      <c r="D4276">
        <v>1</v>
      </c>
      <c r="E4276" t="s">
        <v>2708</v>
      </c>
      <c r="F4276" t="s">
        <v>9</v>
      </c>
    </row>
    <row r="4277" spans="1:6" x14ac:dyDescent="0.3">
      <c r="A4277" t="s">
        <v>870</v>
      </c>
      <c r="B4277" t="s">
        <v>871</v>
      </c>
      <c r="C4277" t="str">
        <f>HYPERLINK("http://service.sap.com/sap/support/notes/1977854","1977854")</f>
        <v>1977854</v>
      </c>
      <c r="D4277">
        <v>2</v>
      </c>
      <c r="E4277" t="s">
        <v>2709</v>
      </c>
      <c r="F4277" t="s">
        <v>9</v>
      </c>
    </row>
    <row r="4278" spans="1:6" x14ac:dyDescent="0.3">
      <c r="A4278" t="s">
        <v>870</v>
      </c>
      <c r="B4278" t="s">
        <v>871</v>
      </c>
      <c r="C4278" t="str">
        <f>HYPERLINK("http://service.sap.com/sap/support/notes/1979622","1979622")</f>
        <v>1979622</v>
      </c>
      <c r="D4278">
        <v>2</v>
      </c>
      <c r="E4278" t="s">
        <v>2710</v>
      </c>
      <c r="F4278" t="s">
        <v>9</v>
      </c>
    </row>
    <row r="4279" spans="1:6" x14ac:dyDescent="0.3">
      <c r="A4279" t="s">
        <v>870</v>
      </c>
      <c r="B4279" t="s">
        <v>871</v>
      </c>
      <c r="C4279" t="str">
        <f>HYPERLINK("http://service.sap.com/sap/support/notes/1979830","1979830")</f>
        <v>1979830</v>
      </c>
      <c r="D4279">
        <v>1</v>
      </c>
      <c r="E4279" t="s">
        <v>2711</v>
      </c>
      <c r="F4279" t="s">
        <v>9</v>
      </c>
    </row>
    <row r="4280" spans="1:6" x14ac:dyDescent="0.3">
      <c r="A4280" t="s">
        <v>870</v>
      </c>
      <c r="B4280" t="s">
        <v>871</v>
      </c>
      <c r="C4280" t="str">
        <f>HYPERLINK("http://service.sap.com/sap/support/notes/1980870","1980870")</f>
        <v>1980870</v>
      </c>
      <c r="D4280">
        <v>2</v>
      </c>
      <c r="E4280" t="s">
        <v>2712</v>
      </c>
      <c r="F4280" t="s">
        <v>9</v>
      </c>
    </row>
    <row r="4281" spans="1:6" x14ac:dyDescent="0.3">
      <c r="A4281" t="s">
        <v>870</v>
      </c>
      <c r="B4281" t="s">
        <v>871</v>
      </c>
      <c r="C4281" t="str">
        <f>HYPERLINK("http://service.sap.com/sap/support/notes/808408","808408")</f>
        <v>808408</v>
      </c>
      <c r="D4281">
        <v>1</v>
      </c>
      <c r="E4281" t="s">
        <v>1934</v>
      </c>
      <c r="F4281" t="s">
        <v>9</v>
      </c>
    </row>
    <row r="4282" spans="1:6" x14ac:dyDescent="0.3">
      <c r="A4282" t="s">
        <v>870</v>
      </c>
      <c r="B4282" t="s">
        <v>871</v>
      </c>
      <c r="C4282" t="str">
        <f>HYPERLINK("http://service.sap.com/sap/support/notes/1986903","1986903")</f>
        <v>1986903</v>
      </c>
      <c r="D4282">
        <v>3</v>
      </c>
      <c r="E4282" t="s">
        <v>3182</v>
      </c>
      <c r="F4282" t="s">
        <v>9</v>
      </c>
    </row>
    <row r="4283" spans="1:6" x14ac:dyDescent="0.3">
      <c r="A4283" t="s">
        <v>870</v>
      </c>
      <c r="B4283" t="s">
        <v>871</v>
      </c>
      <c r="C4283" t="str">
        <f>HYPERLINK("http://service.sap.com/sap/support/notes/1932785","1932785")</f>
        <v>1932785</v>
      </c>
      <c r="D4283">
        <v>2</v>
      </c>
      <c r="E4283" t="s">
        <v>3835</v>
      </c>
      <c r="F4283" t="s">
        <v>9</v>
      </c>
    </row>
    <row r="4284" spans="1:6" x14ac:dyDescent="0.3">
      <c r="A4284" t="s">
        <v>870</v>
      </c>
      <c r="B4284" t="s">
        <v>871</v>
      </c>
      <c r="C4284" t="str">
        <f>HYPERLINK("http://service.sap.com/sap/support/notes/1936280","1936280")</f>
        <v>1936280</v>
      </c>
      <c r="D4284">
        <v>1</v>
      </c>
      <c r="E4284" t="s">
        <v>3836</v>
      </c>
      <c r="F4284" t="s">
        <v>9</v>
      </c>
    </row>
    <row r="4285" spans="1:6" x14ac:dyDescent="0.3">
      <c r="A4285" t="s">
        <v>870</v>
      </c>
      <c r="B4285" t="s">
        <v>871</v>
      </c>
      <c r="C4285" t="str">
        <f>HYPERLINK("http://service.sap.com/sap/support/notes/1942479","1942479")</f>
        <v>1942479</v>
      </c>
      <c r="D4285">
        <v>2</v>
      </c>
      <c r="E4285" t="s">
        <v>3837</v>
      </c>
      <c r="F4285" t="s">
        <v>9</v>
      </c>
    </row>
    <row r="4286" spans="1:6" x14ac:dyDescent="0.3">
      <c r="A4286" t="s">
        <v>870</v>
      </c>
      <c r="B4286" t="s">
        <v>871</v>
      </c>
      <c r="C4286" t="str">
        <f>HYPERLINK("http://service.sap.com/sap/support/notes/1961161","1961161")</f>
        <v>1961161</v>
      </c>
      <c r="D4286">
        <v>4</v>
      </c>
      <c r="E4286" t="s">
        <v>3838</v>
      </c>
      <c r="F4286" t="s">
        <v>9</v>
      </c>
    </row>
    <row r="4287" spans="1:6" x14ac:dyDescent="0.3">
      <c r="A4287" t="s">
        <v>870</v>
      </c>
      <c r="B4287" t="s">
        <v>871</v>
      </c>
      <c r="C4287" t="str">
        <f>HYPERLINK("http://service.sap.com/sap/support/notes/1982748","1982748")</f>
        <v>1982748</v>
      </c>
      <c r="D4287">
        <v>6</v>
      </c>
      <c r="E4287" t="s">
        <v>3839</v>
      </c>
      <c r="F4287" t="s">
        <v>9</v>
      </c>
    </row>
    <row r="4288" spans="1:6" x14ac:dyDescent="0.3">
      <c r="A4288" t="s">
        <v>870</v>
      </c>
      <c r="B4288" t="s">
        <v>871</v>
      </c>
      <c r="C4288" t="str">
        <f>HYPERLINK("http://service.sap.com/sap/support/notes/1991818","1991818")</f>
        <v>1991818</v>
      </c>
      <c r="D4288">
        <v>3</v>
      </c>
      <c r="E4288" t="s">
        <v>3840</v>
      </c>
      <c r="F4288" t="s">
        <v>9</v>
      </c>
    </row>
    <row r="4289" spans="1:6" x14ac:dyDescent="0.3">
      <c r="A4289" t="s">
        <v>870</v>
      </c>
      <c r="B4289" t="s">
        <v>871</v>
      </c>
      <c r="C4289" t="str">
        <f>HYPERLINK("http://service.sap.com/sap/support/notes/1996848","1996848")</f>
        <v>1996848</v>
      </c>
      <c r="D4289">
        <v>2</v>
      </c>
      <c r="E4289" t="s">
        <v>3841</v>
      </c>
      <c r="F4289" t="s">
        <v>9</v>
      </c>
    </row>
    <row r="4290" spans="1:6" x14ac:dyDescent="0.3">
      <c r="A4290" t="s">
        <v>870</v>
      </c>
      <c r="B4290" t="s">
        <v>871</v>
      </c>
      <c r="C4290" t="str">
        <f>HYPERLINK("http://service.sap.com/sap/support/notes/1911553","1911553")</f>
        <v>1911553</v>
      </c>
      <c r="D4290">
        <v>3</v>
      </c>
      <c r="E4290" t="s">
        <v>4309</v>
      </c>
      <c r="F4290" t="s">
        <v>9</v>
      </c>
    </row>
    <row r="4291" spans="1:6" x14ac:dyDescent="0.3">
      <c r="A4291" t="s">
        <v>870</v>
      </c>
      <c r="B4291" t="s">
        <v>871</v>
      </c>
      <c r="C4291" t="str">
        <f>HYPERLINK("http://service.sap.com/sap/support/notes/1941731","1941731")</f>
        <v>1941731</v>
      </c>
      <c r="D4291">
        <v>2</v>
      </c>
      <c r="E4291" t="s">
        <v>4310</v>
      </c>
      <c r="F4291" t="s">
        <v>9</v>
      </c>
    </row>
    <row r="4292" spans="1:6" x14ac:dyDescent="0.3">
      <c r="A4292" t="s">
        <v>870</v>
      </c>
      <c r="B4292" t="s">
        <v>871</v>
      </c>
      <c r="C4292" t="str">
        <f>HYPERLINK("http://service.sap.com/sap/support/notes/1992427","1992427")</f>
        <v>1992427</v>
      </c>
      <c r="D4292">
        <v>4</v>
      </c>
      <c r="E4292" t="s">
        <v>4311</v>
      </c>
      <c r="F4292" t="s">
        <v>9</v>
      </c>
    </row>
    <row r="4293" spans="1:6" x14ac:dyDescent="0.3">
      <c r="A4293" t="s">
        <v>870</v>
      </c>
      <c r="B4293" t="s">
        <v>871</v>
      </c>
      <c r="C4293" t="str">
        <f>HYPERLINK("http://service.sap.com/sap/support/notes/2012741","2012741")</f>
        <v>2012741</v>
      </c>
      <c r="D4293">
        <v>1</v>
      </c>
      <c r="E4293" t="s">
        <v>4312</v>
      </c>
      <c r="F4293" t="s">
        <v>9</v>
      </c>
    </row>
    <row r="4294" spans="1:6" x14ac:dyDescent="0.3">
      <c r="A4294" t="s">
        <v>870</v>
      </c>
      <c r="B4294" t="s">
        <v>871</v>
      </c>
      <c r="C4294" t="str">
        <f>HYPERLINK("http://service.sap.com/sap/support/notes/2015341","2015341")</f>
        <v>2015341</v>
      </c>
      <c r="D4294">
        <v>1</v>
      </c>
      <c r="E4294" t="s">
        <v>4313</v>
      </c>
      <c r="F4294" t="s">
        <v>9</v>
      </c>
    </row>
    <row r="4295" spans="1:6" x14ac:dyDescent="0.3">
      <c r="A4295" t="s">
        <v>870</v>
      </c>
      <c r="B4295" t="s">
        <v>871</v>
      </c>
      <c r="C4295" t="str">
        <f>HYPERLINK("http://service.sap.com/sap/support/notes/2016326","2016326")</f>
        <v>2016326</v>
      </c>
      <c r="D4295">
        <v>2</v>
      </c>
      <c r="E4295" t="s">
        <v>876</v>
      </c>
      <c r="F4295" t="s">
        <v>9</v>
      </c>
    </row>
    <row r="4296" spans="1:6" x14ac:dyDescent="0.3">
      <c r="A4296" t="s">
        <v>870</v>
      </c>
      <c r="B4296" t="s">
        <v>871</v>
      </c>
      <c r="C4296" t="str">
        <f>HYPERLINK("http://service.sap.com/sap/support/notes/2017547","2017547")</f>
        <v>2017547</v>
      </c>
      <c r="D4296">
        <v>2</v>
      </c>
      <c r="E4296" t="s">
        <v>4314</v>
      </c>
      <c r="F4296" t="s">
        <v>9</v>
      </c>
    </row>
    <row r="4297" spans="1:6" x14ac:dyDescent="0.3">
      <c r="A4297" t="s">
        <v>870</v>
      </c>
      <c r="B4297" t="s">
        <v>871</v>
      </c>
      <c r="C4297" t="str">
        <f>HYPERLINK("http://service.sap.com/sap/support/notes/2017589","2017589")</f>
        <v>2017589</v>
      </c>
      <c r="D4297">
        <v>2</v>
      </c>
      <c r="E4297" t="s">
        <v>4315</v>
      </c>
      <c r="F4297" t="s">
        <v>9</v>
      </c>
    </row>
    <row r="4298" spans="1:6" x14ac:dyDescent="0.3">
      <c r="A4298" t="s">
        <v>870</v>
      </c>
      <c r="B4298" t="s">
        <v>871</v>
      </c>
      <c r="C4298" t="str">
        <f>HYPERLINK("http://service.sap.com/sap/support/notes/2019435","2019435")</f>
        <v>2019435</v>
      </c>
      <c r="D4298">
        <v>1</v>
      </c>
      <c r="E4298" t="s">
        <v>4316</v>
      </c>
      <c r="F4298" t="s">
        <v>9</v>
      </c>
    </row>
    <row r="4299" spans="1:6" x14ac:dyDescent="0.3">
      <c r="A4299" t="s">
        <v>870</v>
      </c>
      <c r="B4299" t="s">
        <v>871</v>
      </c>
      <c r="C4299" t="str">
        <f>HYPERLINK("http://service.sap.com/sap/support/notes/2028433","2028433")</f>
        <v>2028433</v>
      </c>
      <c r="D4299">
        <v>1</v>
      </c>
      <c r="E4299" t="s">
        <v>4629</v>
      </c>
      <c r="F4299" t="s">
        <v>9</v>
      </c>
    </row>
    <row r="4300" spans="1:6" x14ac:dyDescent="0.3">
      <c r="A4300" t="s">
        <v>870</v>
      </c>
      <c r="B4300" t="s">
        <v>871</v>
      </c>
      <c r="C4300" t="str">
        <f>HYPERLINK("http://service.sap.com/sap/support/notes/2003648","2003648")</f>
        <v>2003648</v>
      </c>
      <c r="D4300">
        <v>1</v>
      </c>
      <c r="E4300" t="s">
        <v>4990</v>
      </c>
      <c r="F4300" t="s">
        <v>9</v>
      </c>
    </row>
    <row r="4301" spans="1:6" x14ac:dyDescent="0.3">
      <c r="A4301" t="s">
        <v>870</v>
      </c>
      <c r="B4301" t="s">
        <v>871</v>
      </c>
      <c r="C4301" t="str">
        <f>HYPERLINK("http://service.sap.com/sap/support/notes/2029164","2029164")</f>
        <v>2029164</v>
      </c>
      <c r="D4301">
        <v>2</v>
      </c>
      <c r="E4301" t="s">
        <v>4991</v>
      </c>
      <c r="F4301" t="s">
        <v>9</v>
      </c>
    </row>
    <row r="4302" spans="1:6" x14ac:dyDescent="0.3">
      <c r="A4302" t="s">
        <v>870</v>
      </c>
      <c r="B4302" t="s">
        <v>871</v>
      </c>
      <c r="C4302" t="str">
        <f>HYPERLINK("http://service.sap.com/sap/support/notes/2029499","2029499")</f>
        <v>2029499</v>
      </c>
      <c r="D4302">
        <v>1</v>
      </c>
      <c r="E4302" t="s">
        <v>4992</v>
      </c>
      <c r="F4302" t="s">
        <v>9</v>
      </c>
    </row>
    <row r="4303" spans="1:6" x14ac:dyDescent="0.3">
      <c r="A4303" t="s">
        <v>870</v>
      </c>
      <c r="B4303" t="s">
        <v>871</v>
      </c>
      <c r="C4303" t="str">
        <f>HYPERLINK("http://service.sap.com/sap/support/notes/2030231","2030231")</f>
        <v>2030231</v>
      </c>
      <c r="D4303">
        <v>3</v>
      </c>
      <c r="E4303" t="s">
        <v>4993</v>
      </c>
      <c r="F4303" t="s">
        <v>9</v>
      </c>
    </row>
    <row r="4304" spans="1:6" x14ac:dyDescent="0.3">
      <c r="A4304" t="s">
        <v>870</v>
      </c>
      <c r="B4304" t="s">
        <v>871</v>
      </c>
      <c r="C4304" t="str">
        <f>HYPERLINK("http://service.sap.com/sap/support/notes/1983530","1983530")</f>
        <v>1983530</v>
      </c>
      <c r="D4304">
        <v>6</v>
      </c>
      <c r="E4304" t="s">
        <v>5315</v>
      </c>
      <c r="F4304" t="s">
        <v>9</v>
      </c>
    </row>
    <row r="4305" spans="1:6" x14ac:dyDescent="0.3">
      <c r="A4305" t="s">
        <v>870</v>
      </c>
      <c r="B4305" t="s">
        <v>871</v>
      </c>
      <c r="C4305" t="str">
        <f>HYPERLINK("http://service.sap.com/sap/support/notes/2026829","2026829")</f>
        <v>2026829</v>
      </c>
      <c r="D4305">
        <v>2</v>
      </c>
      <c r="E4305" t="s">
        <v>5316</v>
      </c>
      <c r="F4305" t="s">
        <v>9</v>
      </c>
    </row>
    <row r="4306" spans="1:6" x14ac:dyDescent="0.3">
      <c r="A4306" t="s">
        <v>870</v>
      </c>
      <c r="B4306" t="s">
        <v>871</v>
      </c>
      <c r="C4306" t="str">
        <f>HYPERLINK("http://service.sap.com/sap/support/notes/2039568","2039568")</f>
        <v>2039568</v>
      </c>
      <c r="D4306">
        <v>1</v>
      </c>
      <c r="E4306" t="s">
        <v>5317</v>
      </c>
      <c r="F4306" t="s">
        <v>9</v>
      </c>
    </row>
    <row r="4307" spans="1:6" x14ac:dyDescent="0.3">
      <c r="A4307" t="s">
        <v>870</v>
      </c>
      <c r="B4307" t="s">
        <v>871</v>
      </c>
      <c r="C4307" t="str">
        <f>HYPERLINK("http://service.sap.com/sap/support/notes/2045490","2045490")</f>
        <v>2045490</v>
      </c>
      <c r="D4307">
        <v>3</v>
      </c>
      <c r="E4307" t="s">
        <v>5651</v>
      </c>
      <c r="F4307" t="s">
        <v>9</v>
      </c>
    </row>
    <row r="4308" spans="1:6" x14ac:dyDescent="0.3">
      <c r="A4308" t="s">
        <v>877</v>
      </c>
      <c r="B4308" t="s">
        <v>878</v>
      </c>
      <c r="C4308" t="str">
        <f>HYPERLINK("http://service.sap.com/sap/support/notes/1889905","1889905")</f>
        <v>1889905</v>
      </c>
      <c r="D4308">
        <v>1</v>
      </c>
      <c r="E4308" t="s">
        <v>879</v>
      </c>
      <c r="F4308" t="s">
        <v>9</v>
      </c>
    </row>
    <row r="4309" spans="1:6" x14ac:dyDescent="0.3">
      <c r="A4309" t="s">
        <v>877</v>
      </c>
      <c r="B4309" t="s">
        <v>878</v>
      </c>
      <c r="C4309" t="str">
        <f>HYPERLINK("http://service.sap.com/sap/support/notes/1901157","1901157")</f>
        <v>1901157</v>
      </c>
      <c r="D4309">
        <v>2</v>
      </c>
      <c r="E4309" t="s">
        <v>880</v>
      </c>
      <c r="F4309" t="s">
        <v>9</v>
      </c>
    </row>
    <row r="4310" spans="1:6" x14ac:dyDescent="0.3">
      <c r="A4310" t="s">
        <v>877</v>
      </c>
      <c r="B4310" t="s">
        <v>878</v>
      </c>
      <c r="C4310" t="str">
        <f>HYPERLINK("http://service.sap.com/sap/support/notes/1912735","1912735")</f>
        <v>1912735</v>
      </c>
      <c r="D4310">
        <v>1</v>
      </c>
      <c r="E4310" t="s">
        <v>881</v>
      </c>
      <c r="F4310" t="s">
        <v>9</v>
      </c>
    </row>
    <row r="4311" spans="1:6" x14ac:dyDescent="0.3">
      <c r="A4311" t="s">
        <v>877</v>
      </c>
      <c r="B4311" t="s">
        <v>878</v>
      </c>
      <c r="C4311" t="str">
        <f>HYPERLINK("http://service.sap.com/sap/support/notes/1917023","1917023")</f>
        <v>1917023</v>
      </c>
      <c r="D4311">
        <v>1</v>
      </c>
      <c r="E4311" t="s">
        <v>882</v>
      </c>
      <c r="F4311" t="s">
        <v>9</v>
      </c>
    </row>
    <row r="4312" spans="1:6" x14ac:dyDescent="0.3">
      <c r="A4312" t="s">
        <v>877</v>
      </c>
      <c r="B4312" t="s">
        <v>878</v>
      </c>
      <c r="C4312" t="str">
        <f>HYPERLINK("http://service.sap.com/sap/support/notes/1930092","1930092")</f>
        <v>1930092</v>
      </c>
      <c r="D4312">
        <v>3</v>
      </c>
      <c r="E4312" t="s">
        <v>883</v>
      </c>
      <c r="F4312" t="s">
        <v>9</v>
      </c>
    </row>
    <row r="4313" spans="1:6" x14ac:dyDescent="0.3">
      <c r="A4313" t="s">
        <v>877</v>
      </c>
      <c r="B4313" t="s">
        <v>878</v>
      </c>
      <c r="C4313" t="str">
        <f>HYPERLINK("http://service.sap.com/sap/support/notes/1931342","1931342")</f>
        <v>1931342</v>
      </c>
      <c r="D4313">
        <v>1</v>
      </c>
      <c r="E4313" t="s">
        <v>884</v>
      </c>
      <c r="F4313" t="s">
        <v>9</v>
      </c>
    </row>
    <row r="4314" spans="1:6" x14ac:dyDescent="0.3">
      <c r="A4314" t="s">
        <v>877</v>
      </c>
      <c r="B4314" t="s">
        <v>878</v>
      </c>
      <c r="C4314" t="str">
        <f>HYPERLINK("http://service.sap.com/sap/support/notes/1935106","1935106")</f>
        <v>1935106</v>
      </c>
      <c r="D4314">
        <v>2</v>
      </c>
      <c r="E4314" t="s">
        <v>1354</v>
      </c>
      <c r="F4314" t="s">
        <v>28</v>
      </c>
    </row>
    <row r="4315" spans="1:6" x14ac:dyDescent="0.3">
      <c r="A4315" t="s">
        <v>877</v>
      </c>
      <c r="B4315" t="s">
        <v>878</v>
      </c>
      <c r="C4315" t="str">
        <f>HYPERLINK("http://service.sap.com/sap/support/notes/1939558","1939558")</f>
        <v>1939558</v>
      </c>
      <c r="D4315">
        <v>1</v>
      </c>
      <c r="E4315" t="s">
        <v>1355</v>
      </c>
      <c r="F4315" t="s">
        <v>9</v>
      </c>
    </row>
    <row r="4316" spans="1:6" x14ac:dyDescent="0.3">
      <c r="A4316" t="s">
        <v>877</v>
      </c>
      <c r="B4316" t="s">
        <v>878</v>
      </c>
      <c r="C4316" t="str">
        <f>HYPERLINK("http://service.sap.com/sap/support/notes/1930092","1930092")</f>
        <v>1930092</v>
      </c>
      <c r="D4316">
        <v>3</v>
      </c>
      <c r="E4316" t="s">
        <v>883</v>
      </c>
      <c r="F4316" t="s">
        <v>9</v>
      </c>
    </row>
    <row r="4317" spans="1:6" x14ac:dyDescent="0.3">
      <c r="A4317" t="s">
        <v>877</v>
      </c>
      <c r="B4317" t="s">
        <v>878</v>
      </c>
      <c r="C4317" t="str">
        <f>HYPERLINK("http://service.sap.com/sap/support/notes/1930219","1930219")</f>
        <v>1930219</v>
      </c>
      <c r="D4317">
        <v>1</v>
      </c>
      <c r="E4317" t="s">
        <v>1444</v>
      </c>
      <c r="F4317" t="s">
        <v>9</v>
      </c>
    </row>
    <row r="4318" spans="1:6" x14ac:dyDescent="0.3">
      <c r="A4318" t="s">
        <v>877</v>
      </c>
      <c r="B4318" t="s">
        <v>878</v>
      </c>
      <c r="C4318" t="str">
        <f>HYPERLINK("http://service.sap.com/sap/support/notes/1936875","1936875")</f>
        <v>1936875</v>
      </c>
      <c r="D4318">
        <v>1</v>
      </c>
      <c r="E4318" t="s">
        <v>1445</v>
      </c>
      <c r="F4318" t="s">
        <v>9</v>
      </c>
    </row>
    <row r="4319" spans="1:6" x14ac:dyDescent="0.3">
      <c r="A4319" t="s">
        <v>877</v>
      </c>
      <c r="B4319" t="s">
        <v>878</v>
      </c>
      <c r="C4319" t="str">
        <f>HYPERLINK("http://service.sap.com/sap/support/notes/1950449","1950449")</f>
        <v>1950449</v>
      </c>
      <c r="D4319">
        <v>2</v>
      </c>
      <c r="E4319" t="s">
        <v>1446</v>
      </c>
      <c r="F4319" t="s">
        <v>9</v>
      </c>
    </row>
    <row r="4320" spans="1:6" x14ac:dyDescent="0.3">
      <c r="A4320" t="s">
        <v>877</v>
      </c>
      <c r="B4320" t="s">
        <v>878</v>
      </c>
      <c r="C4320" t="str">
        <f>HYPERLINK("http://service.sap.com/sap/support/notes/1961141","1961141")</f>
        <v>1961141</v>
      </c>
      <c r="D4320">
        <v>1</v>
      </c>
      <c r="E4320" t="s">
        <v>1941</v>
      </c>
      <c r="F4320" t="s">
        <v>9</v>
      </c>
    </row>
    <row r="4321" spans="1:6" x14ac:dyDescent="0.3">
      <c r="A4321" t="s">
        <v>877</v>
      </c>
      <c r="B4321" t="s">
        <v>878</v>
      </c>
      <c r="C4321" t="str">
        <f>HYPERLINK("http://service.sap.com/sap/support/notes/1941014","1941014")</f>
        <v>1941014</v>
      </c>
      <c r="D4321">
        <v>14</v>
      </c>
      <c r="E4321" t="s">
        <v>2305</v>
      </c>
      <c r="F4321" t="s">
        <v>9</v>
      </c>
    </row>
    <row r="4322" spans="1:6" x14ac:dyDescent="0.3">
      <c r="A4322" t="s">
        <v>877</v>
      </c>
      <c r="B4322" t="s">
        <v>878</v>
      </c>
      <c r="C4322" t="str">
        <f>HYPERLINK("http://service.sap.com/sap/support/notes/1963673","1963673")</f>
        <v>1963673</v>
      </c>
      <c r="D4322">
        <v>1</v>
      </c>
      <c r="E4322" t="s">
        <v>2306</v>
      </c>
      <c r="F4322" t="s">
        <v>28</v>
      </c>
    </row>
    <row r="4323" spans="1:6" x14ac:dyDescent="0.3">
      <c r="A4323" t="s">
        <v>877</v>
      </c>
      <c r="B4323" t="s">
        <v>878</v>
      </c>
      <c r="C4323" t="str">
        <f>HYPERLINK("http://service.sap.com/sap/support/notes/1966821","1966821")</f>
        <v>1966821</v>
      </c>
      <c r="D4323">
        <v>1</v>
      </c>
      <c r="E4323" t="s">
        <v>2307</v>
      </c>
      <c r="F4323" t="s">
        <v>9</v>
      </c>
    </row>
    <row r="4324" spans="1:6" x14ac:dyDescent="0.3">
      <c r="A4324" t="s">
        <v>877</v>
      </c>
      <c r="B4324" t="s">
        <v>878</v>
      </c>
      <c r="C4324" t="str">
        <f>HYPERLINK("http://service.sap.com/sap/support/notes/1970235","1970235")</f>
        <v>1970235</v>
      </c>
      <c r="D4324">
        <v>2</v>
      </c>
      <c r="E4324" t="s">
        <v>2713</v>
      </c>
      <c r="F4324" t="s">
        <v>9</v>
      </c>
    </row>
    <row r="4325" spans="1:6" x14ac:dyDescent="0.3">
      <c r="A4325" t="s">
        <v>877</v>
      </c>
      <c r="B4325" t="s">
        <v>878</v>
      </c>
      <c r="C4325" t="str">
        <f>HYPERLINK("http://service.sap.com/sap/support/notes/1983306","1983306")</f>
        <v>1983306</v>
      </c>
      <c r="D4325">
        <v>5</v>
      </c>
      <c r="E4325" t="s">
        <v>3842</v>
      </c>
      <c r="F4325" t="s">
        <v>9</v>
      </c>
    </row>
    <row r="4326" spans="1:6" x14ac:dyDescent="0.3">
      <c r="A4326" t="s">
        <v>877</v>
      </c>
      <c r="B4326" t="s">
        <v>878</v>
      </c>
      <c r="C4326" t="str">
        <f>HYPERLINK("http://service.sap.com/sap/support/notes/2005022","2005022")</f>
        <v>2005022</v>
      </c>
      <c r="D4326">
        <v>2</v>
      </c>
      <c r="E4326" t="s">
        <v>3843</v>
      </c>
      <c r="F4326" t="s">
        <v>9</v>
      </c>
    </row>
    <row r="4327" spans="1:6" x14ac:dyDescent="0.3">
      <c r="A4327" t="s">
        <v>877</v>
      </c>
      <c r="B4327" t="s">
        <v>878</v>
      </c>
      <c r="C4327" t="str">
        <f>HYPERLINK("http://service.sap.com/sap/support/notes/2007583","2007583")</f>
        <v>2007583</v>
      </c>
      <c r="D4327">
        <v>2</v>
      </c>
      <c r="E4327" t="s">
        <v>4317</v>
      </c>
      <c r="F4327" t="s">
        <v>9</v>
      </c>
    </row>
    <row r="4328" spans="1:6" x14ac:dyDescent="0.3">
      <c r="A4328" t="s">
        <v>877</v>
      </c>
      <c r="B4328" t="s">
        <v>878</v>
      </c>
      <c r="C4328" t="str">
        <f>HYPERLINK("http://service.sap.com/sap/support/notes/2009036","2009036")</f>
        <v>2009036</v>
      </c>
      <c r="D4328">
        <v>1</v>
      </c>
      <c r="E4328" t="s">
        <v>4318</v>
      </c>
      <c r="F4328" t="s">
        <v>9</v>
      </c>
    </row>
    <row r="4329" spans="1:6" x14ac:dyDescent="0.3">
      <c r="A4329" t="s">
        <v>877</v>
      </c>
      <c r="B4329" t="s">
        <v>878</v>
      </c>
      <c r="C4329" t="str">
        <f>HYPERLINK("http://service.sap.com/sap/support/notes/2011018","2011018")</f>
        <v>2011018</v>
      </c>
      <c r="D4329">
        <v>2</v>
      </c>
      <c r="E4329" t="s">
        <v>4319</v>
      </c>
      <c r="F4329" t="s">
        <v>9</v>
      </c>
    </row>
    <row r="4330" spans="1:6" x14ac:dyDescent="0.3">
      <c r="A4330" t="s">
        <v>877</v>
      </c>
      <c r="B4330" t="s">
        <v>878</v>
      </c>
      <c r="C4330" t="str">
        <f>HYPERLINK("http://service.sap.com/sap/support/notes/2015644","2015644")</f>
        <v>2015644</v>
      </c>
      <c r="D4330">
        <v>1</v>
      </c>
      <c r="E4330" t="s">
        <v>4320</v>
      </c>
      <c r="F4330" t="s">
        <v>9</v>
      </c>
    </row>
    <row r="4331" spans="1:6" x14ac:dyDescent="0.3">
      <c r="A4331" t="s">
        <v>877</v>
      </c>
      <c r="B4331" t="s">
        <v>878</v>
      </c>
      <c r="C4331" t="str">
        <f>HYPERLINK("http://service.sap.com/sap/support/notes/2025545","2025545")</f>
        <v>2025545</v>
      </c>
      <c r="D4331">
        <v>1</v>
      </c>
      <c r="E4331" t="s">
        <v>4630</v>
      </c>
      <c r="F4331" t="s">
        <v>9</v>
      </c>
    </row>
    <row r="4332" spans="1:6" x14ac:dyDescent="0.3">
      <c r="A4332" t="s">
        <v>877</v>
      </c>
      <c r="B4332" t="s">
        <v>878</v>
      </c>
      <c r="C4332" t="str">
        <f>HYPERLINK("http://service.sap.com/sap/support/notes/2028095","2028095")</f>
        <v>2028095</v>
      </c>
      <c r="D4332">
        <v>3</v>
      </c>
      <c r="E4332" t="s">
        <v>4631</v>
      </c>
      <c r="F4332" t="s">
        <v>28</v>
      </c>
    </row>
    <row r="4333" spans="1:6" x14ac:dyDescent="0.3">
      <c r="A4333" t="s">
        <v>877</v>
      </c>
      <c r="B4333" t="s">
        <v>878</v>
      </c>
      <c r="C4333" t="str">
        <f>HYPERLINK("http://service.sap.com/sap/support/notes/2028971","2028971")</f>
        <v>2028971</v>
      </c>
      <c r="D4333">
        <v>1</v>
      </c>
      <c r="E4333" t="s">
        <v>4632</v>
      </c>
      <c r="F4333" t="s">
        <v>28</v>
      </c>
    </row>
    <row r="4334" spans="1:6" x14ac:dyDescent="0.3">
      <c r="A4334" t="s">
        <v>877</v>
      </c>
      <c r="B4334" t="s">
        <v>878</v>
      </c>
      <c r="C4334" t="str">
        <f>HYPERLINK("http://service.sap.com/sap/support/notes/2042237","2042237")</f>
        <v>2042237</v>
      </c>
      <c r="D4334">
        <v>1</v>
      </c>
      <c r="E4334" t="s">
        <v>4994</v>
      </c>
      <c r="F4334" t="s">
        <v>28</v>
      </c>
    </row>
    <row r="4335" spans="1:6" x14ac:dyDescent="0.3">
      <c r="A4335" t="s">
        <v>877</v>
      </c>
      <c r="B4335" t="s">
        <v>878</v>
      </c>
      <c r="C4335" t="str">
        <f>HYPERLINK("http://service.sap.com/sap/support/notes/2050860","2050860")</f>
        <v>2050860</v>
      </c>
      <c r="D4335">
        <v>2</v>
      </c>
      <c r="E4335" t="s">
        <v>5318</v>
      </c>
      <c r="F4335" t="s">
        <v>9</v>
      </c>
    </row>
    <row r="4336" spans="1:6" x14ac:dyDescent="0.3">
      <c r="A4336" t="s">
        <v>877</v>
      </c>
      <c r="B4336" t="s">
        <v>878</v>
      </c>
      <c r="C4336" t="str">
        <f>HYPERLINK("http://service.sap.com/sap/support/notes/2039353","2039353")</f>
        <v>2039353</v>
      </c>
      <c r="D4336">
        <v>4</v>
      </c>
      <c r="E4336" t="s">
        <v>5652</v>
      </c>
      <c r="F4336" t="s">
        <v>28</v>
      </c>
    </row>
    <row r="4337" spans="1:6" x14ac:dyDescent="0.3">
      <c r="A4337" t="s">
        <v>877</v>
      </c>
      <c r="B4337" t="s">
        <v>878</v>
      </c>
      <c r="C4337" t="str">
        <f>HYPERLINK("http://service.sap.com/sap/support/notes/2061325","2061325")</f>
        <v>2061325</v>
      </c>
      <c r="D4337">
        <v>2</v>
      </c>
      <c r="E4337" t="s">
        <v>5653</v>
      </c>
      <c r="F4337" t="s">
        <v>9</v>
      </c>
    </row>
    <row r="4338" spans="1:6" x14ac:dyDescent="0.3">
      <c r="A4338" t="s">
        <v>877</v>
      </c>
      <c r="B4338" t="s">
        <v>878</v>
      </c>
      <c r="C4338" t="str">
        <f>HYPERLINK("http://service.sap.com/sap/support/notes/2066732","2066732")</f>
        <v>2066732</v>
      </c>
      <c r="D4338">
        <v>2</v>
      </c>
      <c r="E4338" t="s">
        <v>5654</v>
      </c>
      <c r="F4338" t="s">
        <v>9</v>
      </c>
    </row>
    <row r="4339" spans="1:6" x14ac:dyDescent="0.3">
      <c r="A4339" t="s">
        <v>877</v>
      </c>
      <c r="B4339" t="s">
        <v>878</v>
      </c>
      <c r="C4339" t="str">
        <f>HYPERLINK("http://service.sap.com/sap/support/notes/2068955","2068955")</f>
        <v>2068955</v>
      </c>
      <c r="D4339">
        <v>1</v>
      </c>
      <c r="E4339" t="s">
        <v>5655</v>
      </c>
      <c r="F4339" t="s">
        <v>9</v>
      </c>
    </row>
    <row r="4340" spans="1:6" x14ac:dyDescent="0.3">
      <c r="A4340" t="s">
        <v>885</v>
      </c>
      <c r="B4340" t="s">
        <v>886</v>
      </c>
      <c r="C4340" t="str">
        <f>HYPERLINK("http://service.sap.com/sap/support/notes/1060820","1060820")</f>
        <v>1060820</v>
      </c>
      <c r="D4340">
        <v>1</v>
      </c>
      <c r="E4340" t="s">
        <v>887</v>
      </c>
      <c r="F4340" t="s">
        <v>16</v>
      </c>
    </row>
    <row r="4341" spans="1:6" x14ac:dyDescent="0.3">
      <c r="A4341" t="s">
        <v>885</v>
      </c>
      <c r="B4341" t="s">
        <v>886</v>
      </c>
      <c r="C4341" t="str">
        <f>HYPERLINK("http://service.sap.com/sap/support/notes/1860963","1860963")</f>
        <v>1860963</v>
      </c>
      <c r="D4341">
        <v>4</v>
      </c>
      <c r="E4341" t="s">
        <v>888</v>
      </c>
      <c r="F4341" t="s">
        <v>9</v>
      </c>
    </row>
    <row r="4342" spans="1:6" x14ac:dyDescent="0.3">
      <c r="A4342" t="s">
        <v>885</v>
      </c>
      <c r="B4342" t="s">
        <v>886</v>
      </c>
      <c r="C4342" t="str">
        <f>HYPERLINK("http://service.sap.com/sap/support/notes/1884532","1884532")</f>
        <v>1884532</v>
      </c>
      <c r="D4342">
        <v>1</v>
      </c>
      <c r="E4342" t="s">
        <v>889</v>
      </c>
      <c r="F4342" t="s">
        <v>28</v>
      </c>
    </row>
    <row r="4343" spans="1:6" x14ac:dyDescent="0.3">
      <c r="A4343" t="s">
        <v>885</v>
      </c>
      <c r="B4343" t="s">
        <v>886</v>
      </c>
      <c r="C4343" t="str">
        <f>HYPERLINK("http://service.sap.com/sap/support/notes/1900487","1900487")</f>
        <v>1900487</v>
      </c>
      <c r="D4343">
        <v>3</v>
      </c>
      <c r="E4343" t="s">
        <v>890</v>
      </c>
      <c r="F4343" t="s">
        <v>9</v>
      </c>
    </row>
    <row r="4344" spans="1:6" x14ac:dyDescent="0.3">
      <c r="A4344" t="s">
        <v>885</v>
      </c>
      <c r="B4344" t="s">
        <v>886</v>
      </c>
      <c r="C4344" t="str">
        <f>HYPERLINK("http://service.sap.com/sap/support/notes/1913635","1913635")</f>
        <v>1913635</v>
      </c>
      <c r="D4344">
        <v>5</v>
      </c>
      <c r="E4344" t="s">
        <v>891</v>
      </c>
      <c r="F4344" t="s">
        <v>9</v>
      </c>
    </row>
    <row r="4345" spans="1:6" x14ac:dyDescent="0.3">
      <c r="A4345" t="s">
        <v>885</v>
      </c>
      <c r="B4345" t="s">
        <v>886</v>
      </c>
      <c r="C4345" t="str">
        <f>HYPERLINK("http://service.sap.com/sap/support/notes/1921935","1921935")</f>
        <v>1921935</v>
      </c>
      <c r="D4345">
        <v>6</v>
      </c>
      <c r="E4345" t="s">
        <v>892</v>
      </c>
      <c r="F4345" t="s">
        <v>9</v>
      </c>
    </row>
    <row r="4346" spans="1:6" x14ac:dyDescent="0.3">
      <c r="A4346" t="s">
        <v>885</v>
      </c>
      <c r="B4346" t="s">
        <v>886</v>
      </c>
      <c r="C4346" t="str">
        <f>HYPERLINK("http://service.sap.com/sap/support/notes/1923943","1923943")</f>
        <v>1923943</v>
      </c>
      <c r="D4346">
        <v>4</v>
      </c>
      <c r="E4346" t="s">
        <v>893</v>
      </c>
      <c r="F4346" t="s">
        <v>28</v>
      </c>
    </row>
    <row r="4347" spans="1:6" x14ac:dyDescent="0.3">
      <c r="A4347" t="s">
        <v>885</v>
      </c>
      <c r="B4347" t="s">
        <v>886</v>
      </c>
      <c r="C4347" t="str">
        <f>HYPERLINK("http://service.sap.com/sap/support/notes/1847465","1847465")</f>
        <v>1847465</v>
      </c>
      <c r="D4347">
        <v>4</v>
      </c>
      <c r="E4347" t="s">
        <v>1356</v>
      </c>
      <c r="F4347" t="s">
        <v>9</v>
      </c>
    </row>
    <row r="4348" spans="1:6" x14ac:dyDescent="0.3">
      <c r="A4348" t="s">
        <v>885</v>
      </c>
      <c r="B4348" t="s">
        <v>886</v>
      </c>
      <c r="C4348" t="str">
        <f>HYPERLINK("http://service.sap.com/sap/support/notes/1939914","1939914")</f>
        <v>1939914</v>
      </c>
      <c r="D4348">
        <v>3</v>
      </c>
      <c r="E4348" t="s">
        <v>1357</v>
      </c>
      <c r="F4348" t="s">
        <v>16</v>
      </c>
    </row>
    <row r="4349" spans="1:6" x14ac:dyDescent="0.3">
      <c r="A4349" t="s">
        <v>885</v>
      </c>
      <c r="B4349" t="s">
        <v>886</v>
      </c>
      <c r="C4349" t="str">
        <f>HYPERLINK("http://service.sap.com/sap/support/notes/1903474","1903474")</f>
        <v>1903474</v>
      </c>
      <c r="D4349">
        <v>17</v>
      </c>
      <c r="E4349" t="s">
        <v>1447</v>
      </c>
      <c r="F4349" t="s">
        <v>9</v>
      </c>
    </row>
    <row r="4350" spans="1:6" x14ac:dyDescent="0.3">
      <c r="A4350" t="s">
        <v>885</v>
      </c>
      <c r="B4350" t="s">
        <v>886</v>
      </c>
      <c r="C4350" t="str">
        <f>HYPERLINK("http://service.sap.com/sap/support/notes/1933012","1933012")</f>
        <v>1933012</v>
      </c>
      <c r="D4350">
        <v>2</v>
      </c>
      <c r="E4350" t="s">
        <v>1942</v>
      </c>
      <c r="F4350" t="s">
        <v>16</v>
      </c>
    </row>
    <row r="4351" spans="1:6" x14ac:dyDescent="0.3">
      <c r="A4351" t="s">
        <v>885</v>
      </c>
      <c r="B4351" t="s">
        <v>886</v>
      </c>
      <c r="C4351" t="str">
        <f>HYPERLINK("http://service.sap.com/sap/support/notes/1939408","1939408")</f>
        <v>1939408</v>
      </c>
      <c r="D4351">
        <v>3</v>
      </c>
      <c r="E4351" t="s">
        <v>1943</v>
      </c>
      <c r="F4351" t="s">
        <v>9</v>
      </c>
    </row>
    <row r="4352" spans="1:6" x14ac:dyDescent="0.3">
      <c r="A4352" t="s">
        <v>885</v>
      </c>
      <c r="B4352" t="s">
        <v>886</v>
      </c>
      <c r="C4352" t="str">
        <f>HYPERLINK("http://service.sap.com/sap/support/notes/1939786","1939786")</f>
        <v>1939786</v>
      </c>
      <c r="D4352">
        <v>2</v>
      </c>
      <c r="E4352" t="s">
        <v>1944</v>
      </c>
      <c r="F4352" t="s">
        <v>9</v>
      </c>
    </row>
    <row r="4353" spans="1:6" x14ac:dyDescent="0.3">
      <c r="A4353" t="s">
        <v>885</v>
      </c>
      <c r="B4353" t="s">
        <v>886</v>
      </c>
      <c r="C4353" t="str">
        <f>HYPERLINK("http://service.sap.com/sap/support/notes/1945646","1945646")</f>
        <v>1945646</v>
      </c>
      <c r="D4353">
        <v>6</v>
      </c>
      <c r="E4353" t="s">
        <v>1945</v>
      </c>
      <c r="F4353" t="s">
        <v>9</v>
      </c>
    </row>
    <row r="4354" spans="1:6" x14ac:dyDescent="0.3">
      <c r="A4354" t="s">
        <v>885</v>
      </c>
      <c r="B4354" t="s">
        <v>886</v>
      </c>
      <c r="C4354" t="str">
        <f>HYPERLINK("http://service.sap.com/sap/support/notes/1952218","1952218")</f>
        <v>1952218</v>
      </c>
      <c r="D4354">
        <v>6</v>
      </c>
      <c r="E4354" t="s">
        <v>1946</v>
      </c>
      <c r="F4354" t="s">
        <v>28</v>
      </c>
    </row>
    <row r="4355" spans="1:6" x14ac:dyDescent="0.3">
      <c r="A4355" t="s">
        <v>885</v>
      </c>
      <c r="B4355" t="s">
        <v>886</v>
      </c>
      <c r="C4355" t="str">
        <f>HYPERLINK("http://service.sap.com/sap/support/notes/1958922","1958922")</f>
        <v>1958922</v>
      </c>
      <c r="D4355">
        <v>3</v>
      </c>
      <c r="E4355" t="s">
        <v>1947</v>
      </c>
      <c r="F4355" t="s">
        <v>28</v>
      </c>
    </row>
    <row r="4356" spans="1:6" x14ac:dyDescent="0.3">
      <c r="A4356" t="s">
        <v>885</v>
      </c>
      <c r="B4356" t="s">
        <v>886</v>
      </c>
      <c r="C4356" t="str">
        <f>HYPERLINK("http://service.sap.com/sap/support/notes/1959041","1959041")</f>
        <v>1959041</v>
      </c>
      <c r="D4356">
        <v>3</v>
      </c>
      <c r="E4356" t="s">
        <v>1948</v>
      </c>
      <c r="F4356" t="s">
        <v>9</v>
      </c>
    </row>
    <row r="4357" spans="1:6" x14ac:dyDescent="0.3">
      <c r="A4357" t="s">
        <v>885</v>
      </c>
      <c r="B4357" t="s">
        <v>886</v>
      </c>
      <c r="C4357" t="str">
        <f>HYPERLINK("http://service.sap.com/sap/support/notes/1959395","1959395")</f>
        <v>1959395</v>
      </c>
      <c r="D4357">
        <v>1</v>
      </c>
      <c r="E4357" t="s">
        <v>1949</v>
      </c>
      <c r="F4357" t="s">
        <v>9</v>
      </c>
    </row>
    <row r="4358" spans="1:6" x14ac:dyDescent="0.3">
      <c r="A4358" t="s">
        <v>885</v>
      </c>
      <c r="B4358" t="s">
        <v>886</v>
      </c>
      <c r="C4358" t="str">
        <f>HYPERLINK("http://service.sap.com/sap/support/notes/1960408","1960408")</f>
        <v>1960408</v>
      </c>
      <c r="D4358">
        <v>2</v>
      </c>
      <c r="E4358" t="s">
        <v>1950</v>
      </c>
      <c r="F4358" t="s">
        <v>9</v>
      </c>
    </row>
    <row r="4359" spans="1:6" x14ac:dyDescent="0.3">
      <c r="A4359" t="s">
        <v>885</v>
      </c>
      <c r="B4359" t="s">
        <v>886</v>
      </c>
      <c r="C4359" t="str">
        <f>HYPERLINK("http://service.sap.com/sap/support/notes/1928190","1928190")</f>
        <v>1928190</v>
      </c>
      <c r="D4359">
        <v>6</v>
      </c>
      <c r="E4359" t="s">
        <v>2308</v>
      </c>
      <c r="F4359" t="s">
        <v>9</v>
      </c>
    </row>
    <row r="4360" spans="1:6" x14ac:dyDescent="0.3">
      <c r="A4360" t="s">
        <v>885</v>
      </c>
      <c r="B4360" t="s">
        <v>886</v>
      </c>
      <c r="C4360" t="str">
        <f>HYPERLINK("http://service.sap.com/sap/support/notes/1938719","1938719")</f>
        <v>1938719</v>
      </c>
      <c r="D4360">
        <v>9</v>
      </c>
      <c r="E4360" t="s">
        <v>2309</v>
      </c>
      <c r="F4360" t="s">
        <v>9</v>
      </c>
    </row>
    <row r="4361" spans="1:6" x14ac:dyDescent="0.3">
      <c r="A4361" t="s">
        <v>885</v>
      </c>
      <c r="B4361" t="s">
        <v>886</v>
      </c>
      <c r="C4361" t="str">
        <f>HYPERLINK("http://service.sap.com/sap/support/notes/1951618","1951618")</f>
        <v>1951618</v>
      </c>
      <c r="D4361">
        <v>16</v>
      </c>
      <c r="E4361" t="s">
        <v>2310</v>
      </c>
      <c r="F4361" t="s">
        <v>9</v>
      </c>
    </row>
    <row r="4362" spans="1:6" x14ac:dyDescent="0.3">
      <c r="A4362" t="s">
        <v>885</v>
      </c>
      <c r="B4362" t="s">
        <v>886</v>
      </c>
      <c r="C4362" t="str">
        <f>HYPERLINK("http://service.sap.com/sap/support/notes/1961007","1961007")</f>
        <v>1961007</v>
      </c>
      <c r="D4362">
        <v>6</v>
      </c>
      <c r="E4362" t="s">
        <v>2311</v>
      </c>
      <c r="F4362" t="s">
        <v>9</v>
      </c>
    </row>
    <row r="4363" spans="1:6" x14ac:dyDescent="0.3">
      <c r="A4363" t="s">
        <v>885</v>
      </c>
      <c r="B4363" t="s">
        <v>886</v>
      </c>
      <c r="C4363" t="str">
        <f>HYPERLINK("http://service.sap.com/sap/support/notes/1961758","1961758")</f>
        <v>1961758</v>
      </c>
      <c r="D4363">
        <v>1</v>
      </c>
      <c r="E4363" t="s">
        <v>2312</v>
      </c>
      <c r="F4363" t="s">
        <v>9</v>
      </c>
    </row>
    <row r="4364" spans="1:6" x14ac:dyDescent="0.3">
      <c r="A4364" t="s">
        <v>885</v>
      </c>
      <c r="B4364" t="s">
        <v>886</v>
      </c>
      <c r="C4364" t="str">
        <f>HYPERLINK("http://service.sap.com/sap/support/notes/1961764","1961764")</f>
        <v>1961764</v>
      </c>
      <c r="D4364">
        <v>3</v>
      </c>
      <c r="E4364" t="s">
        <v>2313</v>
      </c>
      <c r="F4364" t="s">
        <v>9</v>
      </c>
    </row>
    <row r="4365" spans="1:6" x14ac:dyDescent="0.3">
      <c r="A4365" t="s">
        <v>885</v>
      </c>
      <c r="B4365" t="s">
        <v>886</v>
      </c>
      <c r="C4365" t="str">
        <f>HYPERLINK("http://service.sap.com/sap/support/notes/1962689","1962689")</f>
        <v>1962689</v>
      </c>
      <c r="D4365">
        <v>5</v>
      </c>
      <c r="E4365" t="s">
        <v>2314</v>
      </c>
      <c r="F4365" t="s">
        <v>9</v>
      </c>
    </row>
    <row r="4366" spans="1:6" x14ac:dyDescent="0.3">
      <c r="A4366" t="s">
        <v>885</v>
      </c>
      <c r="B4366" t="s">
        <v>886</v>
      </c>
      <c r="C4366" t="str">
        <f>HYPERLINK("http://service.sap.com/sap/support/notes/1963252","1963252")</f>
        <v>1963252</v>
      </c>
      <c r="D4366">
        <v>3</v>
      </c>
      <c r="E4366" t="s">
        <v>2315</v>
      </c>
      <c r="F4366" t="s">
        <v>9</v>
      </c>
    </row>
    <row r="4367" spans="1:6" x14ac:dyDescent="0.3">
      <c r="A4367" t="s">
        <v>885</v>
      </c>
      <c r="B4367" t="s">
        <v>886</v>
      </c>
      <c r="C4367" t="str">
        <f>HYPERLINK("http://service.sap.com/sap/support/notes/1965396","1965396")</f>
        <v>1965396</v>
      </c>
      <c r="D4367">
        <v>5</v>
      </c>
      <c r="E4367" t="s">
        <v>2316</v>
      </c>
      <c r="F4367" t="s">
        <v>9</v>
      </c>
    </row>
    <row r="4368" spans="1:6" x14ac:dyDescent="0.3">
      <c r="A4368" t="s">
        <v>885</v>
      </c>
      <c r="B4368" t="s">
        <v>886</v>
      </c>
      <c r="C4368" t="str">
        <f>HYPERLINK("http://service.sap.com/sap/support/notes/1934428","1934428")</f>
        <v>1934428</v>
      </c>
      <c r="D4368">
        <v>4</v>
      </c>
      <c r="E4368" t="s">
        <v>2714</v>
      </c>
      <c r="F4368" t="s">
        <v>9</v>
      </c>
    </row>
    <row r="4369" spans="1:6" x14ac:dyDescent="0.3">
      <c r="A4369" t="s">
        <v>885</v>
      </c>
      <c r="B4369" t="s">
        <v>886</v>
      </c>
      <c r="C4369" t="str">
        <f>HYPERLINK("http://service.sap.com/sap/support/notes/1946245","1946245")</f>
        <v>1946245</v>
      </c>
      <c r="D4369">
        <v>3</v>
      </c>
      <c r="E4369" t="s">
        <v>2715</v>
      </c>
      <c r="F4369" t="s">
        <v>9</v>
      </c>
    </row>
    <row r="4370" spans="1:6" x14ac:dyDescent="0.3">
      <c r="A4370" t="s">
        <v>885</v>
      </c>
      <c r="B4370" t="s">
        <v>886</v>
      </c>
      <c r="C4370" t="str">
        <f>HYPERLINK("http://service.sap.com/sap/support/notes/1963358","1963358")</f>
        <v>1963358</v>
      </c>
      <c r="D4370">
        <v>12</v>
      </c>
      <c r="E4370" t="s">
        <v>2716</v>
      </c>
      <c r="F4370" t="s">
        <v>9</v>
      </c>
    </row>
    <row r="4371" spans="1:6" x14ac:dyDescent="0.3">
      <c r="A4371" t="s">
        <v>885</v>
      </c>
      <c r="B4371" t="s">
        <v>886</v>
      </c>
      <c r="C4371" t="str">
        <f>HYPERLINK("http://service.sap.com/sap/support/notes/1964163","1964163")</f>
        <v>1964163</v>
      </c>
      <c r="D4371">
        <v>1</v>
      </c>
      <c r="E4371" t="s">
        <v>2717</v>
      </c>
      <c r="F4371" t="s">
        <v>9</v>
      </c>
    </row>
    <row r="4372" spans="1:6" x14ac:dyDescent="0.3">
      <c r="A4372" t="s">
        <v>885</v>
      </c>
      <c r="B4372" t="s">
        <v>886</v>
      </c>
      <c r="C4372" t="str">
        <f>HYPERLINK("http://service.sap.com/sap/support/notes/1965386","1965386")</f>
        <v>1965386</v>
      </c>
      <c r="D4372">
        <v>15</v>
      </c>
      <c r="E4372" t="s">
        <v>2718</v>
      </c>
      <c r="F4372" t="s">
        <v>9</v>
      </c>
    </row>
    <row r="4373" spans="1:6" x14ac:dyDescent="0.3">
      <c r="A4373" t="s">
        <v>885</v>
      </c>
      <c r="B4373" t="s">
        <v>886</v>
      </c>
      <c r="C4373" t="str">
        <f>HYPERLINK("http://service.sap.com/sap/support/notes/1970870","1970870")</f>
        <v>1970870</v>
      </c>
      <c r="D4373">
        <v>7</v>
      </c>
      <c r="E4373" t="s">
        <v>2719</v>
      </c>
      <c r="F4373" t="s">
        <v>9</v>
      </c>
    </row>
    <row r="4374" spans="1:6" x14ac:dyDescent="0.3">
      <c r="A4374" t="s">
        <v>885</v>
      </c>
      <c r="B4374" t="s">
        <v>886</v>
      </c>
      <c r="C4374" t="str">
        <f>HYPERLINK("http://service.sap.com/sap/support/notes/1972095","1972095")</f>
        <v>1972095</v>
      </c>
      <c r="D4374">
        <v>5</v>
      </c>
      <c r="E4374" t="s">
        <v>2720</v>
      </c>
      <c r="F4374" t="s">
        <v>9</v>
      </c>
    </row>
    <row r="4375" spans="1:6" x14ac:dyDescent="0.3">
      <c r="A4375" t="s">
        <v>885</v>
      </c>
      <c r="B4375" t="s">
        <v>886</v>
      </c>
      <c r="C4375" t="str">
        <f>HYPERLINK("http://service.sap.com/sap/support/notes/1972357","1972357")</f>
        <v>1972357</v>
      </c>
      <c r="D4375">
        <v>3</v>
      </c>
      <c r="E4375" t="s">
        <v>2721</v>
      </c>
      <c r="F4375" t="s">
        <v>9</v>
      </c>
    </row>
    <row r="4376" spans="1:6" x14ac:dyDescent="0.3">
      <c r="A4376" t="s">
        <v>885</v>
      </c>
      <c r="B4376" t="s">
        <v>886</v>
      </c>
      <c r="C4376" t="str">
        <f>HYPERLINK("http://service.sap.com/sap/support/notes/1972700","1972700")</f>
        <v>1972700</v>
      </c>
      <c r="D4376">
        <v>2</v>
      </c>
      <c r="E4376" t="s">
        <v>2722</v>
      </c>
      <c r="F4376" t="s">
        <v>9</v>
      </c>
    </row>
    <row r="4377" spans="1:6" x14ac:dyDescent="0.3">
      <c r="A4377" t="s">
        <v>885</v>
      </c>
      <c r="B4377" t="s">
        <v>886</v>
      </c>
      <c r="C4377" t="str">
        <f>HYPERLINK("http://service.sap.com/sap/support/notes/1973349","1973349")</f>
        <v>1973349</v>
      </c>
      <c r="D4377">
        <v>3</v>
      </c>
      <c r="E4377" t="s">
        <v>2723</v>
      </c>
      <c r="F4377" t="s">
        <v>28</v>
      </c>
    </row>
    <row r="4378" spans="1:6" x14ac:dyDescent="0.3">
      <c r="A4378" t="s">
        <v>885</v>
      </c>
      <c r="B4378" t="s">
        <v>886</v>
      </c>
      <c r="C4378" t="str">
        <f>HYPERLINK("http://service.sap.com/sap/support/notes/1974979","1974979")</f>
        <v>1974979</v>
      </c>
      <c r="D4378">
        <v>2</v>
      </c>
      <c r="E4378" t="s">
        <v>2724</v>
      </c>
      <c r="F4378" t="s">
        <v>28</v>
      </c>
    </row>
    <row r="4379" spans="1:6" x14ac:dyDescent="0.3">
      <c r="A4379" t="s">
        <v>885</v>
      </c>
      <c r="B4379" t="s">
        <v>886</v>
      </c>
      <c r="C4379" t="str">
        <f>HYPERLINK("http://service.sap.com/sap/support/notes/1975024","1975024")</f>
        <v>1975024</v>
      </c>
      <c r="D4379">
        <v>5</v>
      </c>
      <c r="E4379" t="s">
        <v>2725</v>
      </c>
      <c r="F4379" t="s">
        <v>9</v>
      </c>
    </row>
    <row r="4380" spans="1:6" x14ac:dyDescent="0.3">
      <c r="A4380" t="s">
        <v>885</v>
      </c>
      <c r="B4380" t="s">
        <v>886</v>
      </c>
      <c r="C4380" t="str">
        <f>HYPERLINK("http://service.sap.com/sap/support/notes/1060820","1060820")</f>
        <v>1060820</v>
      </c>
      <c r="D4380">
        <v>1</v>
      </c>
      <c r="E4380" t="s">
        <v>887</v>
      </c>
      <c r="F4380" t="s">
        <v>16</v>
      </c>
    </row>
    <row r="4381" spans="1:6" x14ac:dyDescent="0.3">
      <c r="A4381" t="s">
        <v>885</v>
      </c>
      <c r="B4381" t="s">
        <v>886</v>
      </c>
      <c r="C4381" t="str">
        <f>HYPERLINK("http://service.sap.com/sap/support/notes/1861888","1861888")</f>
        <v>1861888</v>
      </c>
      <c r="D4381">
        <v>6</v>
      </c>
      <c r="E4381" t="s">
        <v>3183</v>
      </c>
      <c r="F4381" t="s">
        <v>9</v>
      </c>
    </row>
    <row r="4382" spans="1:6" x14ac:dyDescent="0.3">
      <c r="A4382" t="s">
        <v>885</v>
      </c>
      <c r="B4382" t="s">
        <v>886</v>
      </c>
      <c r="C4382" t="str">
        <f>HYPERLINK("http://service.sap.com/sap/support/notes/1870178","1870178")</f>
        <v>1870178</v>
      </c>
      <c r="D4382">
        <v>9</v>
      </c>
      <c r="E4382" t="s">
        <v>3184</v>
      </c>
      <c r="F4382" t="s">
        <v>9</v>
      </c>
    </row>
    <row r="4383" spans="1:6" x14ac:dyDescent="0.3">
      <c r="A4383" t="s">
        <v>885</v>
      </c>
      <c r="B4383" t="s">
        <v>886</v>
      </c>
      <c r="C4383" t="str">
        <f>HYPERLINK("http://service.sap.com/sap/support/notes/1900811","1900811")</f>
        <v>1900811</v>
      </c>
      <c r="D4383">
        <v>6</v>
      </c>
      <c r="E4383" t="s">
        <v>3185</v>
      </c>
      <c r="F4383" t="s">
        <v>9</v>
      </c>
    </row>
    <row r="4384" spans="1:6" x14ac:dyDescent="0.3">
      <c r="A4384" t="s">
        <v>885</v>
      </c>
      <c r="B4384" t="s">
        <v>886</v>
      </c>
      <c r="C4384" t="str">
        <f>HYPERLINK("http://service.sap.com/sap/support/notes/1939443","1939443")</f>
        <v>1939443</v>
      </c>
      <c r="D4384">
        <v>3</v>
      </c>
      <c r="E4384" t="s">
        <v>3186</v>
      </c>
      <c r="F4384" t="s">
        <v>9</v>
      </c>
    </row>
    <row r="4385" spans="1:6" x14ac:dyDescent="0.3">
      <c r="A4385" t="s">
        <v>885</v>
      </c>
      <c r="B4385" t="s">
        <v>886</v>
      </c>
      <c r="C4385" t="str">
        <f>HYPERLINK("http://service.sap.com/sap/support/notes/1957486","1957486")</f>
        <v>1957486</v>
      </c>
      <c r="D4385">
        <v>3</v>
      </c>
      <c r="E4385" t="s">
        <v>3187</v>
      </c>
      <c r="F4385" t="s">
        <v>9</v>
      </c>
    </row>
    <row r="4386" spans="1:6" x14ac:dyDescent="0.3">
      <c r="A4386" t="s">
        <v>885</v>
      </c>
      <c r="B4386" t="s">
        <v>886</v>
      </c>
      <c r="C4386" t="str">
        <f>HYPERLINK("http://service.sap.com/sap/support/notes/1964163","1964163")</f>
        <v>1964163</v>
      </c>
      <c r="D4386">
        <v>1</v>
      </c>
      <c r="E4386" t="s">
        <v>3188</v>
      </c>
      <c r="F4386" t="s">
        <v>9</v>
      </c>
    </row>
    <row r="4387" spans="1:6" x14ac:dyDescent="0.3">
      <c r="A4387" t="s">
        <v>885</v>
      </c>
      <c r="B4387" t="s">
        <v>886</v>
      </c>
      <c r="C4387" t="str">
        <f>HYPERLINK("http://service.sap.com/sap/support/notes/1970260","1970260")</f>
        <v>1970260</v>
      </c>
      <c r="D4387">
        <v>2</v>
      </c>
      <c r="E4387" t="s">
        <v>3189</v>
      </c>
      <c r="F4387" t="s">
        <v>9</v>
      </c>
    </row>
    <row r="4388" spans="1:6" x14ac:dyDescent="0.3">
      <c r="A4388" t="s">
        <v>885</v>
      </c>
      <c r="B4388" t="s">
        <v>886</v>
      </c>
      <c r="C4388" t="str">
        <f>HYPERLINK("http://service.sap.com/sap/support/notes/1974448","1974448")</f>
        <v>1974448</v>
      </c>
      <c r="D4388">
        <v>10</v>
      </c>
      <c r="E4388" t="s">
        <v>3190</v>
      </c>
      <c r="F4388" t="s">
        <v>9</v>
      </c>
    </row>
    <row r="4389" spans="1:6" x14ac:dyDescent="0.3">
      <c r="A4389" t="s">
        <v>885</v>
      </c>
      <c r="B4389" t="s">
        <v>886</v>
      </c>
      <c r="C4389" t="str">
        <f>HYPERLINK("http://service.sap.com/sap/support/notes/1976366","1976366")</f>
        <v>1976366</v>
      </c>
      <c r="D4389">
        <v>13</v>
      </c>
      <c r="E4389" t="s">
        <v>3191</v>
      </c>
      <c r="F4389" t="s">
        <v>9</v>
      </c>
    </row>
    <row r="4390" spans="1:6" x14ac:dyDescent="0.3">
      <c r="A4390" t="s">
        <v>885</v>
      </c>
      <c r="B4390" t="s">
        <v>886</v>
      </c>
      <c r="C4390" t="str">
        <f>HYPERLINK("http://service.sap.com/sap/support/notes/1978121","1978121")</f>
        <v>1978121</v>
      </c>
      <c r="D4390">
        <v>3</v>
      </c>
      <c r="E4390" t="s">
        <v>3192</v>
      </c>
      <c r="F4390" t="s">
        <v>9</v>
      </c>
    </row>
    <row r="4391" spans="1:6" x14ac:dyDescent="0.3">
      <c r="A4391" t="s">
        <v>885</v>
      </c>
      <c r="B4391" t="s">
        <v>886</v>
      </c>
      <c r="C4391" t="str">
        <f>HYPERLINK("http://service.sap.com/sap/support/notes/1983711","1983711")</f>
        <v>1983711</v>
      </c>
      <c r="D4391">
        <v>3</v>
      </c>
      <c r="E4391" t="s">
        <v>3193</v>
      </c>
      <c r="F4391" t="s">
        <v>9</v>
      </c>
    </row>
    <row r="4392" spans="1:6" x14ac:dyDescent="0.3">
      <c r="A4392" t="s">
        <v>885</v>
      </c>
      <c r="B4392" t="s">
        <v>886</v>
      </c>
      <c r="C4392" t="str">
        <f>HYPERLINK("http://service.sap.com/sap/support/notes/1993454","1993454")</f>
        <v>1993454</v>
      </c>
      <c r="D4392">
        <v>2</v>
      </c>
      <c r="E4392" t="s">
        <v>3194</v>
      </c>
      <c r="F4392" t="s">
        <v>28</v>
      </c>
    </row>
    <row r="4393" spans="1:6" x14ac:dyDescent="0.3">
      <c r="A4393" t="s">
        <v>885</v>
      </c>
      <c r="B4393" t="s">
        <v>886</v>
      </c>
      <c r="C4393" t="str">
        <f>HYPERLINK("http://service.sap.com/sap/support/notes/1841245","1841245")</f>
        <v>1841245</v>
      </c>
      <c r="D4393">
        <v>5</v>
      </c>
      <c r="E4393" t="s">
        <v>3844</v>
      </c>
      <c r="F4393" t="s">
        <v>9</v>
      </c>
    </row>
    <row r="4394" spans="1:6" x14ac:dyDescent="0.3">
      <c r="A4394" t="s">
        <v>885</v>
      </c>
      <c r="B4394" t="s">
        <v>886</v>
      </c>
      <c r="C4394" t="str">
        <f>HYPERLINK("http://service.sap.com/sap/support/notes/1879810","1879810")</f>
        <v>1879810</v>
      </c>
      <c r="D4394">
        <v>5</v>
      </c>
      <c r="E4394" t="s">
        <v>3845</v>
      </c>
      <c r="F4394" t="s">
        <v>9</v>
      </c>
    </row>
    <row r="4395" spans="1:6" x14ac:dyDescent="0.3">
      <c r="A4395" t="s">
        <v>885</v>
      </c>
      <c r="B4395" t="s">
        <v>886</v>
      </c>
      <c r="C4395" t="str">
        <f>HYPERLINK("http://service.sap.com/sap/support/notes/1938033","1938033")</f>
        <v>1938033</v>
      </c>
      <c r="D4395">
        <v>8</v>
      </c>
      <c r="E4395" t="s">
        <v>3846</v>
      </c>
      <c r="F4395" t="s">
        <v>9</v>
      </c>
    </row>
    <row r="4396" spans="1:6" x14ac:dyDescent="0.3">
      <c r="A4396" t="s">
        <v>885</v>
      </c>
      <c r="B4396" t="s">
        <v>886</v>
      </c>
      <c r="C4396" t="str">
        <f>HYPERLINK("http://service.sap.com/sap/support/notes/2010019","2010019")</f>
        <v>2010019</v>
      </c>
      <c r="D4396">
        <v>1</v>
      </c>
      <c r="E4396" t="s">
        <v>3847</v>
      </c>
      <c r="F4396" t="s">
        <v>28</v>
      </c>
    </row>
    <row r="4397" spans="1:6" x14ac:dyDescent="0.3">
      <c r="A4397" t="s">
        <v>885</v>
      </c>
      <c r="B4397" t="s">
        <v>886</v>
      </c>
      <c r="C4397" t="str">
        <f>HYPERLINK("http://service.sap.com/sap/support/notes/1889710","1889710")</f>
        <v>1889710</v>
      </c>
      <c r="D4397">
        <v>4</v>
      </c>
      <c r="E4397" t="s">
        <v>4321</v>
      </c>
      <c r="F4397" t="s">
        <v>9</v>
      </c>
    </row>
    <row r="4398" spans="1:6" x14ac:dyDescent="0.3">
      <c r="A4398" t="s">
        <v>885</v>
      </c>
      <c r="B4398" t="s">
        <v>886</v>
      </c>
      <c r="C4398" t="str">
        <f>HYPERLINK("http://service.sap.com/sap/support/notes/1964502","1964502")</f>
        <v>1964502</v>
      </c>
      <c r="D4398">
        <v>2</v>
      </c>
      <c r="E4398" t="s">
        <v>4322</v>
      </c>
      <c r="F4398" t="s">
        <v>9</v>
      </c>
    </row>
    <row r="4399" spans="1:6" x14ac:dyDescent="0.3">
      <c r="A4399" t="s">
        <v>885</v>
      </c>
      <c r="B4399" t="s">
        <v>886</v>
      </c>
      <c r="C4399" t="str">
        <f>HYPERLINK("http://service.sap.com/sap/support/notes/1987915","1987915")</f>
        <v>1987915</v>
      </c>
      <c r="D4399">
        <v>2</v>
      </c>
      <c r="E4399" t="s">
        <v>4323</v>
      </c>
      <c r="F4399" t="s">
        <v>9</v>
      </c>
    </row>
    <row r="4400" spans="1:6" x14ac:dyDescent="0.3">
      <c r="A4400" t="s">
        <v>885</v>
      </c>
      <c r="B4400" t="s">
        <v>886</v>
      </c>
      <c r="C4400" t="str">
        <f>HYPERLINK("http://service.sap.com/sap/support/notes/1991104","1991104")</f>
        <v>1991104</v>
      </c>
      <c r="D4400">
        <v>11</v>
      </c>
      <c r="E4400" t="s">
        <v>4324</v>
      </c>
      <c r="F4400" t="s">
        <v>28</v>
      </c>
    </row>
    <row r="4401" spans="1:6" x14ac:dyDescent="0.3">
      <c r="A4401" t="s">
        <v>885</v>
      </c>
      <c r="B4401" t="s">
        <v>886</v>
      </c>
      <c r="C4401" t="str">
        <f>HYPERLINK("http://service.sap.com/sap/support/notes/1992245","1992245")</f>
        <v>1992245</v>
      </c>
      <c r="D4401">
        <v>7</v>
      </c>
      <c r="E4401" t="s">
        <v>4325</v>
      </c>
      <c r="F4401" t="s">
        <v>28</v>
      </c>
    </row>
    <row r="4402" spans="1:6" x14ac:dyDescent="0.3">
      <c r="A4402" t="s">
        <v>885</v>
      </c>
      <c r="B4402" t="s">
        <v>886</v>
      </c>
      <c r="C4402" t="str">
        <f>HYPERLINK("http://service.sap.com/sap/support/notes/1995944","1995944")</f>
        <v>1995944</v>
      </c>
      <c r="D4402">
        <v>12</v>
      </c>
      <c r="E4402" t="s">
        <v>4326</v>
      </c>
      <c r="F4402" t="s">
        <v>28</v>
      </c>
    </row>
    <row r="4403" spans="1:6" x14ac:dyDescent="0.3">
      <c r="A4403" t="s">
        <v>885</v>
      </c>
      <c r="B4403" t="s">
        <v>886</v>
      </c>
      <c r="C4403" t="str">
        <f>HYPERLINK("http://service.sap.com/sap/support/notes/1999566","1999566")</f>
        <v>1999566</v>
      </c>
      <c r="D4403">
        <v>2</v>
      </c>
      <c r="E4403" t="s">
        <v>4327</v>
      </c>
      <c r="F4403" t="s">
        <v>28</v>
      </c>
    </row>
    <row r="4404" spans="1:6" x14ac:dyDescent="0.3">
      <c r="A4404" t="s">
        <v>885</v>
      </c>
      <c r="B4404" t="s">
        <v>886</v>
      </c>
      <c r="C4404" t="str">
        <f>HYPERLINK("http://service.sap.com/sap/support/notes/2010707","2010707")</f>
        <v>2010707</v>
      </c>
      <c r="D4404">
        <v>3</v>
      </c>
      <c r="E4404" t="s">
        <v>4328</v>
      </c>
      <c r="F4404" t="s">
        <v>28</v>
      </c>
    </row>
    <row r="4405" spans="1:6" x14ac:dyDescent="0.3">
      <c r="A4405" t="s">
        <v>885</v>
      </c>
      <c r="B4405" t="s">
        <v>886</v>
      </c>
      <c r="C4405" t="str">
        <f>HYPERLINK("http://service.sap.com/sap/support/notes/2021266","2021266")</f>
        <v>2021266</v>
      </c>
      <c r="D4405">
        <v>2</v>
      </c>
      <c r="E4405" t="s">
        <v>4329</v>
      </c>
      <c r="F4405" t="s">
        <v>9</v>
      </c>
    </row>
    <row r="4406" spans="1:6" x14ac:dyDescent="0.3">
      <c r="A4406" t="s">
        <v>885</v>
      </c>
      <c r="B4406" t="s">
        <v>886</v>
      </c>
      <c r="C4406" t="str">
        <f>HYPERLINK("http://service.sap.com/sap/support/notes/1807535","1807535")</f>
        <v>1807535</v>
      </c>
      <c r="D4406">
        <v>3</v>
      </c>
      <c r="E4406" t="s">
        <v>4633</v>
      </c>
      <c r="F4406" t="s">
        <v>16</v>
      </c>
    </row>
    <row r="4407" spans="1:6" x14ac:dyDescent="0.3">
      <c r="A4407" t="s">
        <v>885</v>
      </c>
      <c r="B4407" t="s">
        <v>886</v>
      </c>
      <c r="C4407" t="str">
        <f>HYPERLINK("http://service.sap.com/sap/support/notes/1995367","1995367")</f>
        <v>1995367</v>
      </c>
      <c r="D4407">
        <v>7</v>
      </c>
      <c r="E4407" t="s">
        <v>4634</v>
      </c>
      <c r="F4407" t="s">
        <v>28</v>
      </c>
    </row>
    <row r="4408" spans="1:6" x14ac:dyDescent="0.3">
      <c r="A4408" t="s">
        <v>885</v>
      </c>
      <c r="B4408" t="s">
        <v>886</v>
      </c>
      <c r="C4408" t="str">
        <f>HYPERLINK("http://service.sap.com/sap/support/notes/2004167","2004167")</f>
        <v>2004167</v>
      </c>
      <c r="D4408">
        <v>3</v>
      </c>
      <c r="E4408" t="s">
        <v>4635</v>
      </c>
      <c r="F4408" t="s">
        <v>9</v>
      </c>
    </row>
    <row r="4409" spans="1:6" x14ac:dyDescent="0.3">
      <c r="A4409" t="s">
        <v>885</v>
      </c>
      <c r="B4409" t="s">
        <v>886</v>
      </c>
      <c r="C4409" t="str">
        <f>HYPERLINK("http://service.sap.com/sap/support/notes/2011991","2011991")</f>
        <v>2011991</v>
      </c>
      <c r="D4409">
        <v>4</v>
      </c>
      <c r="E4409" t="s">
        <v>4636</v>
      </c>
      <c r="F4409" t="s">
        <v>9</v>
      </c>
    </row>
    <row r="4410" spans="1:6" x14ac:dyDescent="0.3">
      <c r="A4410" t="s">
        <v>885</v>
      </c>
      <c r="B4410" t="s">
        <v>886</v>
      </c>
      <c r="C4410" t="str">
        <f>HYPERLINK("http://service.sap.com/sap/support/notes/2019019","2019019")</f>
        <v>2019019</v>
      </c>
      <c r="D4410">
        <v>2</v>
      </c>
      <c r="E4410" t="s">
        <v>4637</v>
      </c>
      <c r="F4410" t="s">
        <v>9</v>
      </c>
    </row>
    <row r="4411" spans="1:6" x14ac:dyDescent="0.3">
      <c r="A4411" t="s">
        <v>885</v>
      </c>
      <c r="B4411" t="s">
        <v>886</v>
      </c>
      <c r="C4411" t="str">
        <f>HYPERLINK("http://service.sap.com/sap/support/notes/2020661","2020661")</f>
        <v>2020661</v>
      </c>
      <c r="D4411">
        <v>5</v>
      </c>
      <c r="E4411" t="s">
        <v>4638</v>
      </c>
      <c r="F4411" t="s">
        <v>28</v>
      </c>
    </row>
    <row r="4412" spans="1:6" x14ac:dyDescent="0.3">
      <c r="A4412" t="s">
        <v>885</v>
      </c>
      <c r="B4412" t="s">
        <v>886</v>
      </c>
      <c r="C4412" t="str">
        <f>HYPERLINK("http://service.sap.com/sap/support/notes/2028326","2028326")</f>
        <v>2028326</v>
      </c>
      <c r="D4412">
        <v>3</v>
      </c>
      <c r="E4412" t="s">
        <v>4639</v>
      </c>
      <c r="F4412" t="s">
        <v>28</v>
      </c>
    </row>
    <row r="4413" spans="1:6" x14ac:dyDescent="0.3">
      <c r="A4413" t="s">
        <v>885</v>
      </c>
      <c r="B4413" t="s">
        <v>886</v>
      </c>
      <c r="C4413" t="str">
        <f>HYPERLINK("http://service.sap.com/sap/support/notes/1975045","1975045")</f>
        <v>1975045</v>
      </c>
      <c r="D4413">
        <v>7</v>
      </c>
      <c r="E4413" t="s">
        <v>4995</v>
      </c>
      <c r="F4413" t="s">
        <v>9</v>
      </c>
    </row>
    <row r="4414" spans="1:6" x14ac:dyDescent="0.3">
      <c r="A4414" t="s">
        <v>885</v>
      </c>
      <c r="B4414" t="s">
        <v>886</v>
      </c>
      <c r="C4414" t="str">
        <f>HYPERLINK("http://service.sap.com/sap/support/notes/1984413","1984413")</f>
        <v>1984413</v>
      </c>
      <c r="D4414">
        <v>6</v>
      </c>
      <c r="E4414" t="s">
        <v>4996</v>
      </c>
      <c r="F4414" t="s">
        <v>9</v>
      </c>
    </row>
    <row r="4415" spans="1:6" x14ac:dyDescent="0.3">
      <c r="A4415" t="s">
        <v>885</v>
      </c>
      <c r="B4415" t="s">
        <v>886</v>
      </c>
      <c r="C4415" t="str">
        <f>HYPERLINK("http://service.sap.com/sap/support/notes/1989761","1989761")</f>
        <v>1989761</v>
      </c>
      <c r="D4415">
        <v>11</v>
      </c>
      <c r="E4415" t="s">
        <v>4997</v>
      </c>
      <c r="F4415" t="s">
        <v>9</v>
      </c>
    </row>
    <row r="4416" spans="1:6" x14ac:dyDescent="0.3">
      <c r="A4416" t="s">
        <v>885</v>
      </c>
      <c r="B4416" t="s">
        <v>886</v>
      </c>
      <c r="C4416" t="str">
        <f>HYPERLINK("http://service.sap.com/sap/support/notes/2015040","2015040")</f>
        <v>2015040</v>
      </c>
      <c r="D4416">
        <v>12</v>
      </c>
      <c r="E4416" t="s">
        <v>4998</v>
      </c>
      <c r="F4416" t="s">
        <v>28</v>
      </c>
    </row>
    <row r="4417" spans="1:6" x14ac:dyDescent="0.3">
      <c r="A4417" t="s">
        <v>885</v>
      </c>
      <c r="B4417" t="s">
        <v>886</v>
      </c>
      <c r="C4417" t="str">
        <f>HYPERLINK("http://service.sap.com/sap/support/notes/2019226","2019226")</f>
        <v>2019226</v>
      </c>
      <c r="D4417">
        <v>6</v>
      </c>
      <c r="E4417" t="s">
        <v>4999</v>
      </c>
      <c r="F4417" t="s">
        <v>9</v>
      </c>
    </row>
    <row r="4418" spans="1:6" x14ac:dyDescent="0.3">
      <c r="A4418" t="s">
        <v>885</v>
      </c>
      <c r="B4418" t="s">
        <v>886</v>
      </c>
      <c r="C4418" t="str">
        <f>HYPERLINK("http://service.sap.com/sap/support/notes/2024081","2024081")</f>
        <v>2024081</v>
      </c>
      <c r="D4418">
        <v>4</v>
      </c>
      <c r="E4418" t="s">
        <v>5000</v>
      </c>
      <c r="F4418" t="s">
        <v>28</v>
      </c>
    </row>
    <row r="4419" spans="1:6" x14ac:dyDescent="0.3">
      <c r="A4419" t="s">
        <v>885</v>
      </c>
      <c r="B4419" t="s">
        <v>886</v>
      </c>
      <c r="C4419" t="str">
        <f>HYPERLINK("http://service.sap.com/sap/support/notes/2037673","2037673")</f>
        <v>2037673</v>
      </c>
      <c r="D4419">
        <v>2</v>
      </c>
      <c r="E4419" t="s">
        <v>5001</v>
      </c>
      <c r="F4419" t="s">
        <v>28</v>
      </c>
    </row>
    <row r="4420" spans="1:6" x14ac:dyDescent="0.3">
      <c r="A4420" t="s">
        <v>885</v>
      </c>
      <c r="B4420" t="s">
        <v>886</v>
      </c>
      <c r="C4420" t="str">
        <f>HYPERLINK("http://service.sap.com/sap/support/notes/1979222","1979222")</f>
        <v>1979222</v>
      </c>
      <c r="D4420">
        <v>4</v>
      </c>
      <c r="E4420" t="s">
        <v>5319</v>
      </c>
      <c r="F4420" t="s">
        <v>16</v>
      </c>
    </row>
    <row r="4421" spans="1:6" x14ac:dyDescent="0.3">
      <c r="A4421" t="s">
        <v>885</v>
      </c>
      <c r="B4421" t="s">
        <v>886</v>
      </c>
      <c r="C4421" t="str">
        <f>HYPERLINK("http://service.sap.com/sap/support/notes/2026031","2026031")</f>
        <v>2026031</v>
      </c>
      <c r="D4421">
        <v>4</v>
      </c>
      <c r="E4421" t="s">
        <v>5320</v>
      </c>
      <c r="F4421" t="s">
        <v>28</v>
      </c>
    </row>
    <row r="4422" spans="1:6" x14ac:dyDescent="0.3">
      <c r="A4422" t="s">
        <v>885</v>
      </c>
      <c r="B4422" t="s">
        <v>886</v>
      </c>
      <c r="C4422" t="str">
        <f>HYPERLINK("http://service.sap.com/sap/support/notes/2048089","2048089")</f>
        <v>2048089</v>
      </c>
      <c r="D4422">
        <v>4</v>
      </c>
      <c r="E4422" t="s">
        <v>5321</v>
      </c>
      <c r="F4422" t="s">
        <v>9</v>
      </c>
    </row>
    <row r="4423" spans="1:6" x14ac:dyDescent="0.3">
      <c r="A4423" t="s">
        <v>885</v>
      </c>
      <c r="B4423" t="s">
        <v>886</v>
      </c>
      <c r="C4423" t="str">
        <f>HYPERLINK("http://service.sap.com/sap/support/notes/2004231","2004231")</f>
        <v>2004231</v>
      </c>
      <c r="D4423">
        <v>5</v>
      </c>
      <c r="E4423" t="s">
        <v>5656</v>
      </c>
      <c r="F4423" t="s">
        <v>28</v>
      </c>
    </row>
    <row r="4424" spans="1:6" x14ac:dyDescent="0.3">
      <c r="A4424" t="s">
        <v>885</v>
      </c>
      <c r="B4424" t="s">
        <v>886</v>
      </c>
      <c r="C4424" t="str">
        <f>HYPERLINK("http://service.sap.com/sap/support/notes/2037457","2037457")</f>
        <v>2037457</v>
      </c>
      <c r="D4424">
        <v>6</v>
      </c>
      <c r="E4424" t="s">
        <v>5657</v>
      </c>
      <c r="F4424" t="s">
        <v>28</v>
      </c>
    </row>
    <row r="4425" spans="1:6" x14ac:dyDescent="0.3">
      <c r="A4425" t="s">
        <v>885</v>
      </c>
      <c r="B4425" t="s">
        <v>886</v>
      </c>
      <c r="C4425" t="str">
        <f>HYPERLINK("http://service.sap.com/sap/support/notes/2050302","2050302")</f>
        <v>2050302</v>
      </c>
      <c r="D4425">
        <v>4</v>
      </c>
      <c r="E4425" t="s">
        <v>5658</v>
      </c>
      <c r="F4425" t="s">
        <v>9</v>
      </c>
    </row>
    <row r="4426" spans="1:6" x14ac:dyDescent="0.3">
      <c r="A4426" t="s">
        <v>894</v>
      </c>
      <c r="B4426" t="s">
        <v>895</v>
      </c>
      <c r="C4426" t="str">
        <f>HYPERLINK("http://service.sap.com/sap/support/notes/1892801","1892801")</f>
        <v>1892801</v>
      </c>
      <c r="D4426">
        <v>5</v>
      </c>
      <c r="E4426" t="s">
        <v>896</v>
      </c>
      <c r="F4426" t="s">
        <v>28</v>
      </c>
    </row>
    <row r="4427" spans="1:6" x14ac:dyDescent="0.3">
      <c r="A4427" t="s">
        <v>894</v>
      </c>
      <c r="B4427" t="s">
        <v>895</v>
      </c>
      <c r="C4427" t="str">
        <f>HYPERLINK("http://service.sap.com/sap/support/notes/1894645","1894645")</f>
        <v>1894645</v>
      </c>
      <c r="D4427">
        <v>14</v>
      </c>
      <c r="E4427" t="s">
        <v>897</v>
      </c>
      <c r="F4427" t="s">
        <v>9</v>
      </c>
    </row>
    <row r="4428" spans="1:6" x14ac:dyDescent="0.3">
      <c r="A4428" t="s">
        <v>894</v>
      </c>
      <c r="B4428" t="s">
        <v>895</v>
      </c>
      <c r="C4428" t="str">
        <f>HYPERLINK("http://service.sap.com/sap/support/notes/1895797","1895797")</f>
        <v>1895797</v>
      </c>
      <c r="D4428">
        <v>4</v>
      </c>
      <c r="E4428" t="s">
        <v>898</v>
      </c>
      <c r="F4428" t="s">
        <v>28</v>
      </c>
    </row>
    <row r="4429" spans="1:6" x14ac:dyDescent="0.3">
      <c r="A4429" t="s">
        <v>894</v>
      </c>
      <c r="B4429" t="s">
        <v>895</v>
      </c>
      <c r="C4429" t="str">
        <f>HYPERLINK("http://service.sap.com/sap/support/notes/1897013","1897013")</f>
        <v>1897013</v>
      </c>
      <c r="D4429">
        <v>2</v>
      </c>
      <c r="E4429" t="s">
        <v>899</v>
      </c>
      <c r="F4429" t="s">
        <v>28</v>
      </c>
    </row>
    <row r="4430" spans="1:6" x14ac:dyDescent="0.3">
      <c r="A4430" t="s">
        <v>894</v>
      </c>
      <c r="B4430" t="s">
        <v>895</v>
      </c>
      <c r="C4430" t="str">
        <f>HYPERLINK("http://service.sap.com/sap/support/notes/1900476","1900476")</f>
        <v>1900476</v>
      </c>
      <c r="D4430">
        <v>5</v>
      </c>
      <c r="E4430" t="s">
        <v>900</v>
      </c>
      <c r="F4430" t="s">
        <v>9</v>
      </c>
    </row>
    <row r="4431" spans="1:6" x14ac:dyDescent="0.3">
      <c r="A4431" t="s">
        <v>894</v>
      </c>
      <c r="B4431" t="s">
        <v>895</v>
      </c>
      <c r="C4431" t="str">
        <f>HYPERLINK("http://service.sap.com/sap/support/notes/1921100","1921100")</f>
        <v>1921100</v>
      </c>
      <c r="D4431">
        <v>4</v>
      </c>
      <c r="E4431" t="s">
        <v>901</v>
      </c>
      <c r="F4431" t="s">
        <v>9</v>
      </c>
    </row>
    <row r="4432" spans="1:6" x14ac:dyDescent="0.3">
      <c r="A4432" t="s">
        <v>894</v>
      </c>
      <c r="B4432" t="s">
        <v>1358</v>
      </c>
      <c r="C4432" t="str">
        <f>HYPERLINK("http://service.sap.com/sap/support/notes/1875886","1875886")</f>
        <v>1875886</v>
      </c>
      <c r="D4432">
        <v>4</v>
      </c>
      <c r="E4432" t="s">
        <v>1359</v>
      </c>
      <c r="F4432" t="s">
        <v>9</v>
      </c>
    </row>
    <row r="4433" spans="1:6" x14ac:dyDescent="0.3">
      <c r="A4433" t="s">
        <v>894</v>
      </c>
      <c r="B4433" t="s">
        <v>1358</v>
      </c>
      <c r="C4433" t="str">
        <f>HYPERLINK("http://service.sap.com/sap/support/notes/1927208","1927208")</f>
        <v>1927208</v>
      </c>
      <c r="D4433">
        <v>2</v>
      </c>
      <c r="E4433" t="s">
        <v>1360</v>
      </c>
      <c r="F4433" t="s">
        <v>9</v>
      </c>
    </row>
    <row r="4434" spans="1:6" x14ac:dyDescent="0.3">
      <c r="A4434" t="s">
        <v>894</v>
      </c>
      <c r="B4434" t="s">
        <v>1358</v>
      </c>
      <c r="C4434" t="str">
        <f>HYPERLINK("http://service.sap.com/sap/support/notes/1929857","1929857")</f>
        <v>1929857</v>
      </c>
      <c r="D4434">
        <v>10</v>
      </c>
      <c r="E4434" t="s">
        <v>1361</v>
      </c>
      <c r="F4434" t="s">
        <v>9</v>
      </c>
    </row>
    <row r="4435" spans="1:6" x14ac:dyDescent="0.3">
      <c r="A4435" t="s">
        <v>894</v>
      </c>
      <c r="B4435" t="s">
        <v>895</v>
      </c>
      <c r="C4435" t="str">
        <f>HYPERLINK("http://service.sap.com/sap/support/notes/1901882","1901882")</f>
        <v>1901882</v>
      </c>
      <c r="D4435">
        <v>19</v>
      </c>
      <c r="E4435" t="s">
        <v>1951</v>
      </c>
      <c r="F4435" t="s">
        <v>9</v>
      </c>
    </row>
    <row r="4436" spans="1:6" x14ac:dyDescent="0.3">
      <c r="A4436" t="s">
        <v>894</v>
      </c>
      <c r="B4436" t="s">
        <v>1358</v>
      </c>
      <c r="C4436" t="str">
        <f>HYPERLINK("http://service.sap.com/sap/support/notes/1897013","1897013")</f>
        <v>1897013</v>
      </c>
      <c r="D4436">
        <v>2</v>
      </c>
      <c r="E4436" t="s">
        <v>899</v>
      </c>
      <c r="F4436" t="s">
        <v>28</v>
      </c>
    </row>
    <row r="4437" spans="1:6" x14ac:dyDescent="0.3">
      <c r="A4437" t="s">
        <v>894</v>
      </c>
      <c r="B4437" t="s">
        <v>1358</v>
      </c>
      <c r="C4437" t="str">
        <f>HYPERLINK("http://service.sap.com/sap/support/notes/1943572","1943572")</f>
        <v>1943572</v>
      </c>
      <c r="D4437">
        <v>9</v>
      </c>
      <c r="E4437" t="s">
        <v>2317</v>
      </c>
      <c r="F4437" t="s">
        <v>9</v>
      </c>
    </row>
    <row r="4438" spans="1:6" x14ac:dyDescent="0.3">
      <c r="A4438" t="s">
        <v>894</v>
      </c>
      <c r="B4438" t="s">
        <v>1358</v>
      </c>
      <c r="C4438" t="str">
        <f>HYPERLINK("http://service.sap.com/sap/support/notes/1965301","1965301")</f>
        <v>1965301</v>
      </c>
      <c r="D4438">
        <v>1</v>
      </c>
      <c r="E4438" t="s">
        <v>2318</v>
      </c>
      <c r="F4438" t="s">
        <v>9</v>
      </c>
    </row>
    <row r="4439" spans="1:6" x14ac:dyDescent="0.3">
      <c r="A4439" t="s">
        <v>894</v>
      </c>
      <c r="B4439" t="s">
        <v>1358</v>
      </c>
      <c r="C4439" t="str">
        <f>HYPERLINK("http://service.sap.com/sap/support/notes/1942933","1942933")</f>
        <v>1942933</v>
      </c>
      <c r="D4439">
        <v>1</v>
      </c>
      <c r="E4439" t="s">
        <v>2726</v>
      </c>
      <c r="F4439" t="s">
        <v>9</v>
      </c>
    </row>
    <row r="4440" spans="1:6" x14ac:dyDescent="0.3">
      <c r="A4440" t="s">
        <v>894</v>
      </c>
      <c r="B4440" t="s">
        <v>1358</v>
      </c>
      <c r="C4440" t="str">
        <f>HYPERLINK("http://service.sap.com/sap/support/notes/1973308","1973308")</f>
        <v>1973308</v>
      </c>
      <c r="D4440">
        <v>5</v>
      </c>
      <c r="E4440" t="s">
        <v>2727</v>
      </c>
      <c r="F4440" t="s">
        <v>9</v>
      </c>
    </row>
    <row r="4441" spans="1:6" x14ac:dyDescent="0.3">
      <c r="A4441" t="s">
        <v>894</v>
      </c>
      <c r="B4441" t="s">
        <v>895</v>
      </c>
      <c r="C4441" t="str">
        <f>HYPERLINK("http://service.sap.com/sap/support/notes/1960061","1960061")</f>
        <v>1960061</v>
      </c>
      <c r="D4441">
        <v>7</v>
      </c>
      <c r="E4441" t="s">
        <v>3195</v>
      </c>
      <c r="F4441" t="s">
        <v>9</v>
      </c>
    </row>
    <row r="4442" spans="1:6" x14ac:dyDescent="0.3">
      <c r="A4442" t="s">
        <v>894</v>
      </c>
      <c r="B4442" t="s">
        <v>895</v>
      </c>
      <c r="C4442" t="str">
        <f>HYPERLINK("http://service.sap.com/sap/support/notes/1968635","1968635")</f>
        <v>1968635</v>
      </c>
      <c r="D4442">
        <v>2</v>
      </c>
      <c r="E4442" t="s">
        <v>3196</v>
      </c>
      <c r="F4442" t="s">
        <v>9</v>
      </c>
    </row>
    <row r="4443" spans="1:6" x14ac:dyDescent="0.3">
      <c r="A4443" t="s">
        <v>894</v>
      </c>
      <c r="B4443" t="s">
        <v>895</v>
      </c>
      <c r="C4443" t="str">
        <f>HYPERLINK("http://service.sap.com/sap/support/notes/1969913","1969913")</f>
        <v>1969913</v>
      </c>
      <c r="D4443">
        <v>3</v>
      </c>
      <c r="E4443" t="s">
        <v>3197</v>
      </c>
      <c r="F4443" t="s">
        <v>9</v>
      </c>
    </row>
    <row r="4444" spans="1:6" x14ac:dyDescent="0.3">
      <c r="A4444" t="s">
        <v>894</v>
      </c>
      <c r="B4444" t="s">
        <v>895</v>
      </c>
      <c r="C4444" t="str">
        <f>HYPERLINK("http://service.sap.com/sap/support/notes/1974381","1974381")</f>
        <v>1974381</v>
      </c>
      <c r="D4444">
        <v>9</v>
      </c>
      <c r="E4444" t="s">
        <v>3198</v>
      </c>
      <c r="F4444" t="s">
        <v>28</v>
      </c>
    </row>
    <row r="4445" spans="1:6" x14ac:dyDescent="0.3">
      <c r="A4445" t="s">
        <v>894</v>
      </c>
      <c r="B4445" t="s">
        <v>895</v>
      </c>
      <c r="C4445" t="str">
        <f>HYPERLINK("http://service.sap.com/sap/support/notes/1975835","1975835")</f>
        <v>1975835</v>
      </c>
      <c r="D4445">
        <v>20</v>
      </c>
      <c r="E4445" t="s">
        <v>3199</v>
      </c>
      <c r="F4445" t="s">
        <v>9</v>
      </c>
    </row>
    <row r="4446" spans="1:6" x14ac:dyDescent="0.3">
      <c r="A4446" t="s">
        <v>894</v>
      </c>
      <c r="B4446" t="s">
        <v>895</v>
      </c>
      <c r="C4446" t="str">
        <f>HYPERLINK("http://service.sap.com/sap/support/notes/1980594","1980594")</f>
        <v>1980594</v>
      </c>
      <c r="D4446">
        <v>5</v>
      </c>
      <c r="E4446" t="s">
        <v>3200</v>
      </c>
      <c r="F4446" t="s">
        <v>28</v>
      </c>
    </row>
    <row r="4447" spans="1:6" x14ac:dyDescent="0.3">
      <c r="A4447" t="s">
        <v>894</v>
      </c>
      <c r="B4447" t="s">
        <v>895</v>
      </c>
      <c r="C4447" t="str">
        <f>HYPERLINK("http://service.sap.com/sap/support/notes/1894107","1894107")</f>
        <v>1894107</v>
      </c>
      <c r="D4447">
        <v>5</v>
      </c>
      <c r="E4447" t="s">
        <v>3848</v>
      </c>
      <c r="F4447" t="s">
        <v>9</v>
      </c>
    </row>
    <row r="4448" spans="1:6" x14ac:dyDescent="0.3">
      <c r="A4448" t="s">
        <v>894</v>
      </c>
      <c r="B4448" t="s">
        <v>1358</v>
      </c>
      <c r="C4448" t="str">
        <f>HYPERLINK("http://service.sap.com/sap/support/notes/1993502","1993502")</f>
        <v>1993502</v>
      </c>
      <c r="D4448">
        <v>22</v>
      </c>
      <c r="E4448" t="s">
        <v>4330</v>
      </c>
      <c r="F4448" t="s">
        <v>28</v>
      </c>
    </row>
    <row r="4449" spans="1:6" x14ac:dyDescent="0.3">
      <c r="A4449" t="s">
        <v>894</v>
      </c>
      <c r="B4449" t="s">
        <v>1358</v>
      </c>
      <c r="C4449" t="str">
        <f>HYPERLINK("http://service.sap.com/sap/support/notes/1995193","1995193")</f>
        <v>1995193</v>
      </c>
      <c r="D4449">
        <v>9</v>
      </c>
      <c r="E4449" t="s">
        <v>4640</v>
      </c>
      <c r="F4449" t="s">
        <v>28</v>
      </c>
    </row>
    <row r="4450" spans="1:6" x14ac:dyDescent="0.3">
      <c r="A4450" t="s">
        <v>894</v>
      </c>
      <c r="B4450" t="s">
        <v>1358</v>
      </c>
      <c r="C4450" t="str">
        <f>HYPERLINK("http://service.sap.com/sap/support/notes/1995393","1995393")</f>
        <v>1995393</v>
      </c>
      <c r="D4450">
        <v>16</v>
      </c>
      <c r="E4450" t="s">
        <v>4641</v>
      </c>
      <c r="F4450" t="s">
        <v>16</v>
      </c>
    </row>
    <row r="4451" spans="1:6" x14ac:dyDescent="0.3">
      <c r="A4451" t="s">
        <v>894</v>
      </c>
      <c r="B4451" t="s">
        <v>1358</v>
      </c>
      <c r="C4451" t="str">
        <f>HYPERLINK("http://service.sap.com/sap/support/notes/2027254","2027254")</f>
        <v>2027254</v>
      </c>
      <c r="D4451">
        <v>4</v>
      </c>
      <c r="E4451" t="s">
        <v>4642</v>
      </c>
      <c r="F4451" t="s">
        <v>28</v>
      </c>
    </row>
    <row r="4452" spans="1:6" x14ac:dyDescent="0.3">
      <c r="A4452" t="s">
        <v>894</v>
      </c>
      <c r="B4452" t="s">
        <v>1358</v>
      </c>
      <c r="C4452" t="str">
        <f>HYPERLINK("http://service.sap.com/sap/support/notes/2031061","2031061")</f>
        <v>2031061</v>
      </c>
      <c r="D4452">
        <v>3</v>
      </c>
      <c r="E4452" t="s">
        <v>5002</v>
      </c>
      <c r="F4452" t="s">
        <v>28</v>
      </c>
    </row>
    <row r="4453" spans="1:6" x14ac:dyDescent="0.3">
      <c r="A4453" t="s">
        <v>894</v>
      </c>
      <c r="B4453" t="s">
        <v>1358</v>
      </c>
      <c r="C4453" t="str">
        <f>HYPERLINK("http://service.sap.com/sap/support/notes/2034352","2034352")</f>
        <v>2034352</v>
      </c>
      <c r="D4453">
        <v>1</v>
      </c>
      <c r="E4453" t="s">
        <v>5003</v>
      </c>
      <c r="F4453" t="s">
        <v>28</v>
      </c>
    </row>
    <row r="4454" spans="1:6" x14ac:dyDescent="0.3">
      <c r="A4454" t="s">
        <v>894</v>
      </c>
      <c r="B4454" t="s">
        <v>1358</v>
      </c>
      <c r="C4454" t="str">
        <f>HYPERLINK("http://service.sap.com/sap/support/notes/1886666","1886666")</f>
        <v>1886666</v>
      </c>
      <c r="D4454">
        <v>2</v>
      </c>
      <c r="E4454" t="s">
        <v>5322</v>
      </c>
      <c r="F4454" t="s">
        <v>9</v>
      </c>
    </row>
    <row r="4455" spans="1:6" x14ac:dyDescent="0.3">
      <c r="A4455" t="s">
        <v>894</v>
      </c>
      <c r="B4455" t="s">
        <v>1358</v>
      </c>
      <c r="C4455" t="str">
        <f>HYPERLINK("http://service.sap.com/sap/support/notes/1961616","1961616")</f>
        <v>1961616</v>
      </c>
      <c r="D4455">
        <v>7</v>
      </c>
      <c r="E4455" t="s">
        <v>5323</v>
      </c>
      <c r="F4455" t="s">
        <v>28</v>
      </c>
    </row>
    <row r="4456" spans="1:6" x14ac:dyDescent="0.3">
      <c r="A4456" t="s">
        <v>894</v>
      </c>
      <c r="B4456" t="s">
        <v>1358</v>
      </c>
      <c r="C4456" t="str">
        <f>HYPERLINK("http://service.sap.com/sap/support/notes/1966047","1966047")</f>
        <v>1966047</v>
      </c>
      <c r="D4456">
        <v>2</v>
      </c>
      <c r="E4456" t="s">
        <v>5324</v>
      </c>
      <c r="F4456" t="s">
        <v>28</v>
      </c>
    </row>
    <row r="4457" spans="1:6" x14ac:dyDescent="0.3">
      <c r="A4457" t="s">
        <v>894</v>
      </c>
      <c r="B4457" t="s">
        <v>1358</v>
      </c>
      <c r="C4457" t="str">
        <f>HYPERLINK("http://service.sap.com/sap/support/notes/1988572","1988572")</f>
        <v>1988572</v>
      </c>
      <c r="D4457">
        <v>3</v>
      </c>
      <c r="E4457" t="s">
        <v>5659</v>
      </c>
      <c r="F4457" t="s">
        <v>9</v>
      </c>
    </row>
    <row r="4458" spans="1:6" x14ac:dyDescent="0.3">
      <c r="A4458" t="s">
        <v>894</v>
      </c>
      <c r="B4458" t="s">
        <v>1358</v>
      </c>
      <c r="C4458" t="str">
        <f>HYPERLINK("http://service.sap.com/sap/support/notes/2033104","2033104")</f>
        <v>2033104</v>
      </c>
      <c r="D4458">
        <v>4</v>
      </c>
      <c r="E4458" t="s">
        <v>5660</v>
      </c>
      <c r="F4458" t="s">
        <v>28</v>
      </c>
    </row>
    <row r="4459" spans="1:6" x14ac:dyDescent="0.3">
      <c r="A4459" t="s">
        <v>894</v>
      </c>
      <c r="B4459" t="s">
        <v>1358</v>
      </c>
      <c r="C4459" t="str">
        <f>HYPERLINK("http://service.sap.com/sap/support/notes/2039341","2039341")</f>
        <v>2039341</v>
      </c>
      <c r="D4459">
        <v>2</v>
      </c>
      <c r="E4459" t="s">
        <v>5661</v>
      </c>
      <c r="F4459" t="s">
        <v>28</v>
      </c>
    </row>
    <row r="4460" spans="1:6" x14ac:dyDescent="0.3">
      <c r="A4460" t="s">
        <v>902</v>
      </c>
      <c r="B4460" t="s">
        <v>201</v>
      </c>
      <c r="C4460" t="str">
        <f>HYPERLINK("http://service.sap.com/sap/support/notes/1862981","1862981")</f>
        <v>1862981</v>
      </c>
      <c r="D4460">
        <v>1</v>
      </c>
      <c r="E4460" t="s">
        <v>903</v>
      </c>
      <c r="F4460" t="s">
        <v>28</v>
      </c>
    </row>
    <row r="4461" spans="1:6" x14ac:dyDescent="0.3">
      <c r="A4461" t="s">
        <v>902</v>
      </c>
      <c r="B4461" t="s">
        <v>201</v>
      </c>
      <c r="C4461" t="str">
        <f>HYPERLINK("http://service.sap.com/sap/support/notes/1903687","1903687")</f>
        <v>1903687</v>
      </c>
      <c r="D4461">
        <v>1</v>
      </c>
      <c r="E4461" t="s">
        <v>904</v>
      </c>
      <c r="F4461" t="s">
        <v>28</v>
      </c>
    </row>
    <row r="4462" spans="1:6" x14ac:dyDescent="0.3">
      <c r="A4462" t="s">
        <v>902</v>
      </c>
      <c r="B4462" t="s">
        <v>201</v>
      </c>
      <c r="C4462" t="str">
        <f>HYPERLINK("http://service.sap.com/sap/support/notes/1941822","1941822")</f>
        <v>1941822</v>
      </c>
      <c r="D4462">
        <v>1</v>
      </c>
      <c r="E4462" t="s">
        <v>1952</v>
      </c>
      <c r="F4462" t="s">
        <v>9</v>
      </c>
    </row>
    <row r="4463" spans="1:6" x14ac:dyDescent="0.3">
      <c r="A4463" t="s">
        <v>902</v>
      </c>
      <c r="B4463" t="s">
        <v>201</v>
      </c>
      <c r="C4463" t="str">
        <f>HYPERLINK("http://service.sap.com/sap/support/notes/1961184","1961184")</f>
        <v>1961184</v>
      </c>
      <c r="D4463">
        <v>1</v>
      </c>
      <c r="E4463" t="s">
        <v>1953</v>
      </c>
      <c r="F4463" t="s">
        <v>9</v>
      </c>
    </row>
    <row r="4464" spans="1:6" x14ac:dyDescent="0.3">
      <c r="A4464" t="s">
        <v>902</v>
      </c>
      <c r="B4464" t="s">
        <v>201</v>
      </c>
      <c r="C4464" t="str">
        <f>HYPERLINK("http://service.sap.com/sap/support/notes/1975442","1975442")</f>
        <v>1975442</v>
      </c>
      <c r="D4464">
        <v>2</v>
      </c>
      <c r="E4464" t="s">
        <v>3201</v>
      </c>
      <c r="F4464" t="s">
        <v>9</v>
      </c>
    </row>
    <row r="4465" spans="1:6" x14ac:dyDescent="0.3">
      <c r="A4465" t="s">
        <v>902</v>
      </c>
      <c r="B4465" t="s">
        <v>201</v>
      </c>
      <c r="C4465" t="str">
        <f>HYPERLINK("http://service.sap.com/sap/support/notes/1988665","1988665")</f>
        <v>1988665</v>
      </c>
      <c r="D4465">
        <v>1</v>
      </c>
      <c r="E4465" t="s">
        <v>3202</v>
      </c>
      <c r="F4465" t="s">
        <v>9</v>
      </c>
    </row>
    <row r="4466" spans="1:6" x14ac:dyDescent="0.3">
      <c r="A4466" t="s">
        <v>902</v>
      </c>
      <c r="B4466" t="s">
        <v>201</v>
      </c>
      <c r="C4466" t="str">
        <f>HYPERLINK("http://service.sap.com/sap/support/notes/1990611","1990611")</f>
        <v>1990611</v>
      </c>
      <c r="D4466">
        <v>1</v>
      </c>
      <c r="E4466" t="s">
        <v>3203</v>
      </c>
      <c r="F4466" t="s">
        <v>9</v>
      </c>
    </row>
    <row r="4467" spans="1:6" x14ac:dyDescent="0.3">
      <c r="A4467" t="s">
        <v>902</v>
      </c>
      <c r="B4467" t="s">
        <v>201</v>
      </c>
      <c r="C4467" t="str">
        <f>HYPERLINK("http://service.sap.com/sap/support/notes/1958503","1958503")</f>
        <v>1958503</v>
      </c>
      <c r="D4467">
        <v>1</v>
      </c>
      <c r="E4467" t="s">
        <v>3849</v>
      </c>
      <c r="F4467" t="s">
        <v>9</v>
      </c>
    </row>
    <row r="4468" spans="1:6" x14ac:dyDescent="0.3">
      <c r="A4468" t="s">
        <v>902</v>
      </c>
      <c r="B4468" t="s">
        <v>201</v>
      </c>
      <c r="C4468" t="str">
        <f>HYPERLINK("http://service.sap.com/sap/support/notes/1988665","1988665")</f>
        <v>1988665</v>
      </c>
      <c r="D4468">
        <v>1</v>
      </c>
      <c r="E4468" t="s">
        <v>3202</v>
      </c>
      <c r="F4468" t="s">
        <v>9</v>
      </c>
    </row>
    <row r="4469" spans="1:6" x14ac:dyDescent="0.3">
      <c r="A4469" t="s">
        <v>902</v>
      </c>
      <c r="B4469" t="s">
        <v>201</v>
      </c>
      <c r="C4469" t="str">
        <f>HYPERLINK("http://service.sap.com/sap/support/notes/2018119","2018119")</f>
        <v>2018119</v>
      </c>
      <c r="D4469">
        <v>5</v>
      </c>
      <c r="E4469" t="s">
        <v>4331</v>
      </c>
      <c r="F4469" t="s">
        <v>9</v>
      </c>
    </row>
    <row r="4470" spans="1:6" x14ac:dyDescent="0.3">
      <c r="A4470" t="s">
        <v>902</v>
      </c>
      <c r="B4470" t="s">
        <v>201</v>
      </c>
      <c r="C4470" t="str">
        <f>HYPERLINK("http://service.sap.com/sap/support/notes/2018119","2018119")</f>
        <v>2018119</v>
      </c>
      <c r="D4470">
        <v>5</v>
      </c>
      <c r="E4470" t="s">
        <v>4331</v>
      </c>
      <c r="F4470" t="s">
        <v>9</v>
      </c>
    </row>
    <row r="4471" spans="1:6" x14ac:dyDescent="0.3">
      <c r="A4471" t="s">
        <v>902</v>
      </c>
      <c r="B4471" t="s">
        <v>201</v>
      </c>
      <c r="C4471" t="str">
        <f>HYPERLINK("http://service.sap.com/sap/support/notes/2029795","2029795")</f>
        <v>2029795</v>
      </c>
      <c r="D4471">
        <v>2</v>
      </c>
      <c r="E4471" t="s">
        <v>4643</v>
      </c>
      <c r="F4471" t="s">
        <v>9</v>
      </c>
    </row>
    <row r="4472" spans="1:6" x14ac:dyDescent="0.3">
      <c r="A4472" t="s">
        <v>902</v>
      </c>
      <c r="B4472" t="s">
        <v>201</v>
      </c>
      <c r="C4472" t="str">
        <f>HYPERLINK("http://service.sap.com/sap/support/notes/2042206","2042206")</f>
        <v>2042206</v>
      </c>
      <c r="D4472">
        <v>2</v>
      </c>
      <c r="E4472" t="s">
        <v>5325</v>
      </c>
      <c r="F4472" t="s">
        <v>9</v>
      </c>
    </row>
    <row r="4473" spans="1:6" x14ac:dyDescent="0.3">
      <c r="A4473" t="s">
        <v>902</v>
      </c>
      <c r="B4473" t="s">
        <v>201</v>
      </c>
      <c r="C4473" t="str">
        <f>HYPERLINK("http://service.sap.com/sap/support/notes/2067161","2067161")</f>
        <v>2067161</v>
      </c>
      <c r="D4473">
        <v>1</v>
      </c>
      <c r="E4473" t="s">
        <v>5662</v>
      </c>
      <c r="F4473" t="s">
        <v>9</v>
      </c>
    </row>
    <row r="4474" spans="1:6" x14ac:dyDescent="0.3">
      <c r="A4474" t="s">
        <v>902</v>
      </c>
      <c r="B4474" t="s">
        <v>201</v>
      </c>
      <c r="C4474" t="str">
        <f>HYPERLINK("http://service.sap.com/sap/support/notes/2067841","2067841")</f>
        <v>2067841</v>
      </c>
      <c r="D4474">
        <v>1</v>
      </c>
      <c r="E4474" t="s">
        <v>5663</v>
      </c>
      <c r="F4474" t="s">
        <v>9</v>
      </c>
    </row>
    <row r="4475" spans="1:6" x14ac:dyDescent="0.3">
      <c r="A4475" t="s">
        <v>905</v>
      </c>
      <c r="B4475" t="s">
        <v>906</v>
      </c>
      <c r="C4475" t="str">
        <f>HYPERLINK("http://service.sap.com/sap/support/notes/1928650","1928650")</f>
        <v>1928650</v>
      </c>
      <c r="D4475">
        <v>2</v>
      </c>
      <c r="E4475" t="s">
        <v>907</v>
      </c>
      <c r="F4475" t="s">
        <v>28</v>
      </c>
    </row>
    <row r="4476" spans="1:6" x14ac:dyDescent="0.3">
      <c r="A4476" t="s">
        <v>908</v>
      </c>
      <c r="B4476" t="s">
        <v>909</v>
      </c>
      <c r="C4476" t="str">
        <f>HYPERLINK("http://service.sap.com/sap/support/notes/1895744","1895744")</f>
        <v>1895744</v>
      </c>
      <c r="D4476">
        <v>2</v>
      </c>
      <c r="E4476" t="s">
        <v>910</v>
      </c>
      <c r="F4476" t="s">
        <v>9</v>
      </c>
    </row>
    <row r="4477" spans="1:6" x14ac:dyDescent="0.3">
      <c r="A4477" t="s">
        <v>908</v>
      </c>
      <c r="B4477" t="s">
        <v>909</v>
      </c>
      <c r="C4477" t="str">
        <f>HYPERLINK("http://service.sap.com/sap/support/notes/1908580","1908580")</f>
        <v>1908580</v>
      </c>
      <c r="D4477">
        <v>4</v>
      </c>
      <c r="E4477" t="s">
        <v>911</v>
      </c>
      <c r="F4477" t="s">
        <v>9</v>
      </c>
    </row>
    <row r="4478" spans="1:6" x14ac:dyDescent="0.3">
      <c r="A4478" t="s">
        <v>908</v>
      </c>
      <c r="B4478" t="s">
        <v>909</v>
      </c>
      <c r="C4478" t="str">
        <f>HYPERLINK("http://service.sap.com/sap/support/notes/1911662","1911662")</f>
        <v>1911662</v>
      </c>
      <c r="D4478">
        <v>3</v>
      </c>
      <c r="E4478" t="s">
        <v>912</v>
      </c>
      <c r="F4478" t="s">
        <v>9</v>
      </c>
    </row>
    <row r="4479" spans="1:6" x14ac:dyDescent="0.3">
      <c r="A4479" t="s">
        <v>908</v>
      </c>
      <c r="B4479" t="s">
        <v>909</v>
      </c>
      <c r="C4479" t="str">
        <f>HYPERLINK("http://service.sap.com/sap/support/notes/1915444","1915444")</f>
        <v>1915444</v>
      </c>
      <c r="D4479">
        <v>4</v>
      </c>
      <c r="E4479" t="s">
        <v>913</v>
      </c>
      <c r="F4479" t="s">
        <v>9</v>
      </c>
    </row>
    <row r="4480" spans="1:6" x14ac:dyDescent="0.3">
      <c r="A4480" t="s">
        <v>908</v>
      </c>
      <c r="B4480" t="s">
        <v>909</v>
      </c>
      <c r="C4480" t="str">
        <f>HYPERLINK("http://service.sap.com/sap/support/notes/1916783","1916783")</f>
        <v>1916783</v>
      </c>
      <c r="D4480">
        <v>6</v>
      </c>
      <c r="E4480" t="s">
        <v>914</v>
      </c>
      <c r="F4480" t="s">
        <v>9</v>
      </c>
    </row>
    <row r="4481" spans="1:6" x14ac:dyDescent="0.3">
      <c r="A4481" t="s">
        <v>908</v>
      </c>
      <c r="B4481" t="s">
        <v>909</v>
      </c>
      <c r="C4481" t="str">
        <f>HYPERLINK("http://service.sap.com/sap/support/notes/1918939","1918939")</f>
        <v>1918939</v>
      </c>
      <c r="D4481">
        <v>5</v>
      </c>
      <c r="E4481" t="s">
        <v>915</v>
      </c>
      <c r="F4481" t="s">
        <v>9</v>
      </c>
    </row>
    <row r="4482" spans="1:6" x14ac:dyDescent="0.3">
      <c r="A4482" t="s">
        <v>908</v>
      </c>
      <c r="B4482" t="s">
        <v>909</v>
      </c>
      <c r="C4482" t="str">
        <f>HYPERLINK("http://service.sap.com/sap/support/notes/1920990","1920990")</f>
        <v>1920990</v>
      </c>
      <c r="D4482">
        <v>2</v>
      </c>
      <c r="E4482" t="s">
        <v>916</v>
      </c>
      <c r="F4482" t="s">
        <v>9</v>
      </c>
    </row>
    <row r="4483" spans="1:6" x14ac:dyDescent="0.3">
      <c r="A4483" t="s">
        <v>908</v>
      </c>
      <c r="B4483" t="s">
        <v>909</v>
      </c>
      <c r="C4483" t="str">
        <f>HYPERLINK("http://service.sap.com/sap/support/notes/1922360","1922360")</f>
        <v>1922360</v>
      </c>
      <c r="D4483">
        <v>3</v>
      </c>
      <c r="E4483" t="s">
        <v>917</v>
      </c>
      <c r="F4483" t="s">
        <v>9</v>
      </c>
    </row>
    <row r="4484" spans="1:6" x14ac:dyDescent="0.3">
      <c r="A4484" t="s">
        <v>908</v>
      </c>
      <c r="B4484" t="s">
        <v>909</v>
      </c>
      <c r="C4484" t="str">
        <f>HYPERLINK("http://service.sap.com/sap/support/notes/1926383","1926383")</f>
        <v>1926383</v>
      </c>
      <c r="D4484">
        <v>1</v>
      </c>
      <c r="E4484" t="s">
        <v>918</v>
      </c>
      <c r="F4484" t="s">
        <v>9</v>
      </c>
    </row>
    <row r="4485" spans="1:6" x14ac:dyDescent="0.3">
      <c r="A4485" t="s">
        <v>908</v>
      </c>
      <c r="B4485" t="s">
        <v>1362</v>
      </c>
      <c r="C4485" t="str">
        <f>HYPERLINK("http://service.sap.com/sap/support/notes/1879479","1879479")</f>
        <v>1879479</v>
      </c>
      <c r="D4485">
        <v>1</v>
      </c>
      <c r="E4485" t="s">
        <v>1363</v>
      </c>
      <c r="F4485" t="s">
        <v>9</v>
      </c>
    </row>
    <row r="4486" spans="1:6" x14ac:dyDescent="0.3">
      <c r="A4486" t="s">
        <v>908</v>
      </c>
      <c r="B4486" t="s">
        <v>1362</v>
      </c>
      <c r="C4486" t="str">
        <f>HYPERLINK("http://service.sap.com/sap/support/notes/1928316","1928316")</f>
        <v>1928316</v>
      </c>
      <c r="D4486">
        <v>4</v>
      </c>
      <c r="E4486" t="s">
        <v>1364</v>
      </c>
      <c r="F4486" t="s">
        <v>9</v>
      </c>
    </row>
    <row r="4487" spans="1:6" x14ac:dyDescent="0.3">
      <c r="A4487" t="s">
        <v>908</v>
      </c>
      <c r="B4487" t="s">
        <v>1362</v>
      </c>
      <c r="C4487" t="str">
        <f>HYPERLINK("http://service.sap.com/sap/support/notes/1933855","1933855")</f>
        <v>1933855</v>
      </c>
      <c r="D4487">
        <v>2</v>
      </c>
      <c r="E4487" t="s">
        <v>1365</v>
      </c>
      <c r="F4487" t="s">
        <v>9</v>
      </c>
    </row>
    <row r="4488" spans="1:6" x14ac:dyDescent="0.3">
      <c r="A4488" t="s">
        <v>908</v>
      </c>
      <c r="B4488" t="s">
        <v>1362</v>
      </c>
      <c r="C4488" t="str">
        <f>HYPERLINK("http://service.sap.com/sap/support/notes/1939001","1939001")</f>
        <v>1939001</v>
      </c>
      <c r="D4488">
        <v>2</v>
      </c>
      <c r="E4488" t="s">
        <v>1366</v>
      </c>
      <c r="F4488" t="s">
        <v>9</v>
      </c>
    </row>
    <row r="4489" spans="1:6" x14ac:dyDescent="0.3">
      <c r="A4489" t="s">
        <v>908</v>
      </c>
      <c r="B4489" t="s">
        <v>909</v>
      </c>
      <c r="C4489" t="str">
        <f>HYPERLINK("http://service.sap.com/sap/support/notes/1932758","1932758")</f>
        <v>1932758</v>
      </c>
      <c r="D4489">
        <v>5</v>
      </c>
      <c r="E4489" t="s">
        <v>1954</v>
      </c>
      <c r="F4489" t="s">
        <v>9</v>
      </c>
    </row>
    <row r="4490" spans="1:6" x14ac:dyDescent="0.3">
      <c r="A4490" t="s">
        <v>908</v>
      </c>
      <c r="B4490" t="s">
        <v>909</v>
      </c>
      <c r="C4490" t="str">
        <f>HYPERLINK("http://service.sap.com/sap/support/notes/1936430","1936430")</f>
        <v>1936430</v>
      </c>
      <c r="D4490">
        <v>5</v>
      </c>
      <c r="E4490" t="s">
        <v>1955</v>
      </c>
      <c r="F4490" t="s">
        <v>9</v>
      </c>
    </row>
    <row r="4491" spans="1:6" x14ac:dyDescent="0.3">
      <c r="A4491" t="s">
        <v>908</v>
      </c>
      <c r="B4491" t="s">
        <v>909</v>
      </c>
      <c r="C4491" t="str">
        <f>HYPERLINK("http://service.sap.com/sap/support/notes/1936791","1936791")</f>
        <v>1936791</v>
      </c>
      <c r="D4491">
        <v>2</v>
      </c>
      <c r="E4491" t="s">
        <v>1956</v>
      </c>
      <c r="F4491" t="s">
        <v>9</v>
      </c>
    </row>
    <row r="4492" spans="1:6" x14ac:dyDescent="0.3">
      <c r="A4492" t="s">
        <v>908</v>
      </c>
      <c r="B4492" t="s">
        <v>909</v>
      </c>
      <c r="C4492" t="str">
        <f>HYPERLINK("http://service.sap.com/sap/support/notes/1941221","1941221")</f>
        <v>1941221</v>
      </c>
      <c r="D4492">
        <v>6</v>
      </c>
      <c r="E4492" t="s">
        <v>1957</v>
      </c>
      <c r="F4492" t="s">
        <v>9</v>
      </c>
    </row>
    <row r="4493" spans="1:6" x14ac:dyDescent="0.3">
      <c r="A4493" t="s">
        <v>908</v>
      </c>
      <c r="B4493" t="s">
        <v>909</v>
      </c>
      <c r="C4493" t="str">
        <f>HYPERLINK("http://service.sap.com/sap/support/notes/1942013","1942013")</f>
        <v>1942013</v>
      </c>
      <c r="D4493">
        <v>1</v>
      </c>
      <c r="E4493" t="s">
        <v>1958</v>
      </c>
      <c r="F4493" t="s">
        <v>9</v>
      </c>
    </row>
    <row r="4494" spans="1:6" x14ac:dyDescent="0.3">
      <c r="A4494" t="s">
        <v>908</v>
      </c>
      <c r="B4494" t="s">
        <v>909</v>
      </c>
      <c r="C4494" t="str">
        <f>HYPERLINK("http://service.sap.com/sap/support/notes/1942835","1942835")</f>
        <v>1942835</v>
      </c>
      <c r="D4494">
        <v>2</v>
      </c>
      <c r="E4494" t="s">
        <v>1959</v>
      </c>
      <c r="F4494" t="s">
        <v>16</v>
      </c>
    </row>
    <row r="4495" spans="1:6" x14ac:dyDescent="0.3">
      <c r="A4495" t="s">
        <v>908</v>
      </c>
      <c r="B4495" t="s">
        <v>909</v>
      </c>
      <c r="C4495" t="str">
        <f>HYPERLINK("http://service.sap.com/sap/support/notes/1950628","1950628")</f>
        <v>1950628</v>
      </c>
      <c r="D4495">
        <v>4</v>
      </c>
      <c r="E4495" t="s">
        <v>1960</v>
      </c>
      <c r="F4495" t="s">
        <v>9</v>
      </c>
    </row>
    <row r="4496" spans="1:6" x14ac:dyDescent="0.3">
      <c r="A4496" t="s">
        <v>908</v>
      </c>
      <c r="B4496" t="s">
        <v>909</v>
      </c>
      <c r="C4496" t="str">
        <f>HYPERLINK("http://service.sap.com/sap/support/notes/1951419","1951419")</f>
        <v>1951419</v>
      </c>
      <c r="D4496">
        <v>5</v>
      </c>
      <c r="E4496" t="s">
        <v>1961</v>
      </c>
      <c r="F4496" t="s">
        <v>9</v>
      </c>
    </row>
    <row r="4497" spans="1:6" x14ac:dyDescent="0.3">
      <c r="A4497" t="s">
        <v>908</v>
      </c>
      <c r="B4497" t="s">
        <v>909</v>
      </c>
      <c r="C4497" t="str">
        <f>HYPERLINK("http://service.sap.com/sap/support/notes/1953190","1953190")</f>
        <v>1953190</v>
      </c>
      <c r="D4497">
        <v>3</v>
      </c>
      <c r="E4497" t="s">
        <v>1962</v>
      </c>
      <c r="F4497" t="s">
        <v>9</v>
      </c>
    </row>
    <row r="4498" spans="1:6" x14ac:dyDescent="0.3">
      <c r="A4498" t="s">
        <v>908</v>
      </c>
      <c r="B4498" t="s">
        <v>909</v>
      </c>
      <c r="C4498" t="str">
        <f>HYPERLINK("http://service.sap.com/sap/support/notes/1953779","1953779")</f>
        <v>1953779</v>
      </c>
      <c r="D4498">
        <v>2</v>
      </c>
      <c r="E4498" t="s">
        <v>1963</v>
      </c>
      <c r="F4498" t="s">
        <v>9</v>
      </c>
    </row>
    <row r="4499" spans="1:6" x14ac:dyDescent="0.3">
      <c r="A4499" t="s">
        <v>908</v>
      </c>
      <c r="B4499" t="s">
        <v>909</v>
      </c>
      <c r="C4499" t="str">
        <f>HYPERLINK("http://service.sap.com/sap/support/notes/1954534","1954534")</f>
        <v>1954534</v>
      </c>
      <c r="D4499">
        <v>5</v>
      </c>
      <c r="E4499" t="s">
        <v>1964</v>
      </c>
      <c r="F4499" t="s">
        <v>9</v>
      </c>
    </row>
    <row r="4500" spans="1:6" x14ac:dyDescent="0.3">
      <c r="A4500" t="s">
        <v>908</v>
      </c>
      <c r="B4500" t="s">
        <v>909</v>
      </c>
      <c r="C4500" t="str">
        <f>HYPERLINK("http://service.sap.com/sap/support/notes/1956403","1956403")</f>
        <v>1956403</v>
      </c>
      <c r="D4500">
        <v>3</v>
      </c>
      <c r="E4500" t="s">
        <v>1965</v>
      </c>
      <c r="F4500" t="s">
        <v>9</v>
      </c>
    </row>
    <row r="4501" spans="1:6" x14ac:dyDescent="0.3">
      <c r="A4501" t="s">
        <v>908</v>
      </c>
      <c r="B4501" t="s">
        <v>909</v>
      </c>
      <c r="C4501" t="str">
        <f>HYPERLINK("http://service.sap.com/sap/support/notes/1957349","1957349")</f>
        <v>1957349</v>
      </c>
      <c r="D4501">
        <v>2</v>
      </c>
      <c r="E4501" t="s">
        <v>1966</v>
      </c>
      <c r="F4501" t="s">
        <v>9</v>
      </c>
    </row>
    <row r="4502" spans="1:6" x14ac:dyDescent="0.3">
      <c r="A4502" t="s">
        <v>908</v>
      </c>
      <c r="B4502" t="s">
        <v>909</v>
      </c>
      <c r="C4502" t="str">
        <f>HYPERLINK("http://service.sap.com/sap/support/notes/1958724","1958724")</f>
        <v>1958724</v>
      </c>
      <c r="D4502">
        <v>3</v>
      </c>
      <c r="E4502" t="s">
        <v>1967</v>
      </c>
      <c r="F4502" t="s">
        <v>9</v>
      </c>
    </row>
    <row r="4503" spans="1:6" x14ac:dyDescent="0.3">
      <c r="A4503" t="s">
        <v>908</v>
      </c>
      <c r="B4503" t="s">
        <v>909</v>
      </c>
      <c r="C4503" t="str">
        <f>HYPERLINK("http://service.sap.com/sap/support/notes/1959170","1959170")</f>
        <v>1959170</v>
      </c>
      <c r="D4503">
        <v>10</v>
      </c>
      <c r="E4503" t="s">
        <v>1968</v>
      </c>
      <c r="F4503" t="s">
        <v>9</v>
      </c>
    </row>
    <row r="4504" spans="1:6" x14ac:dyDescent="0.3">
      <c r="A4504" t="s">
        <v>908</v>
      </c>
      <c r="B4504" t="s">
        <v>909</v>
      </c>
      <c r="C4504" t="str">
        <f>HYPERLINK("http://service.sap.com/sap/support/notes/1959705","1959705")</f>
        <v>1959705</v>
      </c>
      <c r="D4504">
        <v>2</v>
      </c>
      <c r="E4504" t="s">
        <v>1969</v>
      </c>
      <c r="F4504" t="s">
        <v>9</v>
      </c>
    </row>
    <row r="4505" spans="1:6" x14ac:dyDescent="0.3">
      <c r="A4505" t="s">
        <v>908</v>
      </c>
      <c r="B4505" t="s">
        <v>909</v>
      </c>
      <c r="C4505" t="str">
        <f>HYPERLINK("http://service.sap.com/sap/support/notes/1959783","1959783")</f>
        <v>1959783</v>
      </c>
      <c r="D4505">
        <v>1</v>
      </c>
      <c r="E4505" t="s">
        <v>1970</v>
      </c>
      <c r="F4505" t="s">
        <v>16</v>
      </c>
    </row>
    <row r="4506" spans="1:6" x14ac:dyDescent="0.3">
      <c r="A4506" t="s">
        <v>908</v>
      </c>
      <c r="B4506" t="s">
        <v>909</v>
      </c>
      <c r="C4506" t="str">
        <f>HYPERLINK("http://service.sap.com/sap/support/notes/1960456","1960456")</f>
        <v>1960456</v>
      </c>
      <c r="D4506">
        <v>6</v>
      </c>
      <c r="E4506" t="s">
        <v>1971</v>
      </c>
      <c r="F4506" t="s">
        <v>9</v>
      </c>
    </row>
    <row r="4507" spans="1:6" x14ac:dyDescent="0.3">
      <c r="A4507" t="s">
        <v>908</v>
      </c>
      <c r="B4507" t="s">
        <v>1362</v>
      </c>
      <c r="C4507" t="str">
        <f>HYPERLINK("http://service.sap.com/sap/support/notes/1949702","1949702")</f>
        <v>1949702</v>
      </c>
      <c r="D4507">
        <v>2</v>
      </c>
      <c r="E4507" t="s">
        <v>2319</v>
      </c>
      <c r="F4507" t="s">
        <v>9</v>
      </c>
    </row>
    <row r="4508" spans="1:6" x14ac:dyDescent="0.3">
      <c r="A4508" t="s">
        <v>908</v>
      </c>
      <c r="B4508" t="s">
        <v>1362</v>
      </c>
      <c r="C4508" t="str">
        <f>HYPERLINK("http://service.sap.com/sap/support/notes/1949899","1949899")</f>
        <v>1949899</v>
      </c>
      <c r="D4508">
        <v>4</v>
      </c>
      <c r="E4508" t="s">
        <v>2320</v>
      </c>
      <c r="F4508" t="s">
        <v>9</v>
      </c>
    </row>
    <row r="4509" spans="1:6" x14ac:dyDescent="0.3">
      <c r="A4509" t="s">
        <v>908</v>
      </c>
      <c r="B4509" t="s">
        <v>1362</v>
      </c>
      <c r="C4509" t="str">
        <f>HYPERLINK("http://service.sap.com/sap/support/notes/1953190","1953190")</f>
        <v>1953190</v>
      </c>
      <c r="D4509">
        <v>3</v>
      </c>
      <c r="E4509" t="s">
        <v>1962</v>
      </c>
      <c r="F4509" t="s">
        <v>9</v>
      </c>
    </row>
    <row r="4510" spans="1:6" x14ac:dyDescent="0.3">
      <c r="A4510" t="s">
        <v>908</v>
      </c>
      <c r="B4510" t="s">
        <v>1362</v>
      </c>
      <c r="C4510" t="str">
        <f>HYPERLINK("http://service.sap.com/sap/support/notes/1955789","1955789")</f>
        <v>1955789</v>
      </c>
      <c r="D4510">
        <v>2</v>
      </c>
      <c r="E4510" t="s">
        <v>2321</v>
      </c>
      <c r="F4510" t="s">
        <v>9</v>
      </c>
    </row>
    <row r="4511" spans="1:6" x14ac:dyDescent="0.3">
      <c r="A4511" t="s">
        <v>908</v>
      </c>
      <c r="B4511" t="s">
        <v>1362</v>
      </c>
      <c r="C4511" t="str">
        <f>HYPERLINK("http://service.sap.com/sap/support/notes/1960456","1960456")</f>
        <v>1960456</v>
      </c>
      <c r="D4511">
        <v>6</v>
      </c>
      <c r="E4511" t="s">
        <v>1971</v>
      </c>
      <c r="F4511" t="s">
        <v>9</v>
      </c>
    </row>
    <row r="4512" spans="1:6" x14ac:dyDescent="0.3">
      <c r="A4512" t="s">
        <v>908</v>
      </c>
      <c r="B4512" t="s">
        <v>1362</v>
      </c>
      <c r="C4512" t="str">
        <f>HYPERLINK("http://service.sap.com/sap/support/notes/1965181","1965181")</f>
        <v>1965181</v>
      </c>
      <c r="D4512">
        <v>2</v>
      </c>
      <c r="E4512" t="s">
        <v>2322</v>
      </c>
      <c r="F4512" t="s">
        <v>28</v>
      </c>
    </row>
    <row r="4513" spans="1:6" x14ac:dyDescent="0.3">
      <c r="A4513" t="s">
        <v>908</v>
      </c>
      <c r="B4513" t="s">
        <v>1362</v>
      </c>
      <c r="C4513" t="str">
        <f>HYPERLINK("http://service.sap.com/sap/support/notes/1965224","1965224")</f>
        <v>1965224</v>
      </c>
      <c r="D4513">
        <v>6</v>
      </c>
      <c r="E4513" t="s">
        <v>2323</v>
      </c>
      <c r="F4513" t="s">
        <v>9</v>
      </c>
    </row>
    <row r="4514" spans="1:6" x14ac:dyDescent="0.3">
      <c r="A4514" t="s">
        <v>908</v>
      </c>
      <c r="B4514" t="s">
        <v>1362</v>
      </c>
      <c r="C4514" t="str">
        <f>HYPERLINK("http://service.sap.com/sap/support/notes/1967180","1967180")</f>
        <v>1967180</v>
      </c>
      <c r="D4514">
        <v>3</v>
      </c>
      <c r="E4514" t="s">
        <v>2324</v>
      </c>
      <c r="F4514" t="s">
        <v>9</v>
      </c>
    </row>
    <row r="4515" spans="1:6" x14ac:dyDescent="0.3">
      <c r="A4515" t="s">
        <v>908</v>
      </c>
      <c r="B4515" t="s">
        <v>1362</v>
      </c>
      <c r="C4515" t="str">
        <f>HYPERLINK("http://service.sap.com/sap/support/notes/1967550","1967550")</f>
        <v>1967550</v>
      </c>
      <c r="D4515">
        <v>1</v>
      </c>
      <c r="E4515" t="s">
        <v>2325</v>
      </c>
      <c r="F4515" t="s">
        <v>9</v>
      </c>
    </row>
    <row r="4516" spans="1:6" x14ac:dyDescent="0.3">
      <c r="A4516" t="s">
        <v>908</v>
      </c>
      <c r="B4516" t="s">
        <v>1362</v>
      </c>
      <c r="C4516" t="str">
        <f>HYPERLINK("http://service.sap.com/sap/support/notes/1968533","1968533")</f>
        <v>1968533</v>
      </c>
      <c r="D4516">
        <v>1</v>
      </c>
      <c r="E4516" t="s">
        <v>2326</v>
      </c>
      <c r="F4516" t="s">
        <v>9</v>
      </c>
    </row>
    <row r="4517" spans="1:6" x14ac:dyDescent="0.3">
      <c r="A4517" t="s">
        <v>908</v>
      </c>
      <c r="B4517" t="s">
        <v>1362</v>
      </c>
      <c r="C4517" t="str">
        <f>HYPERLINK("http://service.sap.com/sap/support/notes/1968852","1968852")</f>
        <v>1968852</v>
      </c>
      <c r="D4517">
        <v>2</v>
      </c>
      <c r="E4517" t="s">
        <v>2327</v>
      </c>
      <c r="F4517" t="s">
        <v>9</v>
      </c>
    </row>
    <row r="4518" spans="1:6" x14ac:dyDescent="0.3">
      <c r="A4518" t="s">
        <v>908</v>
      </c>
      <c r="B4518" t="s">
        <v>1362</v>
      </c>
      <c r="C4518" t="str">
        <f>HYPERLINK("http://service.sap.com/sap/support/notes/1968858","1968858")</f>
        <v>1968858</v>
      </c>
      <c r="D4518">
        <v>1</v>
      </c>
      <c r="E4518" t="s">
        <v>2328</v>
      </c>
      <c r="F4518" t="s">
        <v>9</v>
      </c>
    </row>
    <row r="4519" spans="1:6" x14ac:dyDescent="0.3">
      <c r="A4519" t="s">
        <v>908</v>
      </c>
      <c r="B4519" t="s">
        <v>1362</v>
      </c>
      <c r="C4519" t="str">
        <f>HYPERLINK("http://service.sap.com/sap/support/notes/1970225","1970225")</f>
        <v>1970225</v>
      </c>
      <c r="D4519">
        <v>1</v>
      </c>
      <c r="E4519" t="s">
        <v>2329</v>
      </c>
      <c r="F4519" t="s">
        <v>9</v>
      </c>
    </row>
    <row r="4520" spans="1:6" x14ac:dyDescent="0.3">
      <c r="A4520" t="s">
        <v>908</v>
      </c>
      <c r="B4520" t="s">
        <v>1362</v>
      </c>
      <c r="C4520" t="str">
        <f>HYPERLINK("http://service.sap.com/sap/support/notes/1941285","1941285")</f>
        <v>1941285</v>
      </c>
      <c r="D4520">
        <v>9</v>
      </c>
      <c r="E4520" t="s">
        <v>2728</v>
      </c>
      <c r="F4520" t="s">
        <v>9</v>
      </c>
    </row>
    <row r="4521" spans="1:6" x14ac:dyDescent="0.3">
      <c r="A4521" t="s">
        <v>908</v>
      </c>
      <c r="B4521" t="s">
        <v>1362</v>
      </c>
      <c r="C4521" t="str">
        <f>HYPERLINK("http://service.sap.com/sap/support/notes/1947295","1947295")</f>
        <v>1947295</v>
      </c>
      <c r="D4521">
        <v>3</v>
      </c>
      <c r="E4521" t="s">
        <v>2729</v>
      </c>
      <c r="F4521" t="s">
        <v>9</v>
      </c>
    </row>
    <row r="4522" spans="1:6" x14ac:dyDescent="0.3">
      <c r="A4522" t="s">
        <v>908</v>
      </c>
      <c r="B4522" t="s">
        <v>1362</v>
      </c>
      <c r="C4522" t="str">
        <f>HYPERLINK("http://service.sap.com/sap/support/notes/1958551","1958551")</f>
        <v>1958551</v>
      </c>
      <c r="D4522">
        <v>2</v>
      </c>
      <c r="E4522" t="s">
        <v>2730</v>
      </c>
      <c r="F4522" t="s">
        <v>9</v>
      </c>
    </row>
    <row r="4523" spans="1:6" x14ac:dyDescent="0.3">
      <c r="A4523" t="s">
        <v>908</v>
      </c>
      <c r="B4523" t="s">
        <v>1362</v>
      </c>
      <c r="C4523" t="str">
        <f>HYPERLINK("http://service.sap.com/sap/support/notes/1960480","1960480")</f>
        <v>1960480</v>
      </c>
      <c r="D4523">
        <v>5</v>
      </c>
      <c r="E4523" t="s">
        <v>2731</v>
      </c>
      <c r="F4523" t="s">
        <v>9</v>
      </c>
    </row>
    <row r="4524" spans="1:6" x14ac:dyDescent="0.3">
      <c r="A4524" t="s">
        <v>908</v>
      </c>
      <c r="B4524" t="s">
        <v>1362</v>
      </c>
      <c r="C4524" t="str">
        <f>HYPERLINK("http://service.sap.com/sap/support/notes/1962732","1962732")</f>
        <v>1962732</v>
      </c>
      <c r="D4524">
        <v>4</v>
      </c>
      <c r="E4524" t="s">
        <v>2732</v>
      </c>
      <c r="F4524" t="s">
        <v>9</v>
      </c>
    </row>
    <row r="4525" spans="1:6" x14ac:dyDescent="0.3">
      <c r="A4525" t="s">
        <v>908</v>
      </c>
      <c r="B4525" t="s">
        <v>1362</v>
      </c>
      <c r="C4525" t="str">
        <f>HYPERLINK("http://service.sap.com/sap/support/notes/1971245","1971245")</f>
        <v>1971245</v>
      </c>
      <c r="D4525">
        <v>3</v>
      </c>
      <c r="E4525" t="s">
        <v>2733</v>
      </c>
      <c r="F4525" t="s">
        <v>9</v>
      </c>
    </row>
    <row r="4526" spans="1:6" x14ac:dyDescent="0.3">
      <c r="A4526" t="s">
        <v>908</v>
      </c>
      <c r="B4526" t="s">
        <v>1362</v>
      </c>
      <c r="C4526" t="str">
        <f>HYPERLINK("http://service.sap.com/sap/support/notes/1975377","1975377")</f>
        <v>1975377</v>
      </c>
      <c r="D4526">
        <v>4</v>
      </c>
      <c r="E4526" t="s">
        <v>2734</v>
      </c>
      <c r="F4526" t="s">
        <v>9</v>
      </c>
    </row>
    <row r="4527" spans="1:6" x14ac:dyDescent="0.3">
      <c r="A4527" t="s">
        <v>908</v>
      </c>
      <c r="B4527" t="s">
        <v>1362</v>
      </c>
      <c r="C4527" t="str">
        <f>HYPERLINK("http://service.sap.com/sap/support/notes/1979458","1979458")</f>
        <v>1979458</v>
      </c>
      <c r="D4527">
        <v>12</v>
      </c>
      <c r="E4527" t="s">
        <v>2735</v>
      </c>
      <c r="F4527" t="s">
        <v>9</v>
      </c>
    </row>
    <row r="4528" spans="1:6" x14ac:dyDescent="0.3">
      <c r="A4528" t="s">
        <v>908</v>
      </c>
      <c r="B4528" t="s">
        <v>909</v>
      </c>
      <c r="C4528" t="str">
        <f>HYPERLINK("http://service.sap.com/sap/support/notes/1959666","1959666")</f>
        <v>1959666</v>
      </c>
      <c r="D4528">
        <v>1</v>
      </c>
      <c r="E4528" t="s">
        <v>3204</v>
      </c>
      <c r="F4528" t="s">
        <v>9</v>
      </c>
    </row>
    <row r="4529" spans="1:6" x14ac:dyDescent="0.3">
      <c r="A4529" t="s">
        <v>908</v>
      </c>
      <c r="B4529" t="s">
        <v>909</v>
      </c>
      <c r="C4529" t="str">
        <f>HYPERLINK("http://service.sap.com/sap/support/notes/1979458","1979458")</f>
        <v>1979458</v>
      </c>
      <c r="D4529">
        <v>12</v>
      </c>
      <c r="E4529" t="s">
        <v>3205</v>
      </c>
      <c r="F4529" t="s">
        <v>9</v>
      </c>
    </row>
    <row r="4530" spans="1:6" x14ac:dyDescent="0.3">
      <c r="A4530" t="s">
        <v>908</v>
      </c>
      <c r="B4530" t="s">
        <v>909</v>
      </c>
      <c r="C4530" t="str">
        <f>HYPERLINK("http://service.sap.com/sap/support/notes/1983299","1983299")</f>
        <v>1983299</v>
      </c>
      <c r="D4530">
        <v>3</v>
      </c>
      <c r="E4530" t="s">
        <v>3206</v>
      </c>
      <c r="F4530" t="s">
        <v>9</v>
      </c>
    </row>
    <row r="4531" spans="1:6" x14ac:dyDescent="0.3">
      <c r="A4531" t="s">
        <v>908</v>
      </c>
      <c r="B4531" t="s">
        <v>909</v>
      </c>
      <c r="C4531" t="str">
        <f>HYPERLINK("http://service.sap.com/sap/support/notes/1993199","1993199")</f>
        <v>1993199</v>
      </c>
      <c r="D4531">
        <v>3</v>
      </c>
      <c r="E4531" t="s">
        <v>3207</v>
      </c>
      <c r="F4531" t="s">
        <v>9</v>
      </c>
    </row>
    <row r="4532" spans="1:6" x14ac:dyDescent="0.3">
      <c r="A4532" t="s">
        <v>908</v>
      </c>
      <c r="B4532" t="s">
        <v>909</v>
      </c>
      <c r="C4532" t="str">
        <f>HYPERLINK("http://service.sap.com/sap/support/notes/1993717","1993717")</f>
        <v>1993717</v>
      </c>
      <c r="D4532">
        <v>3</v>
      </c>
      <c r="E4532" t="s">
        <v>3208</v>
      </c>
      <c r="F4532" t="s">
        <v>9</v>
      </c>
    </row>
    <row r="4533" spans="1:6" x14ac:dyDescent="0.3">
      <c r="A4533" t="s">
        <v>908</v>
      </c>
      <c r="B4533" t="s">
        <v>909</v>
      </c>
      <c r="C4533" t="str">
        <f>HYPERLINK("http://service.sap.com/sap/support/notes/1993752","1993752")</f>
        <v>1993752</v>
      </c>
      <c r="D4533">
        <v>2</v>
      </c>
      <c r="E4533" t="s">
        <v>3209</v>
      </c>
      <c r="F4533" t="s">
        <v>9</v>
      </c>
    </row>
    <row r="4534" spans="1:6" x14ac:dyDescent="0.3">
      <c r="A4534" t="s">
        <v>908</v>
      </c>
      <c r="B4534" t="s">
        <v>909</v>
      </c>
      <c r="C4534" t="str">
        <f>HYPERLINK("http://service.sap.com/sap/support/notes/1993933","1993933")</f>
        <v>1993933</v>
      </c>
      <c r="D4534">
        <v>6</v>
      </c>
      <c r="E4534" t="s">
        <v>3210</v>
      </c>
      <c r="F4534" t="s">
        <v>9</v>
      </c>
    </row>
    <row r="4535" spans="1:6" x14ac:dyDescent="0.3">
      <c r="A4535" t="s">
        <v>908</v>
      </c>
      <c r="B4535" t="s">
        <v>909</v>
      </c>
      <c r="C4535" t="str">
        <f>HYPERLINK("http://service.sap.com/sap/support/notes/1994459","1994459")</f>
        <v>1994459</v>
      </c>
      <c r="D4535">
        <v>1</v>
      </c>
      <c r="E4535" t="s">
        <v>3211</v>
      </c>
      <c r="F4535" t="s">
        <v>9</v>
      </c>
    </row>
    <row r="4536" spans="1:6" x14ac:dyDescent="0.3">
      <c r="A4536" t="s">
        <v>908</v>
      </c>
      <c r="B4536" t="s">
        <v>909</v>
      </c>
      <c r="C4536" t="str">
        <f>HYPERLINK("http://service.sap.com/sap/support/notes/1960480","1960480")</f>
        <v>1960480</v>
      </c>
      <c r="D4536">
        <v>5</v>
      </c>
      <c r="E4536" t="s">
        <v>3850</v>
      </c>
      <c r="F4536" t="s">
        <v>9</v>
      </c>
    </row>
    <row r="4537" spans="1:6" x14ac:dyDescent="0.3">
      <c r="A4537" t="s">
        <v>908</v>
      </c>
      <c r="B4537" t="s">
        <v>909</v>
      </c>
      <c r="C4537" t="str">
        <f>HYPERLINK("http://service.sap.com/sap/support/notes/1994860","1994860")</f>
        <v>1994860</v>
      </c>
      <c r="D4537">
        <v>5</v>
      </c>
      <c r="E4537" t="s">
        <v>3851</v>
      </c>
      <c r="F4537" t="s">
        <v>28</v>
      </c>
    </row>
    <row r="4538" spans="1:6" x14ac:dyDescent="0.3">
      <c r="A4538" t="s">
        <v>908</v>
      </c>
      <c r="B4538" t="s">
        <v>909</v>
      </c>
      <c r="C4538" t="str">
        <f>HYPERLINK("http://service.sap.com/sap/support/notes/1998225","1998225")</f>
        <v>1998225</v>
      </c>
      <c r="D4538">
        <v>1</v>
      </c>
      <c r="E4538" t="s">
        <v>3852</v>
      </c>
      <c r="F4538" t="s">
        <v>9</v>
      </c>
    </row>
    <row r="4539" spans="1:6" x14ac:dyDescent="0.3">
      <c r="A4539" t="s">
        <v>908</v>
      </c>
      <c r="B4539" t="s">
        <v>909</v>
      </c>
      <c r="C4539" t="str">
        <f>HYPERLINK("http://service.sap.com/sap/support/notes/1999201","1999201")</f>
        <v>1999201</v>
      </c>
      <c r="D4539">
        <v>1</v>
      </c>
      <c r="E4539" t="s">
        <v>3853</v>
      </c>
      <c r="F4539" t="s">
        <v>9</v>
      </c>
    </row>
    <row r="4540" spans="1:6" x14ac:dyDescent="0.3">
      <c r="A4540" t="s">
        <v>908</v>
      </c>
      <c r="B4540" t="s">
        <v>909</v>
      </c>
      <c r="C4540" t="str">
        <f>HYPERLINK("http://service.sap.com/sap/support/notes/1999465","1999465")</f>
        <v>1999465</v>
      </c>
      <c r="D4540">
        <v>2</v>
      </c>
      <c r="E4540" t="s">
        <v>3854</v>
      </c>
      <c r="F4540" t="s">
        <v>9</v>
      </c>
    </row>
    <row r="4541" spans="1:6" x14ac:dyDescent="0.3">
      <c r="A4541" t="s">
        <v>908</v>
      </c>
      <c r="B4541" t="s">
        <v>909</v>
      </c>
      <c r="C4541" t="str">
        <f>HYPERLINK("http://service.sap.com/sap/support/notes/1999619","1999619")</f>
        <v>1999619</v>
      </c>
      <c r="D4541">
        <v>1</v>
      </c>
      <c r="E4541" t="s">
        <v>3855</v>
      </c>
      <c r="F4541" t="s">
        <v>9</v>
      </c>
    </row>
    <row r="4542" spans="1:6" x14ac:dyDescent="0.3">
      <c r="A4542" t="s">
        <v>908</v>
      </c>
      <c r="B4542" t="s">
        <v>909</v>
      </c>
      <c r="C4542" t="str">
        <f>HYPERLINK("http://service.sap.com/sap/support/notes/2000093","2000093")</f>
        <v>2000093</v>
      </c>
      <c r="D4542">
        <v>2</v>
      </c>
      <c r="E4542" t="s">
        <v>3856</v>
      </c>
      <c r="F4542" t="s">
        <v>9</v>
      </c>
    </row>
    <row r="4543" spans="1:6" x14ac:dyDescent="0.3">
      <c r="A4543" t="s">
        <v>908</v>
      </c>
      <c r="B4543" t="s">
        <v>909</v>
      </c>
      <c r="C4543" t="str">
        <f>HYPERLINK("http://service.sap.com/sap/support/notes/2002043","2002043")</f>
        <v>2002043</v>
      </c>
      <c r="D4543">
        <v>16</v>
      </c>
      <c r="E4543" t="s">
        <v>3857</v>
      </c>
      <c r="F4543" t="s">
        <v>9</v>
      </c>
    </row>
    <row r="4544" spans="1:6" x14ac:dyDescent="0.3">
      <c r="A4544" t="s">
        <v>908</v>
      </c>
      <c r="B4544" t="s">
        <v>909</v>
      </c>
      <c r="C4544" t="str">
        <f>HYPERLINK("http://service.sap.com/sap/support/notes/2002066","2002066")</f>
        <v>2002066</v>
      </c>
      <c r="D4544">
        <v>1</v>
      </c>
      <c r="E4544" t="s">
        <v>3858</v>
      </c>
      <c r="F4544" t="s">
        <v>9</v>
      </c>
    </row>
    <row r="4545" spans="1:6" x14ac:dyDescent="0.3">
      <c r="A4545" t="s">
        <v>908</v>
      </c>
      <c r="B4545" t="s">
        <v>909</v>
      </c>
      <c r="C4545" t="str">
        <f>HYPERLINK("http://service.sap.com/sap/support/notes/2008995","2008995")</f>
        <v>2008995</v>
      </c>
      <c r="D4545">
        <v>3</v>
      </c>
      <c r="E4545" t="s">
        <v>3859</v>
      </c>
      <c r="F4545" t="s">
        <v>9</v>
      </c>
    </row>
    <row r="4546" spans="1:6" x14ac:dyDescent="0.3">
      <c r="A4546" t="s">
        <v>908</v>
      </c>
      <c r="B4546" t="s">
        <v>909</v>
      </c>
      <c r="C4546" t="str">
        <f>HYPERLINK("http://service.sap.com/sap/support/notes/2009828","2009828")</f>
        <v>2009828</v>
      </c>
      <c r="D4546">
        <v>2</v>
      </c>
      <c r="E4546" t="s">
        <v>3860</v>
      </c>
      <c r="F4546" t="s">
        <v>9</v>
      </c>
    </row>
    <row r="4547" spans="1:6" x14ac:dyDescent="0.3">
      <c r="A4547" t="s">
        <v>908</v>
      </c>
      <c r="B4547" t="s">
        <v>909</v>
      </c>
      <c r="C4547" t="str">
        <f>HYPERLINK("http://service.sap.com/sap/support/notes/2010000","2010000")</f>
        <v>2010000</v>
      </c>
      <c r="D4547">
        <v>2</v>
      </c>
      <c r="E4547" t="s">
        <v>3861</v>
      </c>
      <c r="F4547" t="s">
        <v>9</v>
      </c>
    </row>
    <row r="4548" spans="1:6" x14ac:dyDescent="0.3">
      <c r="A4548" t="s">
        <v>908</v>
      </c>
      <c r="B4548" t="s">
        <v>1362</v>
      </c>
      <c r="C4548" t="str">
        <f>HYPERLINK("http://service.sap.com/sap/support/notes/2003532","2003532")</f>
        <v>2003532</v>
      </c>
      <c r="D4548">
        <v>5</v>
      </c>
      <c r="E4548" t="s">
        <v>4332</v>
      </c>
      <c r="F4548" t="s">
        <v>9</v>
      </c>
    </row>
    <row r="4549" spans="1:6" x14ac:dyDescent="0.3">
      <c r="A4549" t="s">
        <v>908</v>
      </c>
      <c r="B4549" t="s">
        <v>1362</v>
      </c>
      <c r="C4549" t="str">
        <f>HYPERLINK("http://service.sap.com/sap/support/notes/2007564","2007564")</f>
        <v>2007564</v>
      </c>
      <c r="D4549">
        <v>2</v>
      </c>
      <c r="E4549" t="s">
        <v>4333</v>
      </c>
      <c r="F4549" t="s">
        <v>9</v>
      </c>
    </row>
    <row r="4550" spans="1:6" x14ac:dyDescent="0.3">
      <c r="A4550" t="s">
        <v>908</v>
      </c>
      <c r="B4550" t="s">
        <v>1362</v>
      </c>
      <c r="C4550" t="str">
        <f>HYPERLINK("http://service.sap.com/sap/support/notes/2010169","2010169")</f>
        <v>2010169</v>
      </c>
      <c r="D4550">
        <v>17</v>
      </c>
      <c r="E4550" t="s">
        <v>4334</v>
      </c>
      <c r="F4550" t="s">
        <v>9</v>
      </c>
    </row>
    <row r="4551" spans="1:6" x14ac:dyDescent="0.3">
      <c r="A4551" t="s">
        <v>908</v>
      </c>
      <c r="B4551" t="s">
        <v>1362</v>
      </c>
      <c r="C4551" t="str">
        <f>HYPERLINK("http://service.sap.com/sap/support/notes/2011101","2011101")</f>
        <v>2011101</v>
      </c>
      <c r="D4551">
        <v>6</v>
      </c>
      <c r="E4551" t="s">
        <v>4335</v>
      </c>
      <c r="F4551" t="s">
        <v>9</v>
      </c>
    </row>
    <row r="4552" spans="1:6" x14ac:dyDescent="0.3">
      <c r="A4552" t="s">
        <v>908</v>
      </c>
      <c r="B4552" t="s">
        <v>1362</v>
      </c>
      <c r="C4552" t="str">
        <f>HYPERLINK("http://service.sap.com/sap/support/notes/2013486","2013486")</f>
        <v>2013486</v>
      </c>
      <c r="D4552">
        <v>1</v>
      </c>
      <c r="E4552" t="s">
        <v>4336</v>
      </c>
      <c r="F4552" t="s">
        <v>9</v>
      </c>
    </row>
    <row r="4553" spans="1:6" x14ac:dyDescent="0.3">
      <c r="A4553" t="s">
        <v>908</v>
      </c>
      <c r="B4553" t="s">
        <v>1362</v>
      </c>
      <c r="C4553" t="str">
        <f>HYPERLINK("http://service.sap.com/sap/support/notes/2021655","2021655")</f>
        <v>2021655</v>
      </c>
      <c r="D4553">
        <v>6</v>
      </c>
      <c r="E4553" t="s">
        <v>4337</v>
      </c>
      <c r="F4553" t="s">
        <v>9</v>
      </c>
    </row>
    <row r="4554" spans="1:6" x14ac:dyDescent="0.3">
      <c r="A4554" t="s">
        <v>908</v>
      </c>
      <c r="B4554" t="s">
        <v>1362</v>
      </c>
      <c r="C4554" t="str">
        <f>HYPERLINK("http://service.sap.com/sap/support/notes/2021672","2021672")</f>
        <v>2021672</v>
      </c>
      <c r="D4554">
        <v>1</v>
      </c>
      <c r="E4554" t="s">
        <v>4338</v>
      </c>
      <c r="F4554" t="s">
        <v>16</v>
      </c>
    </row>
    <row r="4555" spans="1:6" x14ac:dyDescent="0.3">
      <c r="A4555" t="s">
        <v>908</v>
      </c>
      <c r="B4555" t="s">
        <v>1362</v>
      </c>
      <c r="C4555" t="str">
        <f>HYPERLINK("http://service.sap.com/sap/support/notes/2020092","2020092")</f>
        <v>2020092</v>
      </c>
      <c r="D4555">
        <v>3</v>
      </c>
      <c r="E4555" t="s">
        <v>4644</v>
      </c>
      <c r="F4555" t="s">
        <v>9</v>
      </c>
    </row>
    <row r="4556" spans="1:6" x14ac:dyDescent="0.3">
      <c r="A4556" t="s">
        <v>908</v>
      </c>
      <c r="B4556" t="s">
        <v>1362</v>
      </c>
      <c r="C4556" t="str">
        <f>HYPERLINK("http://service.sap.com/sap/support/notes/2023302","2023302")</f>
        <v>2023302</v>
      </c>
      <c r="D4556">
        <v>4</v>
      </c>
      <c r="E4556" t="s">
        <v>4645</v>
      </c>
      <c r="F4556" t="s">
        <v>9</v>
      </c>
    </row>
    <row r="4557" spans="1:6" x14ac:dyDescent="0.3">
      <c r="A4557" t="s">
        <v>908</v>
      </c>
      <c r="B4557" t="s">
        <v>1362</v>
      </c>
      <c r="C4557" t="str">
        <f>HYPERLINK("http://service.sap.com/sap/support/notes/2023706","2023706")</f>
        <v>2023706</v>
      </c>
      <c r="D4557">
        <v>1</v>
      </c>
      <c r="E4557" t="s">
        <v>4646</v>
      </c>
      <c r="F4557" t="s">
        <v>9</v>
      </c>
    </row>
    <row r="4558" spans="1:6" x14ac:dyDescent="0.3">
      <c r="A4558" t="s">
        <v>908</v>
      </c>
      <c r="B4558" t="s">
        <v>1362</v>
      </c>
      <c r="C4558" t="str">
        <f>HYPERLINK("http://service.sap.com/sap/support/notes/2023800","2023800")</f>
        <v>2023800</v>
      </c>
      <c r="D4558">
        <v>1</v>
      </c>
      <c r="E4558" t="s">
        <v>4647</v>
      </c>
      <c r="F4558" t="s">
        <v>9</v>
      </c>
    </row>
    <row r="4559" spans="1:6" x14ac:dyDescent="0.3">
      <c r="A4559" t="s">
        <v>908</v>
      </c>
      <c r="B4559" t="s">
        <v>1362</v>
      </c>
      <c r="C4559" t="str">
        <f>HYPERLINK("http://service.sap.com/sap/support/notes/2025683","2025683")</f>
        <v>2025683</v>
      </c>
      <c r="D4559">
        <v>2</v>
      </c>
      <c r="E4559" t="s">
        <v>4648</v>
      </c>
      <c r="F4559" t="s">
        <v>9</v>
      </c>
    </row>
    <row r="4560" spans="1:6" x14ac:dyDescent="0.3">
      <c r="A4560" t="s">
        <v>908</v>
      </c>
      <c r="B4560" t="s">
        <v>1362</v>
      </c>
      <c r="C4560" t="str">
        <f>HYPERLINK("http://service.sap.com/sap/support/notes/2032837","2032837")</f>
        <v>2032837</v>
      </c>
      <c r="D4560">
        <v>3</v>
      </c>
      <c r="E4560" t="s">
        <v>4649</v>
      </c>
      <c r="F4560" t="s">
        <v>9</v>
      </c>
    </row>
    <row r="4561" spans="1:6" x14ac:dyDescent="0.3">
      <c r="A4561" t="s">
        <v>908</v>
      </c>
      <c r="B4561" t="s">
        <v>1362</v>
      </c>
      <c r="C4561" t="str">
        <f>HYPERLINK("http://service.sap.com/sap/support/notes/2034116","2034116")</f>
        <v>2034116</v>
      </c>
      <c r="D4561">
        <v>1</v>
      </c>
      <c r="E4561" t="s">
        <v>5004</v>
      </c>
      <c r="F4561" t="s">
        <v>9</v>
      </c>
    </row>
    <row r="4562" spans="1:6" x14ac:dyDescent="0.3">
      <c r="A4562" t="s">
        <v>908</v>
      </c>
      <c r="B4562" t="s">
        <v>1362</v>
      </c>
      <c r="C4562" t="str">
        <f>HYPERLINK("http://service.sap.com/sap/support/notes/2038574","2038574")</f>
        <v>2038574</v>
      </c>
      <c r="D4562">
        <v>4</v>
      </c>
      <c r="E4562" t="s">
        <v>5005</v>
      </c>
      <c r="F4562" t="s">
        <v>9</v>
      </c>
    </row>
    <row r="4563" spans="1:6" x14ac:dyDescent="0.3">
      <c r="A4563" t="s">
        <v>908</v>
      </c>
      <c r="B4563" t="s">
        <v>1362</v>
      </c>
      <c r="C4563" t="str">
        <f>HYPERLINK("http://service.sap.com/sap/support/notes/2039008","2039008")</f>
        <v>2039008</v>
      </c>
      <c r="D4563">
        <v>3</v>
      </c>
      <c r="E4563" t="s">
        <v>5006</v>
      </c>
      <c r="F4563" t="s">
        <v>9</v>
      </c>
    </row>
    <row r="4564" spans="1:6" x14ac:dyDescent="0.3">
      <c r="A4564" t="s">
        <v>908</v>
      </c>
      <c r="B4564" t="s">
        <v>1362</v>
      </c>
      <c r="C4564" t="str">
        <f>HYPERLINK("http://service.sap.com/sap/support/notes/2042690","2042690")</f>
        <v>2042690</v>
      </c>
      <c r="D4564">
        <v>2</v>
      </c>
      <c r="E4564" t="s">
        <v>5007</v>
      </c>
      <c r="F4564" t="s">
        <v>9</v>
      </c>
    </row>
    <row r="4565" spans="1:6" x14ac:dyDescent="0.3">
      <c r="A4565" t="s">
        <v>908</v>
      </c>
      <c r="B4565" t="s">
        <v>1362</v>
      </c>
      <c r="C4565" t="str">
        <f>HYPERLINK("http://service.sap.com/sap/support/notes/2044087","2044087")</f>
        <v>2044087</v>
      </c>
      <c r="D4565">
        <v>2</v>
      </c>
      <c r="E4565" t="s">
        <v>5008</v>
      </c>
      <c r="F4565" t="s">
        <v>9</v>
      </c>
    </row>
    <row r="4566" spans="1:6" x14ac:dyDescent="0.3">
      <c r="A4566" t="s">
        <v>908</v>
      </c>
      <c r="B4566" t="s">
        <v>1362</v>
      </c>
      <c r="C4566" t="str">
        <f>HYPERLINK("http://service.sap.com/sap/support/notes/2044870","2044870")</f>
        <v>2044870</v>
      </c>
      <c r="D4566">
        <v>2</v>
      </c>
      <c r="E4566" t="s">
        <v>5009</v>
      </c>
      <c r="F4566" t="s">
        <v>9</v>
      </c>
    </row>
    <row r="4567" spans="1:6" x14ac:dyDescent="0.3">
      <c r="A4567" t="s">
        <v>908</v>
      </c>
      <c r="B4567" t="s">
        <v>1362</v>
      </c>
      <c r="C4567" t="str">
        <f>HYPERLINK("http://service.sap.com/sap/support/notes/2046376","2046376")</f>
        <v>2046376</v>
      </c>
      <c r="D4567">
        <v>1</v>
      </c>
      <c r="E4567" t="s">
        <v>5010</v>
      </c>
      <c r="F4567" t="s">
        <v>9</v>
      </c>
    </row>
    <row r="4568" spans="1:6" x14ac:dyDescent="0.3">
      <c r="A4568" t="s">
        <v>908</v>
      </c>
      <c r="B4568" t="s">
        <v>1362</v>
      </c>
      <c r="C4568" t="str">
        <f>HYPERLINK("http://service.sap.com/sap/support/notes/2044667","2044667")</f>
        <v>2044667</v>
      </c>
      <c r="D4568">
        <v>1</v>
      </c>
      <c r="E4568" t="s">
        <v>5326</v>
      </c>
      <c r="F4568" t="s">
        <v>9</v>
      </c>
    </row>
    <row r="4569" spans="1:6" x14ac:dyDescent="0.3">
      <c r="A4569" t="s">
        <v>908</v>
      </c>
      <c r="B4569" t="s">
        <v>1362</v>
      </c>
      <c r="C4569" t="str">
        <f>HYPERLINK("http://service.sap.com/sap/support/notes/2046271","2046271")</f>
        <v>2046271</v>
      </c>
      <c r="D4569">
        <v>1</v>
      </c>
      <c r="E4569" t="s">
        <v>5327</v>
      </c>
      <c r="F4569" t="s">
        <v>9</v>
      </c>
    </row>
    <row r="4570" spans="1:6" x14ac:dyDescent="0.3">
      <c r="A4570" t="s">
        <v>908</v>
      </c>
      <c r="B4570" t="s">
        <v>1362</v>
      </c>
      <c r="C4570" t="str">
        <f>HYPERLINK("http://service.sap.com/sap/support/notes/2049976","2049976")</f>
        <v>2049976</v>
      </c>
      <c r="D4570">
        <v>1</v>
      </c>
      <c r="E4570" t="s">
        <v>5328</v>
      </c>
      <c r="F4570" t="s">
        <v>9</v>
      </c>
    </row>
    <row r="4571" spans="1:6" x14ac:dyDescent="0.3">
      <c r="A4571" t="s">
        <v>908</v>
      </c>
      <c r="B4571" t="s">
        <v>1362</v>
      </c>
      <c r="C4571" t="str">
        <f>HYPERLINK("http://service.sap.com/sap/support/notes/2050821","2050821")</f>
        <v>2050821</v>
      </c>
      <c r="D4571">
        <v>3</v>
      </c>
      <c r="E4571" t="s">
        <v>5329</v>
      </c>
      <c r="F4571" t="s">
        <v>9</v>
      </c>
    </row>
    <row r="4572" spans="1:6" x14ac:dyDescent="0.3">
      <c r="A4572" t="s">
        <v>908</v>
      </c>
      <c r="B4572" t="s">
        <v>1362</v>
      </c>
      <c r="C4572" t="str">
        <f>HYPERLINK("http://service.sap.com/sap/support/notes/2038574","2038574")</f>
        <v>2038574</v>
      </c>
      <c r="D4572">
        <v>4</v>
      </c>
      <c r="E4572" t="s">
        <v>5005</v>
      </c>
      <c r="F4572" t="s">
        <v>9</v>
      </c>
    </row>
    <row r="4573" spans="1:6" x14ac:dyDescent="0.3">
      <c r="A4573" t="s">
        <v>908</v>
      </c>
      <c r="B4573" t="s">
        <v>1362</v>
      </c>
      <c r="C4573" t="str">
        <f>HYPERLINK("http://service.sap.com/sap/support/notes/2055207","2055207")</f>
        <v>2055207</v>
      </c>
      <c r="D4573">
        <v>2</v>
      </c>
      <c r="E4573" t="s">
        <v>5664</v>
      </c>
      <c r="F4573" t="s">
        <v>9</v>
      </c>
    </row>
    <row r="4574" spans="1:6" x14ac:dyDescent="0.3">
      <c r="A4574" t="s">
        <v>908</v>
      </c>
      <c r="B4574" t="s">
        <v>1362</v>
      </c>
      <c r="C4574" t="str">
        <f>HYPERLINK("http://service.sap.com/sap/support/notes/2056914","2056914")</f>
        <v>2056914</v>
      </c>
      <c r="D4574">
        <v>3</v>
      </c>
      <c r="E4574" t="s">
        <v>5665</v>
      </c>
      <c r="F4574" t="s">
        <v>9</v>
      </c>
    </row>
    <row r="4575" spans="1:6" x14ac:dyDescent="0.3">
      <c r="A4575" t="s">
        <v>908</v>
      </c>
      <c r="B4575" t="s">
        <v>1362</v>
      </c>
      <c r="C4575" t="str">
        <f>HYPERLINK("http://service.sap.com/sap/support/notes/2058827","2058827")</f>
        <v>2058827</v>
      </c>
      <c r="D4575">
        <v>3</v>
      </c>
      <c r="E4575" t="s">
        <v>5666</v>
      </c>
      <c r="F4575" t="s">
        <v>9</v>
      </c>
    </row>
    <row r="4576" spans="1:6" x14ac:dyDescent="0.3">
      <c r="A4576" t="s">
        <v>908</v>
      </c>
      <c r="B4576" t="s">
        <v>1362</v>
      </c>
      <c r="C4576" t="str">
        <f>HYPERLINK("http://service.sap.com/sap/support/notes/2059658","2059658")</f>
        <v>2059658</v>
      </c>
      <c r="D4576">
        <v>1</v>
      </c>
      <c r="E4576" t="s">
        <v>5667</v>
      </c>
      <c r="F4576" t="s">
        <v>9</v>
      </c>
    </row>
    <row r="4577" spans="1:6" x14ac:dyDescent="0.3">
      <c r="A4577" t="s">
        <v>908</v>
      </c>
      <c r="B4577" t="s">
        <v>1362</v>
      </c>
      <c r="C4577" t="str">
        <f>HYPERLINK("http://service.sap.com/sap/support/notes/2059778","2059778")</f>
        <v>2059778</v>
      </c>
      <c r="D4577">
        <v>1</v>
      </c>
      <c r="E4577" t="s">
        <v>5668</v>
      </c>
      <c r="F4577" t="s">
        <v>9</v>
      </c>
    </row>
    <row r="4578" spans="1:6" x14ac:dyDescent="0.3">
      <c r="A4578" t="s">
        <v>908</v>
      </c>
      <c r="B4578" t="s">
        <v>1362</v>
      </c>
      <c r="C4578" t="str">
        <f>HYPERLINK("http://service.sap.com/sap/support/notes/2060166","2060166")</f>
        <v>2060166</v>
      </c>
      <c r="D4578">
        <v>2</v>
      </c>
      <c r="E4578" t="s">
        <v>5669</v>
      </c>
      <c r="F4578" t="s">
        <v>9</v>
      </c>
    </row>
    <row r="4579" spans="1:6" x14ac:dyDescent="0.3">
      <c r="A4579" t="s">
        <v>908</v>
      </c>
      <c r="B4579" t="s">
        <v>1362</v>
      </c>
      <c r="C4579" t="str">
        <f>HYPERLINK("http://service.sap.com/sap/support/notes/2061483","2061483")</f>
        <v>2061483</v>
      </c>
      <c r="D4579">
        <v>5</v>
      </c>
      <c r="E4579" t="s">
        <v>5670</v>
      </c>
      <c r="F4579" t="s">
        <v>16</v>
      </c>
    </row>
    <row r="4580" spans="1:6" x14ac:dyDescent="0.3">
      <c r="A4580" t="s">
        <v>908</v>
      </c>
      <c r="B4580" t="s">
        <v>1362</v>
      </c>
      <c r="C4580" t="str">
        <f>HYPERLINK("http://service.sap.com/sap/support/notes/2061670","2061670")</f>
        <v>2061670</v>
      </c>
      <c r="D4580">
        <v>1</v>
      </c>
      <c r="E4580" t="s">
        <v>5671</v>
      </c>
      <c r="F4580" t="s">
        <v>9</v>
      </c>
    </row>
    <row r="4581" spans="1:6" x14ac:dyDescent="0.3">
      <c r="A4581" t="s">
        <v>908</v>
      </c>
      <c r="B4581" t="s">
        <v>1362</v>
      </c>
      <c r="C4581" t="str">
        <f>HYPERLINK("http://service.sap.com/sap/support/notes/2064746","2064746")</f>
        <v>2064746</v>
      </c>
      <c r="D4581">
        <v>1</v>
      </c>
      <c r="E4581" t="s">
        <v>5672</v>
      </c>
      <c r="F4581" t="s">
        <v>9</v>
      </c>
    </row>
    <row r="4582" spans="1:6" x14ac:dyDescent="0.3">
      <c r="A4582" t="s">
        <v>908</v>
      </c>
      <c r="B4582" t="s">
        <v>1362</v>
      </c>
      <c r="C4582" t="str">
        <f>HYPERLINK("http://service.sap.com/sap/support/notes/2066218","2066218")</f>
        <v>2066218</v>
      </c>
      <c r="D4582">
        <v>2</v>
      </c>
      <c r="E4582" t="s">
        <v>5673</v>
      </c>
      <c r="F4582" t="s">
        <v>9</v>
      </c>
    </row>
    <row r="4583" spans="1:6" x14ac:dyDescent="0.3">
      <c r="A4583" t="s">
        <v>908</v>
      </c>
      <c r="B4583" t="s">
        <v>1362</v>
      </c>
      <c r="C4583" t="str">
        <f>HYPERLINK("http://service.sap.com/sap/support/notes/2066626","2066626")</f>
        <v>2066626</v>
      </c>
      <c r="D4583">
        <v>2</v>
      </c>
      <c r="E4583" t="s">
        <v>5674</v>
      </c>
      <c r="F4583" t="s">
        <v>9</v>
      </c>
    </row>
    <row r="4584" spans="1:6" x14ac:dyDescent="0.3">
      <c r="A4584" t="s">
        <v>908</v>
      </c>
      <c r="B4584" t="s">
        <v>1362</v>
      </c>
      <c r="C4584" t="str">
        <f>HYPERLINK("http://service.sap.com/sap/support/notes/2067278","2067278")</f>
        <v>2067278</v>
      </c>
      <c r="D4584">
        <v>2</v>
      </c>
      <c r="E4584" t="s">
        <v>5675</v>
      </c>
      <c r="F4584" t="s">
        <v>9</v>
      </c>
    </row>
    <row r="4585" spans="1:6" x14ac:dyDescent="0.3">
      <c r="A4585" t="s">
        <v>908</v>
      </c>
      <c r="B4585" t="s">
        <v>1362</v>
      </c>
      <c r="C4585" t="str">
        <f>HYPERLINK("http://service.sap.com/sap/support/notes/2068554","2068554")</f>
        <v>2068554</v>
      </c>
      <c r="D4585">
        <v>5</v>
      </c>
      <c r="E4585" t="s">
        <v>5676</v>
      </c>
      <c r="F4585" t="s">
        <v>16</v>
      </c>
    </row>
    <row r="4586" spans="1:6" x14ac:dyDescent="0.3">
      <c r="A4586" t="s">
        <v>919</v>
      </c>
      <c r="B4586" t="s">
        <v>920</v>
      </c>
      <c r="C4586" t="str">
        <f>HYPERLINK("http://service.sap.com/sap/support/notes/1758972","1758972")</f>
        <v>1758972</v>
      </c>
      <c r="D4586">
        <v>15</v>
      </c>
      <c r="E4586" t="s">
        <v>921</v>
      </c>
      <c r="F4586" t="s">
        <v>28</v>
      </c>
    </row>
    <row r="4587" spans="1:6" x14ac:dyDescent="0.3">
      <c r="A4587" t="s">
        <v>919</v>
      </c>
      <c r="B4587" t="s">
        <v>920</v>
      </c>
      <c r="C4587" t="str">
        <f>HYPERLINK("http://service.sap.com/sap/support/notes/1767296","1767296")</f>
        <v>1767296</v>
      </c>
      <c r="D4587">
        <v>7</v>
      </c>
      <c r="E4587" t="s">
        <v>922</v>
      </c>
      <c r="F4587" t="s">
        <v>9</v>
      </c>
    </row>
    <row r="4588" spans="1:6" x14ac:dyDescent="0.3">
      <c r="A4588" t="s">
        <v>919</v>
      </c>
      <c r="B4588" t="s">
        <v>920</v>
      </c>
      <c r="C4588" t="str">
        <f>HYPERLINK("http://service.sap.com/sap/support/notes/1863421","1863421")</f>
        <v>1863421</v>
      </c>
      <c r="D4588">
        <v>1</v>
      </c>
      <c r="E4588" t="s">
        <v>923</v>
      </c>
      <c r="F4588" t="s">
        <v>9</v>
      </c>
    </row>
    <row r="4589" spans="1:6" x14ac:dyDescent="0.3">
      <c r="A4589" t="s">
        <v>919</v>
      </c>
      <c r="B4589" t="s">
        <v>920</v>
      </c>
      <c r="C4589" t="str">
        <f>HYPERLINK("http://service.sap.com/sap/support/notes/1865871","1865871")</f>
        <v>1865871</v>
      </c>
      <c r="D4589">
        <v>2</v>
      </c>
      <c r="E4589" t="s">
        <v>924</v>
      </c>
      <c r="F4589" t="s">
        <v>9</v>
      </c>
    </row>
    <row r="4590" spans="1:6" x14ac:dyDescent="0.3">
      <c r="A4590" t="s">
        <v>919</v>
      </c>
      <c r="B4590" t="s">
        <v>920</v>
      </c>
      <c r="C4590" t="str">
        <f>HYPERLINK("http://service.sap.com/sap/support/notes/1916004","1916004")</f>
        <v>1916004</v>
      </c>
      <c r="D4590">
        <v>2</v>
      </c>
      <c r="E4590" t="s">
        <v>925</v>
      </c>
      <c r="F4590" t="s">
        <v>9</v>
      </c>
    </row>
    <row r="4591" spans="1:6" x14ac:dyDescent="0.3">
      <c r="A4591" t="s">
        <v>919</v>
      </c>
      <c r="B4591" t="s">
        <v>920</v>
      </c>
      <c r="C4591" t="str">
        <f>HYPERLINK("http://service.sap.com/sap/support/notes/1931803","1931803")</f>
        <v>1931803</v>
      </c>
      <c r="D4591">
        <v>2</v>
      </c>
      <c r="E4591" t="s">
        <v>1367</v>
      </c>
      <c r="F4591" t="s">
        <v>9</v>
      </c>
    </row>
    <row r="4592" spans="1:6" x14ac:dyDescent="0.3">
      <c r="A4592" t="s">
        <v>919</v>
      </c>
      <c r="B4592" t="s">
        <v>920</v>
      </c>
      <c r="C4592" t="str">
        <f>HYPERLINK("http://service.sap.com/sap/support/notes/1936294","1936294")</f>
        <v>1936294</v>
      </c>
      <c r="D4592">
        <v>1</v>
      </c>
      <c r="E4592" t="s">
        <v>1368</v>
      </c>
      <c r="F4592" t="s">
        <v>9</v>
      </c>
    </row>
    <row r="4593" spans="1:6" x14ac:dyDescent="0.3">
      <c r="A4593" t="s">
        <v>919</v>
      </c>
      <c r="B4593" t="s">
        <v>920</v>
      </c>
      <c r="C4593" t="str">
        <f>HYPERLINK("http://service.sap.com/sap/support/notes/1950440","1950440")</f>
        <v>1950440</v>
      </c>
      <c r="D4593">
        <v>1</v>
      </c>
      <c r="E4593" t="s">
        <v>1448</v>
      </c>
      <c r="F4593" t="s">
        <v>9</v>
      </c>
    </row>
    <row r="4594" spans="1:6" x14ac:dyDescent="0.3">
      <c r="A4594" t="s">
        <v>919</v>
      </c>
      <c r="B4594" t="s">
        <v>920</v>
      </c>
      <c r="C4594" t="str">
        <f>HYPERLINK("http://service.sap.com/sap/support/notes/1895586","1895586")</f>
        <v>1895586</v>
      </c>
      <c r="D4594">
        <v>4</v>
      </c>
      <c r="E4594" t="s">
        <v>1972</v>
      </c>
      <c r="F4594" t="s">
        <v>9</v>
      </c>
    </row>
    <row r="4595" spans="1:6" x14ac:dyDescent="0.3">
      <c r="A4595" t="s">
        <v>919</v>
      </c>
      <c r="B4595" t="s">
        <v>920</v>
      </c>
      <c r="C4595" t="str">
        <f>HYPERLINK("http://service.sap.com/sap/support/notes/1909999","1909999")</f>
        <v>1909999</v>
      </c>
      <c r="D4595">
        <v>6</v>
      </c>
      <c r="E4595" t="s">
        <v>1973</v>
      </c>
      <c r="F4595" t="s">
        <v>9</v>
      </c>
    </row>
    <row r="4596" spans="1:6" x14ac:dyDescent="0.3">
      <c r="A4596" t="s">
        <v>919</v>
      </c>
      <c r="B4596" t="s">
        <v>920</v>
      </c>
      <c r="C4596" t="str">
        <f>HYPERLINK("http://service.sap.com/sap/support/notes/1936243","1936243")</f>
        <v>1936243</v>
      </c>
      <c r="D4596">
        <v>1</v>
      </c>
      <c r="E4596" t="s">
        <v>1974</v>
      </c>
      <c r="F4596" t="s">
        <v>9</v>
      </c>
    </row>
    <row r="4597" spans="1:6" x14ac:dyDescent="0.3">
      <c r="A4597" t="s">
        <v>919</v>
      </c>
      <c r="B4597" t="s">
        <v>920</v>
      </c>
      <c r="C4597" t="str">
        <f>HYPERLINK("http://service.sap.com/sap/support/notes/1956505","1956505")</f>
        <v>1956505</v>
      </c>
      <c r="D4597">
        <v>2</v>
      </c>
      <c r="E4597" t="s">
        <v>1975</v>
      </c>
      <c r="F4597" t="s">
        <v>9</v>
      </c>
    </row>
    <row r="4598" spans="1:6" x14ac:dyDescent="0.3">
      <c r="A4598" t="s">
        <v>919</v>
      </c>
      <c r="B4598" t="s">
        <v>920</v>
      </c>
      <c r="C4598" t="str">
        <f>HYPERLINK("http://service.sap.com/sap/support/notes/1783004","1783004")</f>
        <v>1783004</v>
      </c>
      <c r="D4598">
        <v>3</v>
      </c>
      <c r="E4598" t="s">
        <v>2330</v>
      </c>
      <c r="F4598" t="s">
        <v>9</v>
      </c>
    </row>
    <row r="4599" spans="1:6" x14ac:dyDescent="0.3">
      <c r="A4599" t="s">
        <v>919</v>
      </c>
      <c r="B4599" t="s">
        <v>920</v>
      </c>
      <c r="C4599" t="str">
        <f>HYPERLINK("http://service.sap.com/sap/support/notes/1862921","1862921")</f>
        <v>1862921</v>
      </c>
      <c r="D4599">
        <v>3</v>
      </c>
      <c r="E4599" t="s">
        <v>2331</v>
      </c>
      <c r="F4599" t="s">
        <v>9</v>
      </c>
    </row>
    <row r="4600" spans="1:6" x14ac:dyDescent="0.3">
      <c r="A4600" t="s">
        <v>919</v>
      </c>
      <c r="B4600" t="s">
        <v>920</v>
      </c>
      <c r="C4600" t="str">
        <f>HYPERLINK("http://service.sap.com/sap/support/notes/1916715","1916715")</f>
        <v>1916715</v>
      </c>
      <c r="D4600">
        <v>2</v>
      </c>
      <c r="E4600" t="s">
        <v>2332</v>
      </c>
      <c r="F4600" t="s">
        <v>9</v>
      </c>
    </row>
    <row r="4601" spans="1:6" x14ac:dyDescent="0.3">
      <c r="A4601" t="s">
        <v>919</v>
      </c>
      <c r="B4601" t="s">
        <v>920</v>
      </c>
      <c r="C4601" t="str">
        <f>HYPERLINK("http://service.sap.com/sap/support/notes/1874957","1874957")</f>
        <v>1874957</v>
      </c>
      <c r="D4601">
        <v>2</v>
      </c>
      <c r="E4601" t="s">
        <v>2736</v>
      </c>
      <c r="F4601" t="s">
        <v>9</v>
      </c>
    </row>
    <row r="4602" spans="1:6" x14ac:dyDescent="0.3">
      <c r="A4602" t="s">
        <v>919</v>
      </c>
      <c r="B4602" t="s">
        <v>920</v>
      </c>
      <c r="C4602" t="str">
        <f>HYPERLINK("http://service.sap.com/sap/support/notes/1878606","1878606")</f>
        <v>1878606</v>
      </c>
      <c r="D4602">
        <v>9</v>
      </c>
      <c r="E4602" t="s">
        <v>2737</v>
      </c>
      <c r="F4602" t="s">
        <v>9</v>
      </c>
    </row>
    <row r="4603" spans="1:6" x14ac:dyDescent="0.3">
      <c r="A4603" t="s">
        <v>919</v>
      </c>
      <c r="B4603" t="s">
        <v>920</v>
      </c>
      <c r="C4603" t="str">
        <f>HYPERLINK("http://service.sap.com/sap/support/notes/1913242","1913242")</f>
        <v>1913242</v>
      </c>
      <c r="D4603">
        <v>1</v>
      </c>
      <c r="E4603" t="s">
        <v>2738</v>
      </c>
      <c r="F4603" t="s">
        <v>9</v>
      </c>
    </row>
    <row r="4604" spans="1:6" x14ac:dyDescent="0.3">
      <c r="A4604" t="s">
        <v>919</v>
      </c>
      <c r="B4604" t="s">
        <v>920</v>
      </c>
      <c r="C4604" t="str">
        <f>HYPERLINK("http://service.sap.com/sap/support/notes/1921676","1921676")</f>
        <v>1921676</v>
      </c>
      <c r="D4604">
        <v>4</v>
      </c>
      <c r="E4604" t="s">
        <v>2739</v>
      </c>
      <c r="F4604" t="s">
        <v>9</v>
      </c>
    </row>
    <row r="4605" spans="1:6" x14ac:dyDescent="0.3">
      <c r="A4605" t="s">
        <v>919</v>
      </c>
      <c r="B4605" t="s">
        <v>920</v>
      </c>
      <c r="C4605" t="str">
        <f>HYPERLINK("http://service.sap.com/sap/support/notes/1954314","1954314")</f>
        <v>1954314</v>
      </c>
      <c r="D4605">
        <v>2</v>
      </c>
      <c r="E4605" t="s">
        <v>2740</v>
      </c>
      <c r="F4605" t="s">
        <v>9</v>
      </c>
    </row>
    <row r="4606" spans="1:6" x14ac:dyDescent="0.3">
      <c r="A4606" t="s">
        <v>919</v>
      </c>
      <c r="B4606" t="s">
        <v>920</v>
      </c>
      <c r="C4606" t="str">
        <f>HYPERLINK("http://service.sap.com/sap/support/notes/1253973","1253973")</f>
        <v>1253973</v>
      </c>
      <c r="D4606">
        <v>4</v>
      </c>
      <c r="E4606" t="s">
        <v>3212</v>
      </c>
      <c r="F4606" t="s">
        <v>16</v>
      </c>
    </row>
    <row r="4607" spans="1:6" x14ac:dyDescent="0.3">
      <c r="A4607" t="s">
        <v>919</v>
      </c>
      <c r="B4607" t="s">
        <v>920</v>
      </c>
      <c r="C4607" t="str">
        <f>HYPERLINK("http://service.sap.com/sap/support/notes/1756391","1756391")</f>
        <v>1756391</v>
      </c>
      <c r="D4607">
        <v>12</v>
      </c>
      <c r="E4607" t="s">
        <v>3213</v>
      </c>
      <c r="F4607" t="s">
        <v>28</v>
      </c>
    </row>
    <row r="4608" spans="1:6" x14ac:dyDescent="0.3">
      <c r="A4608" t="s">
        <v>919</v>
      </c>
      <c r="B4608" t="s">
        <v>920</v>
      </c>
      <c r="C4608" t="str">
        <f>HYPERLINK("http://service.sap.com/sap/support/notes/1874957","1874957")</f>
        <v>1874957</v>
      </c>
      <c r="D4608">
        <v>2</v>
      </c>
      <c r="E4608" t="s">
        <v>2736</v>
      </c>
      <c r="F4608" t="s">
        <v>9</v>
      </c>
    </row>
    <row r="4609" spans="1:6" x14ac:dyDescent="0.3">
      <c r="A4609" t="s">
        <v>919</v>
      </c>
      <c r="B4609" t="s">
        <v>920</v>
      </c>
      <c r="C4609" t="str">
        <f>HYPERLINK("http://service.sap.com/sap/support/notes/1910507","1910507")</f>
        <v>1910507</v>
      </c>
      <c r="D4609">
        <v>4</v>
      </c>
      <c r="E4609" t="s">
        <v>3214</v>
      </c>
      <c r="F4609" t="s">
        <v>9</v>
      </c>
    </row>
    <row r="4610" spans="1:6" x14ac:dyDescent="0.3">
      <c r="A4610" t="s">
        <v>919</v>
      </c>
      <c r="B4610" t="s">
        <v>920</v>
      </c>
      <c r="C4610" t="str">
        <f>HYPERLINK("http://service.sap.com/sap/support/notes/1915429","1915429")</f>
        <v>1915429</v>
      </c>
      <c r="D4610">
        <v>6</v>
      </c>
      <c r="E4610" t="s">
        <v>3215</v>
      </c>
      <c r="F4610" t="s">
        <v>28</v>
      </c>
    </row>
    <row r="4611" spans="1:6" x14ac:dyDescent="0.3">
      <c r="A4611" t="s">
        <v>919</v>
      </c>
      <c r="B4611" t="s">
        <v>920</v>
      </c>
      <c r="C4611" t="str">
        <f>HYPERLINK("http://service.sap.com/sap/support/notes/1929003","1929003")</f>
        <v>1929003</v>
      </c>
      <c r="D4611">
        <v>1</v>
      </c>
      <c r="E4611" t="s">
        <v>3216</v>
      </c>
      <c r="F4611" t="s">
        <v>9</v>
      </c>
    </row>
    <row r="4612" spans="1:6" x14ac:dyDescent="0.3">
      <c r="A4612" t="s">
        <v>919</v>
      </c>
      <c r="B4612" t="s">
        <v>920</v>
      </c>
      <c r="C4612" t="str">
        <f>HYPERLINK("http://service.sap.com/sap/support/notes/1937209","1937209")</f>
        <v>1937209</v>
      </c>
      <c r="D4612">
        <v>8</v>
      </c>
      <c r="E4612" t="s">
        <v>3217</v>
      </c>
      <c r="F4612" t="s">
        <v>9</v>
      </c>
    </row>
    <row r="4613" spans="1:6" x14ac:dyDescent="0.3">
      <c r="A4613" t="s">
        <v>919</v>
      </c>
      <c r="B4613" t="s">
        <v>920</v>
      </c>
      <c r="C4613" t="str">
        <f>HYPERLINK("http://service.sap.com/sap/support/notes/1939816","1939816")</f>
        <v>1939816</v>
      </c>
      <c r="D4613">
        <v>3</v>
      </c>
      <c r="E4613" t="s">
        <v>3218</v>
      </c>
      <c r="F4613" t="s">
        <v>9</v>
      </c>
    </row>
    <row r="4614" spans="1:6" x14ac:dyDescent="0.3">
      <c r="A4614" t="s">
        <v>919</v>
      </c>
      <c r="B4614" t="s">
        <v>920</v>
      </c>
      <c r="C4614" t="str">
        <f>HYPERLINK("http://service.sap.com/sap/support/notes/1952759","1952759")</f>
        <v>1952759</v>
      </c>
      <c r="D4614">
        <v>4</v>
      </c>
      <c r="E4614" t="s">
        <v>3219</v>
      </c>
      <c r="F4614" t="s">
        <v>9</v>
      </c>
    </row>
    <row r="4615" spans="1:6" x14ac:dyDescent="0.3">
      <c r="A4615" t="s">
        <v>919</v>
      </c>
      <c r="B4615" t="s">
        <v>920</v>
      </c>
      <c r="C4615" t="str">
        <f>HYPERLINK("http://service.sap.com/sap/support/notes/1962018","1962018")</f>
        <v>1962018</v>
      </c>
      <c r="D4615">
        <v>3</v>
      </c>
      <c r="E4615" t="s">
        <v>3220</v>
      </c>
      <c r="F4615" t="s">
        <v>9</v>
      </c>
    </row>
    <row r="4616" spans="1:6" x14ac:dyDescent="0.3">
      <c r="A4616" t="s">
        <v>919</v>
      </c>
      <c r="B4616" t="s">
        <v>920</v>
      </c>
      <c r="C4616" t="str">
        <f>HYPERLINK("http://service.sap.com/sap/support/notes/1989630","1989630")</f>
        <v>1989630</v>
      </c>
      <c r="D4616">
        <v>3</v>
      </c>
      <c r="E4616" t="s">
        <v>3221</v>
      </c>
      <c r="F4616" t="s">
        <v>9</v>
      </c>
    </row>
    <row r="4617" spans="1:6" x14ac:dyDescent="0.3">
      <c r="A4617" t="s">
        <v>919</v>
      </c>
      <c r="B4617" t="s">
        <v>920</v>
      </c>
      <c r="C4617" t="str">
        <f>HYPERLINK("http://service.sap.com/sap/support/notes/1994391","1994391")</f>
        <v>1994391</v>
      </c>
      <c r="D4617">
        <v>1</v>
      </c>
      <c r="E4617" t="s">
        <v>3222</v>
      </c>
      <c r="F4617" t="s">
        <v>9</v>
      </c>
    </row>
    <row r="4618" spans="1:6" x14ac:dyDescent="0.3">
      <c r="A4618" t="s">
        <v>919</v>
      </c>
      <c r="B4618" t="s">
        <v>920</v>
      </c>
      <c r="C4618" t="str">
        <f>HYPERLINK("http://service.sap.com/sap/support/notes/1804079","1804079")</f>
        <v>1804079</v>
      </c>
      <c r="D4618">
        <v>7</v>
      </c>
      <c r="E4618" t="s">
        <v>3862</v>
      </c>
      <c r="F4618" t="s">
        <v>9</v>
      </c>
    </row>
    <row r="4619" spans="1:6" x14ac:dyDescent="0.3">
      <c r="A4619" t="s">
        <v>919</v>
      </c>
      <c r="B4619" t="s">
        <v>920</v>
      </c>
      <c r="C4619" t="str">
        <f>HYPERLINK("http://service.sap.com/sap/support/notes/1913242","1913242")</f>
        <v>1913242</v>
      </c>
      <c r="D4619">
        <v>1</v>
      </c>
      <c r="E4619" t="s">
        <v>2738</v>
      </c>
      <c r="F4619" t="s">
        <v>9</v>
      </c>
    </row>
    <row r="4620" spans="1:6" x14ac:dyDescent="0.3">
      <c r="A4620" t="s">
        <v>919</v>
      </c>
      <c r="B4620" t="s">
        <v>920</v>
      </c>
      <c r="C4620" t="str">
        <f>HYPERLINK("http://service.sap.com/sap/support/notes/1914743","1914743")</f>
        <v>1914743</v>
      </c>
      <c r="D4620">
        <v>3</v>
      </c>
      <c r="E4620" t="s">
        <v>3863</v>
      </c>
      <c r="F4620" t="s">
        <v>9</v>
      </c>
    </row>
    <row r="4621" spans="1:6" x14ac:dyDescent="0.3">
      <c r="A4621" t="s">
        <v>919</v>
      </c>
      <c r="B4621" t="s">
        <v>920</v>
      </c>
      <c r="C4621" t="str">
        <f>HYPERLINK("http://service.sap.com/sap/support/notes/1962637","1962637")</f>
        <v>1962637</v>
      </c>
      <c r="D4621">
        <v>2</v>
      </c>
      <c r="E4621" t="s">
        <v>3864</v>
      </c>
      <c r="F4621" t="s">
        <v>9</v>
      </c>
    </row>
    <row r="4622" spans="1:6" x14ac:dyDescent="0.3">
      <c r="A4622" t="s">
        <v>919</v>
      </c>
      <c r="B4622" t="s">
        <v>920</v>
      </c>
      <c r="C4622" t="str">
        <f>HYPERLINK("http://service.sap.com/sap/support/notes/1985003","1985003")</f>
        <v>1985003</v>
      </c>
      <c r="D4622">
        <v>2</v>
      </c>
      <c r="E4622" t="s">
        <v>3865</v>
      </c>
      <c r="F4622" t="s">
        <v>9</v>
      </c>
    </row>
    <row r="4623" spans="1:6" x14ac:dyDescent="0.3">
      <c r="A4623" t="s">
        <v>919</v>
      </c>
      <c r="B4623" t="s">
        <v>920</v>
      </c>
      <c r="C4623" t="str">
        <f>HYPERLINK("http://service.sap.com/sap/support/notes/1988843","1988843")</f>
        <v>1988843</v>
      </c>
      <c r="D4623">
        <v>1</v>
      </c>
      <c r="E4623" t="s">
        <v>3866</v>
      </c>
      <c r="F4623" t="s">
        <v>9</v>
      </c>
    </row>
    <row r="4624" spans="1:6" x14ac:dyDescent="0.3">
      <c r="A4624" t="s">
        <v>919</v>
      </c>
      <c r="B4624" t="s">
        <v>920</v>
      </c>
      <c r="C4624" t="str">
        <f>HYPERLINK("http://service.sap.com/sap/support/notes/1989630","1989630")</f>
        <v>1989630</v>
      </c>
      <c r="D4624">
        <v>3</v>
      </c>
      <c r="E4624" t="s">
        <v>3221</v>
      </c>
      <c r="F4624" t="s">
        <v>9</v>
      </c>
    </row>
    <row r="4625" spans="1:6" x14ac:dyDescent="0.3">
      <c r="A4625" t="s">
        <v>919</v>
      </c>
      <c r="B4625" t="s">
        <v>920</v>
      </c>
      <c r="C4625" t="str">
        <f>HYPERLINK("http://service.sap.com/sap/support/notes/1993404","1993404")</f>
        <v>1993404</v>
      </c>
      <c r="D4625">
        <v>2</v>
      </c>
      <c r="E4625" t="s">
        <v>3867</v>
      </c>
      <c r="F4625" t="s">
        <v>9</v>
      </c>
    </row>
    <row r="4626" spans="1:6" x14ac:dyDescent="0.3">
      <c r="A4626" t="s">
        <v>919</v>
      </c>
      <c r="B4626" t="s">
        <v>920</v>
      </c>
      <c r="C4626" t="str">
        <f>HYPERLINK("http://service.sap.com/sap/support/notes/1997867","1997867")</f>
        <v>1997867</v>
      </c>
      <c r="D4626">
        <v>3</v>
      </c>
      <c r="E4626" t="s">
        <v>3868</v>
      </c>
      <c r="F4626" t="s">
        <v>9</v>
      </c>
    </row>
    <row r="4627" spans="1:6" x14ac:dyDescent="0.3">
      <c r="A4627" t="s">
        <v>919</v>
      </c>
      <c r="B4627" t="s">
        <v>920</v>
      </c>
      <c r="C4627" t="str">
        <f>HYPERLINK("http://service.sap.com/sap/support/notes/1998179","1998179")</f>
        <v>1998179</v>
      </c>
      <c r="D4627">
        <v>2</v>
      </c>
      <c r="E4627" t="s">
        <v>3869</v>
      </c>
      <c r="F4627" t="s">
        <v>9</v>
      </c>
    </row>
    <row r="4628" spans="1:6" x14ac:dyDescent="0.3">
      <c r="A4628" t="s">
        <v>919</v>
      </c>
      <c r="B4628" t="s">
        <v>920</v>
      </c>
      <c r="C4628" t="str">
        <f>HYPERLINK("http://service.sap.com/sap/support/notes/2001600","2001600")</f>
        <v>2001600</v>
      </c>
      <c r="D4628">
        <v>5</v>
      </c>
      <c r="E4628" t="s">
        <v>3870</v>
      </c>
      <c r="F4628" t="s">
        <v>9</v>
      </c>
    </row>
    <row r="4629" spans="1:6" x14ac:dyDescent="0.3">
      <c r="A4629" t="s">
        <v>919</v>
      </c>
      <c r="B4629" t="s">
        <v>920</v>
      </c>
      <c r="C4629" t="str">
        <f>HYPERLINK("http://service.sap.com/sap/support/notes/1925100","1925100")</f>
        <v>1925100</v>
      </c>
      <c r="D4629">
        <v>5</v>
      </c>
      <c r="E4629" t="s">
        <v>4339</v>
      </c>
      <c r="F4629" t="s">
        <v>9</v>
      </c>
    </row>
    <row r="4630" spans="1:6" x14ac:dyDescent="0.3">
      <c r="A4630" t="s">
        <v>919</v>
      </c>
      <c r="B4630" t="s">
        <v>920</v>
      </c>
      <c r="C4630" t="str">
        <f>HYPERLINK("http://service.sap.com/sap/support/notes/2001600","2001600")</f>
        <v>2001600</v>
      </c>
      <c r="D4630">
        <v>5</v>
      </c>
      <c r="E4630" t="s">
        <v>4340</v>
      </c>
      <c r="F4630" t="s">
        <v>9</v>
      </c>
    </row>
    <row r="4631" spans="1:6" x14ac:dyDescent="0.3">
      <c r="A4631" t="s">
        <v>919</v>
      </c>
      <c r="B4631" t="s">
        <v>920</v>
      </c>
      <c r="C4631" t="str">
        <f>HYPERLINK("http://service.sap.com/sap/support/notes/2014209","2014209")</f>
        <v>2014209</v>
      </c>
      <c r="D4631">
        <v>2</v>
      </c>
      <c r="E4631" t="s">
        <v>4341</v>
      </c>
      <c r="F4631" t="s">
        <v>9</v>
      </c>
    </row>
    <row r="4632" spans="1:6" x14ac:dyDescent="0.3">
      <c r="A4632" t="s">
        <v>919</v>
      </c>
      <c r="B4632" t="s">
        <v>920</v>
      </c>
      <c r="C4632" t="str">
        <f>HYPERLINK("http://service.sap.com/sap/support/notes/2016696","2016696")</f>
        <v>2016696</v>
      </c>
      <c r="D4632">
        <v>2</v>
      </c>
      <c r="E4632" t="s">
        <v>4342</v>
      </c>
      <c r="F4632" t="s">
        <v>9</v>
      </c>
    </row>
    <row r="4633" spans="1:6" x14ac:dyDescent="0.3">
      <c r="A4633" t="s">
        <v>919</v>
      </c>
      <c r="B4633" t="s">
        <v>920</v>
      </c>
      <c r="C4633" t="str">
        <f>HYPERLINK("http://service.sap.com/sap/support/notes/2012955","2012955")</f>
        <v>2012955</v>
      </c>
      <c r="D4633">
        <v>5</v>
      </c>
      <c r="E4633" t="s">
        <v>4650</v>
      </c>
      <c r="F4633" t="s">
        <v>9</v>
      </c>
    </row>
    <row r="4634" spans="1:6" x14ac:dyDescent="0.3">
      <c r="A4634" t="s">
        <v>919</v>
      </c>
      <c r="B4634" t="s">
        <v>920</v>
      </c>
      <c r="C4634" t="str">
        <f>HYPERLINK("http://service.sap.com/sap/support/notes/1954068","1954068")</f>
        <v>1954068</v>
      </c>
      <c r="D4634">
        <v>3</v>
      </c>
      <c r="E4634" t="s">
        <v>5011</v>
      </c>
      <c r="F4634" t="s">
        <v>9</v>
      </c>
    </row>
    <row r="4635" spans="1:6" x14ac:dyDescent="0.3">
      <c r="A4635" t="s">
        <v>919</v>
      </c>
      <c r="B4635" t="s">
        <v>920</v>
      </c>
      <c r="C4635" t="str">
        <f>HYPERLINK("http://service.sap.com/sap/support/notes/2026914","2026914")</f>
        <v>2026914</v>
      </c>
      <c r="D4635">
        <v>4</v>
      </c>
      <c r="E4635" t="s">
        <v>5012</v>
      </c>
      <c r="F4635" t="s">
        <v>9</v>
      </c>
    </row>
    <row r="4636" spans="1:6" x14ac:dyDescent="0.3">
      <c r="A4636" t="s">
        <v>919</v>
      </c>
      <c r="B4636" t="s">
        <v>920</v>
      </c>
      <c r="C4636" t="str">
        <f>HYPERLINK("http://service.sap.com/sap/support/notes/2032048","2032048")</f>
        <v>2032048</v>
      </c>
      <c r="D4636">
        <v>2</v>
      </c>
      <c r="E4636" t="s">
        <v>5013</v>
      </c>
      <c r="F4636" t="s">
        <v>9</v>
      </c>
    </row>
    <row r="4637" spans="1:6" x14ac:dyDescent="0.3">
      <c r="A4637" t="s">
        <v>919</v>
      </c>
      <c r="B4637" t="s">
        <v>920</v>
      </c>
      <c r="C4637" t="str">
        <f>HYPERLINK("http://service.sap.com/sap/support/notes/2041144","2041144")</f>
        <v>2041144</v>
      </c>
      <c r="D4637">
        <v>2</v>
      </c>
      <c r="E4637" t="s">
        <v>5014</v>
      </c>
      <c r="F4637" t="s">
        <v>9</v>
      </c>
    </row>
    <row r="4638" spans="1:6" x14ac:dyDescent="0.3">
      <c r="A4638" t="s">
        <v>919</v>
      </c>
      <c r="B4638" t="s">
        <v>920</v>
      </c>
      <c r="C4638" t="str">
        <f>HYPERLINK("http://service.sap.com/sap/support/notes/2012769","2012769")</f>
        <v>2012769</v>
      </c>
      <c r="D4638">
        <v>3</v>
      </c>
      <c r="E4638" t="s">
        <v>5330</v>
      </c>
      <c r="F4638" t="s">
        <v>9</v>
      </c>
    </row>
    <row r="4639" spans="1:6" x14ac:dyDescent="0.3">
      <c r="A4639" t="s">
        <v>919</v>
      </c>
      <c r="B4639" t="s">
        <v>920</v>
      </c>
      <c r="C4639" t="str">
        <f>HYPERLINK("http://service.sap.com/sap/support/notes/2015719","2015719")</f>
        <v>2015719</v>
      </c>
      <c r="D4639">
        <v>2</v>
      </c>
      <c r="E4639" t="s">
        <v>5331</v>
      </c>
      <c r="F4639" t="s">
        <v>9</v>
      </c>
    </row>
    <row r="4640" spans="1:6" x14ac:dyDescent="0.3">
      <c r="A4640" t="s">
        <v>919</v>
      </c>
      <c r="B4640" t="s">
        <v>920</v>
      </c>
      <c r="C4640" t="str">
        <f>HYPERLINK("http://service.sap.com/sap/support/notes/2022915","2022915")</f>
        <v>2022915</v>
      </c>
      <c r="D4640">
        <v>2</v>
      </c>
      <c r="E4640" t="s">
        <v>5332</v>
      </c>
      <c r="F4640" t="s">
        <v>9</v>
      </c>
    </row>
    <row r="4641" spans="1:6" x14ac:dyDescent="0.3">
      <c r="A4641" t="s">
        <v>919</v>
      </c>
      <c r="B4641" t="s">
        <v>920</v>
      </c>
      <c r="C4641" t="str">
        <f>HYPERLINK("http://service.sap.com/sap/support/notes/2052284","2052284")</f>
        <v>2052284</v>
      </c>
      <c r="D4641">
        <v>1</v>
      </c>
      <c r="E4641" t="s">
        <v>5333</v>
      </c>
      <c r="F4641" t="s">
        <v>9</v>
      </c>
    </row>
    <row r="4642" spans="1:6" x14ac:dyDescent="0.3">
      <c r="A4642" t="s">
        <v>919</v>
      </c>
      <c r="B4642" t="s">
        <v>920</v>
      </c>
      <c r="C4642" t="str">
        <f>HYPERLINK("http://service.sap.com/sap/support/notes/2033999","2033999")</f>
        <v>2033999</v>
      </c>
      <c r="D4642">
        <v>2</v>
      </c>
      <c r="E4642" t="s">
        <v>5677</v>
      </c>
      <c r="F4642" t="s">
        <v>9</v>
      </c>
    </row>
    <row r="4643" spans="1:6" x14ac:dyDescent="0.3">
      <c r="A4643" t="s">
        <v>919</v>
      </c>
      <c r="B4643" t="s">
        <v>920</v>
      </c>
      <c r="C4643" t="str">
        <f>HYPERLINK("http://service.sap.com/sap/support/notes/2058427","2058427")</f>
        <v>2058427</v>
      </c>
      <c r="D4643">
        <v>2</v>
      </c>
      <c r="E4643" t="s">
        <v>5678</v>
      </c>
      <c r="F4643" t="s">
        <v>9</v>
      </c>
    </row>
    <row r="4644" spans="1:6" x14ac:dyDescent="0.3">
      <c r="A4644" t="s">
        <v>926</v>
      </c>
      <c r="B4644" t="s">
        <v>218</v>
      </c>
      <c r="C4644" t="str">
        <f>HYPERLINK("http://service.sap.com/sap/support/notes/1903261","1903261")</f>
        <v>1903261</v>
      </c>
      <c r="D4644">
        <v>3</v>
      </c>
      <c r="E4644" t="s">
        <v>927</v>
      </c>
      <c r="F4644" t="s">
        <v>9</v>
      </c>
    </row>
    <row r="4645" spans="1:6" x14ac:dyDescent="0.3">
      <c r="A4645" t="s">
        <v>926</v>
      </c>
      <c r="B4645" t="s">
        <v>218</v>
      </c>
      <c r="C4645" t="str">
        <f>HYPERLINK("http://service.sap.com/sap/support/notes/1907517","1907517")</f>
        <v>1907517</v>
      </c>
      <c r="D4645">
        <v>1</v>
      </c>
      <c r="E4645" t="s">
        <v>928</v>
      </c>
      <c r="F4645" t="s">
        <v>9</v>
      </c>
    </row>
    <row r="4646" spans="1:6" x14ac:dyDescent="0.3">
      <c r="A4646" t="s">
        <v>926</v>
      </c>
      <c r="B4646" t="s">
        <v>218</v>
      </c>
      <c r="C4646" t="str">
        <f>HYPERLINK("http://service.sap.com/sap/support/notes/1915765","1915765")</f>
        <v>1915765</v>
      </c>
      <c r="D4646">
        <v>2</v>
      </c>
      <c r="E4646" t="s">
        <v>929</v>
      </c>
      <c r="F4646" t="s">
        <v>28</v>
      </c>
    </row>
    <row r="4647" spans="1:6" x14ac:dyDescent="0.3">
      <c r="A4647" t="s">
        <v>926</v>
      </c>
      <c r="B4647" t="s">
        <v>218</v>
      </c>
      <c r="C4647" t="str">
        <f>HYPERLINK("http://service.sap.com/sap/support/notes/1917562","1917562")</f>
        <v>1917562</v>
      </c>
      <c r="D4647">
        <v>1</v>
      </c>
      <c r="E4647" t="s">
        <v>930</v>
      </c>
      <c r="F4647" t="s">
        <v>9</v>
      </c>
    </row>
    <row r="4648" spans="1:6" x14ac:dyDescent="0.3">
      <c r="A4648" t="s">
        <v>926</v>
      </c>
      <c r="B4648" t="s">
        <v>218</v>
      </c>
      <c r="C4648" t="str">
        <f>HYPERLINK("http://service.sap.com/sap/support/notes/1918838","1918838")</f>
        <v>1918838</v>
      </c>
      <c r="D4648">
        <v>1</v>
      </c>
      <c r="E4648" t="s">
        <v>931</v>
      </c>
      <c r="F4648" t="s">
        <v>9</v>
      </c>
    </row>
    <row r="4649" spans="1:6" x14ac:dyDescent="0.3">
      <c r="A4649" t="s">
        <v>926</v>
      </c>
      <c r="B4649" t="s">
        <v>218</v>
      </c>
      <c r="C4649" t="str">
        <f>HYPERLINK("http://service.sap.com/sap/support/notes/1918998","1918998")</f>
        <v>1918998</v>
      </c>
      <c r="D4649">
        <v>3</v>
      </c>
      <c r="E4649" t="s">
        <v>932</v>
      </c>
      <c r="F4649" t="s">
        <v>28</v>
      </c>
    </row>
    <row r="4650" spans="1:6" x14ac:dyDescent="0.3">
      <c r="A4650" t="s">
        <v>926</v>
      </c>
      <c r="B4650" t="s">
        <v>218</v>
      </c>
      <c r="C4650" t="str">
        <f>HYPERLINK("http://service.sap.com/sap/support/notes/1920945","1920945")</f>
        <v>1920945</v>
      </c>
      <c r="D4650">
        <v>1</v>
      </c>
      <c r="E4650" t="s">
        <v>933</v>
      </c>
      <c r="F4650" t="s">
        <v>9</v>
      </c>
    </row>
    <row r="4651" spans="1:6" x14ac:dyDescent="0.3">
      <c r="A4651" t="s">
        <v>926</v>
      </c>
      <c r="B4651" t="s">
        <v>218</v>
      </c>
      <c r="C4651" t="str">
        <f>HYPERLINK("http://service.sap.com/sap/support/notes/1923358","1923358")</f>
        <v>1923358</v>
      </c>
      <c r="D4651">
        <v>1</v>
      </c>
      <c r="E4651" t="s">
        <v>934</v>
      </c>
      <c r="F4651" t="s">
        <v>9</v>
      </c>
    </row>
    <row r="4652" spans="1:6" x14ac:dyDescent="0.3">
      <c r="A4652" t="s">
        <v>926</v>
      </c>
      <c r="B4652" t="s">
        <v>218</v>
      </c>
      <c r="C4652" t="str">
        <f>HYPERLINK("http://service.sap.com/sap/support/notes/1923655","1923655")</f>
        <v>1923655</v>
      </c>
      <c r="D4652">
        <v>1</v>
      </c>
      <c r="E4652" t="s">
        <v>935</v>
      </c>
      <c r="F4652" t="s">
        <v>9</v>
      </c>
    </row>
    <row r="4653" spans="1:6" x14ac:dyDescent="0.3">
      <c r="A4653" t="s">
        <v>926</v>
      </c>
      <c r="B4653" t="s">
        <v>218</v>
      </c>
      <c r="C4653" t="str">
        <f>HYPERLINK("http://service.sap.com/sap/support/notes/1924789","1924789")</f>
        <v>1924789</v>
      </c>
      <c r="D4653">
        <v>1</v>
      </c>
      <c r="E4653" t="s">
        <v>936</v>
      </c>
      <c r="F4653" t="s">
        <v>9</v>
      </c>
    </row>
    <row r="4654" spans="1:6" x14ac:dyDescent="0.3">
      <c r="A4654" t="s">
        <v>926</v>
      </c>
      <c r="B4654" t="s">
        <v>218</v>
      </c>
      <c r="C4654" t="str">
        <f>HYPERLINK("http://service.sap.com/sap/support/notes/1925457","1925457")</f>
        <v>1925457</v>
      </c>
      <c r="D4654">
        <v>1</v>
      </c>
      <c r="E4654" t="s">
        <v>937</v>
      </c>
      <c r="F4654" t="s">
        <v>9</v>
      </c>
    </row>
    <row r="4655" spans="1:6" x14ac:dyDescent="0.3">
      <c r="A4655" t="s">
        <v>926</v>
      </c>
      <c r="B4655" t="s">
        <v>218</v>
      </c>
      <c r="C4655" t="str">
        <f>HYPERLINK("http://service.sap.com/sap/support/notes/1926761","1926761")</f>
        <v>1926761</v>
      </c>
      <c r="D4655">
        <v>1</v>
      </c>
      <c r="E4655" t="s">
        <v>938</v>
      </c>
      <c r="F4655" t="s">
        <v>9</v>
      </c>
    </row>
    <row r="4656" spans="1:6" x14ac:dyDescent="0.3">
      <c r="A4656" t="s">
        <v>926</v>
      </c>
      <c r="B4656" t="s">
        <v>218</v>
      </c>
      <c r="C4656" t="str">
        <f>HYPERLINK("http://service.sap.com/sap/support/notes/1927942","1927942")</f>
        <v>1927942</v>
      </c>
      <c r="D4656">
        <v>1</v>
      </c>
      <c r="E4656" t="s">
        <v>939</v>
      </c>
      <c r="F4656" t="s">
        <v>9</v>
      </c>
    </row>
    <row r="4657" spans="1:6" x14ac:dyDescent="0.3">
      <c r="A4657" t="s">
        <v>926</v>
      </c>
      <c r="B4657" t="s">
        <v>218</v>
      </c>
      <c r="C4657" t="str">
        <f>HYPERLINK("http://service.sap.com/sap/support/notes/1884551","1884551")</f>
        <v>1884551</v>
      </c>
      <c r="D4657">
        <v>4</v>
      </c>
      <c r="E4657" t="s">
        <v>1369</v>
      </c>
      <c r="F4657" t="s">
        <v>9</v>
      </c>
    </row>
    <row r="4658" spans="1:6" x14ac:dyDescent="0.3">
      <c r="A4658" t="s">
        <v>926</v>
      </c>
      <c r="B4658" t="s">
        <v>218</v>
      </c>
      <c r="C4658" t="str">
        <f>HYPERLINK("http://service.sap.com/sap/support/notes/1924789","1924789")</f>
        <v>1924789</v>
      </c>
      <c r="D4658">
        <v>1</v>
      </c>
      <c r="E4658" t="s">
        <v>936</v>
      </c>
      <c r="F4658" t="s">
        <v>9</v>
      </c>
    </row>
    <row r="4659" spans="1:6" x14ac:dyDescent="0.3">
      <c r="A4659" t="s">
        <v>926</v>
      </c>
      <c r="B4659" t="s">
        <v>218</v>
      </c>
      <c r="C4659" t="str">
        <f>HYPERLINK("http://service.sap.com/sap/support/notes/1926607","1926607")</f>
        <v>1926607</v>
      </c>
      <c r="D4659">
        <v>7</v>
      </c>
      <c r="E4659" t="s">
        <v>1370</v>
      </c>
      <c r="F4659" t="s">
        <v>9</v>
      </c>
    </row>
    <row r="4660" spans="1:6" x14ac:dyDescent="0.3">
      <c r="A4660" t="s">
        <v>926</v>
      </c>
      <c r="B4660" t="s">
        <v>218</v>
      </c>
      <c r="C4660" t="str">
        <f>HYPERLINK("http://service.sap.com/sap/support/notes/1928645","1928645")</f>
        <v>1928645</v>
      </c>
      <c r="D4660">
        <v>3</v>
      </c>
      <c r="E4660" t="s">
        <v>1371</v>
      </c>
      <c r="F4660" t="s">
        <v>9</v>
      </c>
    </row>
    <row r="4661" spans="1:6" x14ac:dyDescent="0.3">
      <c r="A4661" t="s">
        <v>926</v>
      </c>
      <c r="B4661" t="s">
        <v>218</v>
      </c>
      <c r="C4661" t="str">
        <f>HYPERLINK("http://service.sap.com/sap/support/notes/1932287","1932287")</f>
        <v>1932287</v>
      </c>
      <c r="D4661">
        <v>2</v>
      </c>
      <c r="E4661" t="s">
        <v>1372</v>
      </c>
      <c r="F4661" t="s">
        <v>9</v>
      </c>
    </row>
    <row r="4662" spans="1:6" x14ac:dyDescent="0.3">
      <c r="A4662" t="s">
        <v>926</v>
      </c>
      <c r="B4662" t="s">
        <v>218</v>
      </c>
      <c r="C4662" t="str">
        <f>HYPERLINK("http://service.sap.com/sap/support/notes/1932824","1932824")</f>
        <v>1932824</v>
      </c>
      <c r="D4662">
        <v>3</v>
      </c>
      <c r="E4662" t="s">
        <v>1373</v>
      </c>
      <c r="F4662" t="s">
        <v>9</v>
      </c>
    </row>
    <row r="4663" spans="1:6" x14ac:dyDescent="0.3">
      <c r="A4663" t="s">
        <v>926</v>
      </c>
      <c r="B4663" t="s">
        <v>218</v>
      </c>
      <c r="C4663" t="str">
        <f>HYPERLINK("http://service.sap.com/sap/support/notes/1933415","1933415")</f>
        <v>1933415</v>
      </c>
      <c r="D4663">
        <v>2</v>
      </c>
      <c r="E4663" t="s">
        <v>1374</v>
      </c>
      <c r="F4663" t="s">
        <v>9</v>
      </c>
    </row>
    <row r="4664" spans="1:6" x14ac:dyDescent="0.3">
      <c r="A4664" t="s">
        <v>926</v>
      </c>
      <c r="B4664" t="s">
        <v>218</v>
      </c>
      <c r="C4664" t="str">
        <f>HYPERLINK("http://service.sap.com/sap/support/notes/1934102","1934102")</f>
        <v>1934102</v>
      </c>
      <c r="D4664">
        <v>1</v>
      </c>
      <c r="E4664" t="s">
        <v>1375</v>
      </c>
      <c r="F4664" t="s">
        <v>9</v>
      </c>
    </row>
    <row r="4665" spans="1:6" x14ac:dyDescent="0.3">
      <c r="A4665" t="s">
        <v>926</v>
      </c>
      <c r="B4665" t="s">
        <v>218</v>
      </c>
      <c r="C4665" t="str">
        <f>HYPERLINK("http://service.sap.com/sap/support/notes/1935017","1935017")</f>
        <v>1935017</v>
      </c>
      <c r="D4665">
        <v>2</v>
      </c>
      <c r="E4665" t="s">
        <v>1376</v>
      </c>
      <c r="F4665" t="s">
        <v>9</v>
      </c>
    </row>
    <row r="4666" spans="1:6" x14ac:dyDescent="0.3">
      <c r="A4666" t="s">
        <v>926</v>
      </c>
      <c r="B4666" t="s">
        <v>218</v>
      </c>
      <c r="C4666" t="str">
        <f>HYPERLINK("http://service.sap.com/sap/support/notes/1936857","1936857")</f>
        <v>1936857</v>
      </c>
      <c r="D4666">
        <v>2</v>
      </c>
      <c r="E4666" t="s">
        <v>1377</v>
      </c>
      <c r="F4666" t="s">
        <v>9</v>
      </c>
    </row>
    <row r="4667" spans="1:6" x14ac:dyDescent="0.3">
      <c r="A4667" t="s">
        <v>926</v>
      </c>
      <c r="B4667" t="s">
        <v>218</v>
      </c>
      <c r="C4667" t="str">
        <f>HYPERLINK("http://service.sap.com/sap/support/notes/1936993","1936993")</f>
        <v>1936993</v>
      </c>
      <c r="D4667">
        <v>1</v>
      </c>
      <c r="E4667" t="s">
        <v>1378</v>
      </c>
      <c r="F4667" t="s">
        <v>9</v>
      </c>
    </row>
    <row r="4668" spans="1:6" x14ac:dyDescent="0.3">
      <c r="A4668" t="s">
        <v>926</v>
      </c>
      <c r="B4668" t="s">
        <v>218</v>
      </c>
      <c r="C4668" t="str">
        <f>HYPERLINK("http://service.sap.com/sap/support/notes/1924006","1924006")</f>
        <v>1924006</v>
      </c>
      <c r="D4668">
        <v>5</v>
      </c>
      <c r="E4668" t="s">
        <v>1449</v>
      </c>
      <c r="F4668" t="s">
        <v>9</v>
      </c>
    </row>
    <row r="4669" spans="1:6" x14ac:dyDescent="0.3">
      <c r="A4669" t="s">
        <v>926</v>
      </c>
      <c r="B4669" t="s">
        <v>218</v>
      </c>
      <c r="C4669" t="str">
        <f>HYPERLINK("http://service.sap.com/sap/support/notes/1931429","1931429")</f>
        <v>1931429</v>
      </c>
      <c r="D4669">
        <v>3</v>
      </c>
      <c r="E4669" t="s">
        <v>1450</v>
      </c>
      <c r="F4669" t="s">
        <v>9</v>
      </c>
    </row>
    <row r="4670" spans="1:6" x14ac:dyDescent="0.3">
      <c r="A4670" t="s">
        <v>926</v>
      </c>
      <c r="B4670" t="s">
        <v>218</v>
      </c>
      <c r="C4670" t="str">
        <f>HYPERLINK("http://service.sap.com/sap/support/notes/1932824","1932824")</f>
        <v>1932824</v>
      </c>
      <c r="D4670">
        <v>3</v>
      </c>
      <c r="E4670" t="s">
        <v>1373</v>
      </c>
      <c r="F4670" t="s">
        <v>9</v>
      </c>
    </row>
    <row r="4671" spans="1:6" x14ac:dyDescent="0.3">
      <c r="A4671" t="s">
        <v>926</v>
      </c>
      <c r="B4671" t="s">
        <v>218</v>
      </c>
      <c r="C4671" t="str">
        <f>HYPERLINK("http://service.sap.com/sap/support/notes/1939625","1939625")</f>
        <v>1939625</v>
      </c>
      <c r="D4671">
        <v>1</v>
      </c>
      <c r="E4671" t="s">
        <v>1451</v>
      </c>
      <c r="F4671" t="s">
        <v>9</v>
      </c>
    </row>
    <row r="4672" spans="1:6" x14ac:dyDescent="0.3">
      <c r="A4672" t="s">
        <v>926</v>
      </c>
      <c r="B4672" t="s">
        <v>218</v>
      </c>
      <c r="C4672" t="str">
        <f>HYPERLINK("http://service.sap.com/sap/support/notes/1946505","1946505")</f>
        <v>1946505</v>
      </c>
      <c r="D4672">
        <v>2</v>
      </c>
      <c r="E4672" t="s">
        <v>1452</v>
      </c>
      <c r="F4672" t="s">
        <v>9</v>
      </c>
    </row>
    <row r="4673" spans="1:6" x14ac:dyDescent="0.3">
      <c r="A4673" t="s">
        <v>926</v>
      </c>
      <c r="B4673" t="s">
        <v>218</v>
      </c>
      <c r="C4673" t="str">
        <f>HYPERLINK("http://service.sap.com/sap/support/notes/1869783","1869783")</f>
        <v>1869783</v>
      </c>
      <c r="D4673">
        <v>18</v>
      </c>
      <c r="E4673" t="s">
        <v>1976</v>
      </c>
      <c r="F4673" t="s">
        <v>9</v>
      </c>
    </row>
    <row r="4674" spans="1:6" x14ac:dyDescent="0.3">
      <c r="A4674" t="s">
        <v>926</v>
      </c>
      <c r="B4674" t="s">
        <v>218</v>
      </c>
      <c r="C4674" t="str">
        <f>HYPERLINK("http://service.sap.com/sap/support/notes/1905493","1905493")</f>
        <v>1905493</v>
      </c>
      <c r="D4674">
        <v>1</v>
      </c>
      <c r="E4674" t="s">
        <v>1977</v>
      </c>
      <c r="F4674" t="s">
        <v>16</v>
      </c>
    </row>
    <row r="4675" spans="1:6" x14ac:dyDescent="0.3">
      <c r="A4675" t="s">
        <v>926</v>
      </c>
      <c r="B4675" t="s">
        <v>218</v>
      </c>
      <c r="C4675" t="str">
        <f>HYPERLINK("http://service.sap.com/sap/support/notes/1919377","1919377")</f>
        <v>1919377</v>
      </c>
      <c r="D4675">
        <v>5</v>
      </c>
      <c r="E4675" t="s">
        <v>1978</v>
      </c>
      <c r="F4675" t="s">
        <v>9</v>
      </c>
    </row>
    <row r="4676" spans="1:6" x14ac:dyDescent="0.3">
      <c r="A4676" t="s">
        <v>926</v>
      </c>
      <c r="B4676" t="s">
        <v>218</v>
      </c>
      <c r="C4676" t="str">
        <f>HYPERLINK("http://service.sap.com/sap/support/notes/1931272","1931272")</f>
        <v>1931272</v>
      </c>
      <c r="D4676">
        <v>2</v>
      </c>
      <c r="E4676" t="s">
        <v>1979</v>
      </c>
      <c r="F4676" t="s">
        <v>9</v>
      </c>
    </row>
    <row r="4677" spans="1:6" x14ac:dyDescent="0.3">
      <c r="A4677" t="s">
        <v>926</v>
      </c>
      <c r="B4677" t="s">
        <v>218</v>
      </c>
      <c r="C4677" t="str">
        <f>HYPERLINK("http://service.sap.com/sap/support/notes/1938974","1938974")</f>
        <v>1938974</v>
      </c>
      <c r="D4677">
        <v>2</v>
      </c>
      <c r="E4677" t="s">
        <v>1980</v>
      </c>
      <c r="F4677" t="s">
        <v>9</v>
      </c>
    </row>
    <row r="4678" spans="1:6" x14ac:dyDescent="0.3">
      <c r="A4678" t="s">
        <v>926</v>
      </c>
      <c r="B4678" t="s">
        <v>218</v>
      </c>
      <c r="C4678" t="str">
        <f>HYPERLINK("http://service.sap.com/sap/support/notes/1943699","1943699")</f>
        <v>1943699</v>
      </c>
      <c r="D4678">
        <v>1</v>
      </c>
      <c r="E4678" t="s">
        <v>1981</v>
      </c>
      <c r="F4678" t="s">
        <v>9</v>
      </c>
    </row>
    <row r="4679" spans="1:6" x14ac:dyDescent="0.3">
      <c r="A4679" t="s">
        <v>926</v>
      </c>
      <c r="B4679" t="s">
        <v>218</v>
      </c>
      <c r="C4679" t="str">
        <f>HYPERLINK("http://service.sap.com/sap/support/notes/1949104","1949104")</f>
        <v>1949104</v>
      </c>
      <c r="D4679">
        <v>2</v>
      </c>
      <c r="E4679" t="s">
        <v>1982</v>
      </c>
      <c r="F4679" t="s">
        <v>28</v>
      </c>
    </row>
    <row r="4680" spans="1:6" x14ac:dyDescent="0.3">
      <c r="A4680" t="s">
        <v>926</v>
      </c>
      <c r="B4680" t="s">
        <v>218</v>
      </c>
      <c r="C4680" t="str">
        <f>HYPERLINK("http://service.sap.com/sap/support/notes/1951185","1951185")</f>
        <v>1951185</v>
      </c>
      <c r="D4680">
        <v>3</v>
      </c>
      <c r="E4680" t="s">
        <v>1983</v>
      </c>
      <c r="F4680" t="s">
        <v>9</v>
      </c>
    </row>
    <row r="4681" spans="1:6" x14ac:dyDescent="0.3">
      <c r="A4681" t="s">
        <v>926</v>
      </c>
      <c r="B4681" t="s">
        <v>218</v>
      </c>
      <c r="C4681" t="str">
        <f>HYPERLINK("http://service.sap.com/sap/support/notes/1952491","1952491")</f>
        <v>1952491</v>
      </c>
      <c r="D4681">
        <v>1</v>
      </c>
      <c r="E4681" t="s">
        <v>1984</v>
      </c>
      <c r="F4681" t="s">
        <v>9</v>
      </c>
    </row>
    <row r="4682" spans="1:6" x14ac:dyDescent="0.3">
      <c r="A4682" t="s">
        <v>926</v>
      </c>
      <c r="B4682" t="s">
        <v>218</v>
      </c>
      <c r="C4682" t="str">
        <f>HYPERLINK("http://service.sap.com/sap/support/notes/1952494","1952494")</f>
        <v>1952494</v>
      </c>
      <c r="D4682">
        <v>4</v>
      </c>
      <c r="E4682" t="s">
        <v>1985</v>
      </c>
      <c r="F4682" t="s">
        <v>9</v>
      </c>
    </row>
    <row r="4683" spans="1:6" x14ac:dyDescent="0.3">
      <c r="A4683" t="s">
        <v>926</v>
      </c>
      <c r="B4683" t="s">
        <v>218</v>
      </c>
      <c r="C4683" t="str">
        <f>HYPERLINK("http://service.sap.com/sap/support/notes/1952560","1952560")</f>
        <v>1952560</v>
      </c>
      <c r="D4683">
        <v>4</v>
      </c>
      <c r="E4683" t="s">
        <v>1986</v>
      </c>
      <c r="F4683" t="s">
        <v>9</v>
      </c>
    </row>
    <row r="4684" spans="1:6" x14ac:dyDescent="0.3">
      <c r="A4684" t="s">
        <v>926</v>
      </c>
      <c r="B4684" t="s">
        <v>218</v>
      </c>
      <c r="C4684" t="str">
        <f>HYPERLINK("http://service.sap.com/sap/support/notes/1954465","1954465")</f>
        <v>1954465</v>
      </c>
      <c r="D4684">
        <v>1</v>
      </c>
      <c r="E4684" t="s">
        <v>1987</v>
      </c>
      <c r="F4684" t="s">
        <v>9</v>
      </c>
    </row>
    <row r="4685" spans="1:6" x14ac:dyDescent="0.3">
      <c r="A4685" t="s">
        <v>926</v>
      </c>
      <c r="B4685" t="s">
        <v>218</v>
      </c>
      <c r="C4685" t="str">
        <f>HYPERLINK("http://service.sap.com/sap/support/notes/1959739","1959739")</f>
        <v>1959739</v>
      </c>
      <c r="D4685">
        <v>1</v>
      </c>
      <c r="E4685" t="s">
        <v>1988</v>
      </c>
      <c r="F4685" t="s">
        <v>9</v>
      </c>
    </row>
    <row r="4686" spans="1:6" x14ac:dyDescent="0.3">
      <c r="A4686" t="s">
        <v>926</v>
      </c>
      <c r="B4686" t="s">
        <v>218</v>
      </c>
      <c r="C4686" t="str">
        <f>HYPERLINK("http://service.sap.com/sap/support/notes/1959809","1959809")</f>
        <v>1959809</v>
      </c>
      <c r="D4686">
        <v>1</v>
      </c>
      <c r="E4686" t="s">
        <v>1989</v>
      </c>
      <c r="F4686" t="s">
        <v>9</v>
      </c>
    </row>
    <row r="4687" spans="1:6" x14ac:dyDescent="0.3">
      <c r="A4687" t="s">
        <v>926</v>
      </c>
      <c r="B4687" t="s">
        <v>218</v>
      </c>
      <c r="C4687" t="str">
        <f>HYPERLINK("http://service.sap.com/sap/support/notes/1960208","1960208")</f>
        <v>1960208</v>
      </c>
      <c r="D4687">
        <v>1</v>
      </c>
      <c r="E4687" t="s">
        <v>1990</v>
      </c>
      <c r="F4687" t="s">
        <v>9</v>
      </c>
    </row>
    <row r="4688" spans="1:6" x14ac:dyDescent="0.3">
      <c r="A4688" t="s">
        <v>926</v>
      </c>
      <c r="B4688" t="s">
        <v>218</v>
      </c>
      <c r="C4688" t="str">
        <f>HYPERLINK("http://service.sap.com/sap/support/notes/1960244","1960244")</f>
        <v>1960244</v>
      </c>
      <c r="D4688">
        <v>1</v>
      </c>
      <c r="E4688" t="s">
        <v>1991</v>
      </c>
      <c r="F4688" t="s">
        <v>9</v>
      </c>
    </row>
    <row r="4689" spans="1:6" x14ac:dyDescent="0.3">
      <c r="A4689" t="s">
        <v>926</v>
      </c>
      <c r="B4689" t="s">
        <v>218</v>
      </c>
      <c r="C4689" t="str">
        <f>HYPERLINK("http://service.sap.com/sap/support/notes/1961183","1961183")</f>
        <v>1961183</v>
      </c>
      <c r="D4689">
        <v>1</v>
      </c>
      <c r="E4689" t="s">
        <v>1992</v>
      </c>
      <c r="F4689" t="s">
        <v>9</v>
      </c>
    </row>
    <row r="4690" spans="1:6" x14ac:dyDescent="0.3">
      <c r="A4690" t="s">
        <v>926</v>
      </c>
      <c r="B4690" t="s">
        <v>218</v>
      </c>
      <c r="C4690" t="str">
        <f>HYPERLINK("http://service.sap.com/sap/support/notes/1961205","1961205")</f>
        <v>1961205</v>
      </c>
      <c r="D4690">
        <v>2</v>
      </c>
      <c r="E4690" t="s">
        <v>1993</v>
      </c>
      <c r="F4690" t="s">
        <v>28</v>
      </c>
    </row>
    <row r="4691" spans="1:6" x14ac:dyDescent="0.3">
      <c r="A4691" t="s">
        <v>926</v>
      </c>
      <c r="B4691" t="s">
        <v>218</v>
      </c>
      <c r="C4691" t="str">
        <f>HYPERLINK("http://service.sap.com/sap/support/notes/1919377","1919377")</f>
        <v>1919377</v>
      </c>
      <c r="D4691">
        <v>5</v>
      </c>
      <c r="E4691" t="s">
        <v>1978</v>
      </c>
      <c r="F4691" t="s">
        <v>9</v>
      </c>
    </row>
    <row r="4692" spans="1:6" x14ac:dyDescent="0.3">
      <c r="A4692" t="s">
        <v>926</v>
      </c>
      <c r="B4692" t="s">
        <v>218</v>
      </c>
      <c r="C4692" t="str">
        <f>HYPERLINK("http://service.sap.com/sap/support/notes/1961148","1961148")</f>
        <v>1961148</v>
      </c>
      <c r="D4692">
        <v>2</v>
      </c>
      <c r="E4692" t="s">
        <v>2333</v>
      </c>
      <c r="F4692" t="s">
        <v>9</v>
      </c>
    </row>
    <row r="4693" spans="1:6" x14ac:dyDescent="0.3">
      <c r="A4693" t="s">
        <v>926</v>
      </c>
      <c r="B4693" t="s">
        <v>218</v>
      </c>
      <c r="C4693" t="str">
        <f>HYPERLINK("http://service.sap.com/sap/support/notes/1961918","1961918")</f>
        <v>1961918</v>
      </c>
      <c r="D4693">
        <v>3</v>
      </c>
      <c r="E4693" t="s">
        <v>2334</v>
      </c>
      <c r="F4693" t="s">
        <v>9</v>
      </c>
    </row>
    <row r="4694" spans="1:6" x14ac:dyDescent="0.3">
      <c r="A4694" t="s">
        <v>926</v>
      </c>
      <c r="B4694" t="s">
        <v>218</v>
      </c>
      <c r="C4694" t="str">
        <f>HYPERLINK("http://service.sap.com/sap/support/notes/1963108","1963108")</f>
        <v>1963108</v>
      </c>
      <c r="D4694">
        <v>1</v>
      </c>
      <c r="E4694" t="s">
        <v>2335</v>
      </c>
      <c r="F4694" t="s">
        <v>9</v>
      </c>
    </row>
    <row r="4695" spans="1:6" x14ac:dyDescent="0.3">
      <c r="A4695" t="s">
        <v>926</v>
      </c>
      <c r="B4695" t="s">
        <v>218</v>
      </c>
      <c r="C4695" t="str">
        <f>HYPERLINK("http://service.sap.com/sap/support/notes/1964342","1964342")</f>
        <v>1964342</v>
      </c>
      <c r="D4695">
        <v>1</v>
      </c>
      <c r="E4695" t="s">
        <v>2336</v>
      </c>
      <c r="F4695" t="s">
        <v>9</v>
      </c>
    </row>
    <row r="4696" spans="1:6" x14ac:dyDescent="0.3">
      <c r="A4696" t="s">
        <v>926</v>
      </c>
      <c r="B4696" t="s">
        <v>218</v>
      </c>
      <c r="C4696" t="str">
        <f>HYPERLINK("http://service.sap.com/sap/support/notes/1966849","1966849")</f>
        <v>1966849</v>
      </c>
      <c r="D4696">
        <v>2</v>
      </c>
      <c r="E4696" t="s">
        <v>2337</v>
      </c>
      <c r="F4696" t="s">
        <v>9</v>
      </c>
    </row>
    <row r="4697" spans="1:6" x14ac:dyDescent="0.3">
      <c r="A4697" t="s">
        <v>926</v>
      </c>
      <c r="B4697" t="s">
        <v>218</v>
      </c>
      <c r="C4697" t="str">
        <f>HYPERLINK("http://service.sap.com/sap/support/notes/1968876","1968876")</f>
        <v>1968876</v>
      </c>
      <c r="D4697">
        <v>1</v>
      </c>
      <c r="E4697" t="s">
        <v>2338</v>
      </c>
      <c r="F4697" t="s">
        <v>9</v>
      </c>
    </row>
    <row r="4698" spans="1:6" x14ac:dyDescent="0.3">
      <c r="A4698" t="s">
        <v>926</v>
      </c>
      <c r="B4698" t="s">
        <v>218</v>
      </c>
      <c r="C4698" t="str">
        <f>HYPERLINK("http://service.sap.com/sap/support/notes/1970587","1970587")</f>
        <v>1970587</v>
      </c>
      <c r="D4698">
        <v>1</v>
      </c>
      <c r="E4698" t="s">
        <v>2339</v>
      </c>
      <c r="F4698" t="s">
        <v>9</v>
      </c>
    </row>
    <row r="4699" spans="1:6" x14ac:dyDescent="0.3">
      <c r="A4699" t="s">
        <v>926</v>
      </c>
      <c r="B4699" t="s">
        <v>218</v>
      </c>
      <c r="C4699" t="str">
        <f>HYPERLINK("http://service.sap.com/sap/support/notes/1869783","1869783")</f>
        <v>1869783</v>
      </c>
      <c r="D4699">
        <v>18</v>
      </c>
      <c r="E4699" t="s">
        <v>1976</v>
      </c>
      <c r="F4699" t="s">
        <v>9</v>
      </c>
    </row>
    <row r="4700" spans="1:6" x14ac:dyDescent="0.3">
      <c r="A4700" t="s">
        <v>926</v>
      </c>
      <c r="B4700" t="s">
        <v>218</v>
      </c>
      <c r="C4700" t="str">
        <f>HYPERLINK("http://service.sap.com/sap/support/notes/1938974","1938974")</f>
        <v>1938974</v>
      </c>
      <c r="D4700">
        <v>2</v>
      </c>
      <c r="E4700" t="s">
        <v>1980</v>
      </c>
      <c r="F4700" t="s">
        <v>9</v>
      </c>
    </row>
    <row r="4701" spans="1:6" x14ac:dyDescent="0.3">
      <c r="A4701" t="s">
        <v>926</v>
      </c>
      <c r="B4701" t="s">
        <v>218</v>
      </c>
      <c r="C4701" t="str">
        <f>HYPERLINK("http://service.sap.com/sap/support/notes/1959815","1959815")</f>
        <v>1959815</v>
      </c>
      <c r="D4701">
        <v>2</v>
      </c>
      <c r="E4701" t="s">
        <v>2741</v>
      </c>
      <c r="F4701" t="s">
        <v>9</v>
      </c>
    </row>
    <row r="4702" spans="1:6" x14ac:dyDescent="0.3">
      <c r="A4702" t="s">
        <v>926</v>
      </c>
      <c r="B4702" t="s">
        <v>218</v>
      </c>
      <c r="C4702" t="str">
        <f>HYPERLINK("http://service.sap.com/sap/support/notes/1961195","1961195")</f>
        <v>1961195</v>
      </c>
      <c r="D4702">
        <v>11</v>
      </c>
      <c r="E4702" t="s">
        <v>2742</v>
      </c>
      <c r="F4702" t="s">
        <v>9</v>
      </c>
    </row>
    <row r="4703" spans="1:6" x14ac:dyDescent="0.3">
      <c r="A4703" t="s">
        <v>926</v>
      </c>
      <c r="B4703" t="s">
        <v>218</v>
      </c>
      <c r="C4703" t="str">
        <f>HYPERLINK("http://service.sap.com/sap/support/notes/1969468","1969468")</f>
        <v>1969468</v>
      </c>
      <c r="D4703">
        <v>1</v>
      </c>
      <c r="E4703" t="s">
        <v>2743</v>
      </c>
      <c r="F4703" t="s">
        <v>9</v>
      </c>
    </row>
    <row r="4704" spans="1:6" x14ac:dyDescent="0.3">
      <c r="A4704" t="s">
        <v>926</v>
      </c>
      <c r="B4704" t="s">
        <v>218</v>
      </c>
      <c r="C4704" t="str">
        <f>HYPERLINK("http://service.sap.com/sap/support/notes/1970785","1970785")</f>
        <v>1970785</v>
      </c>
      <c r="D4704">
        <v>1</v>
      </c>
      <c r="E4704" t="s">
        <v>2744</v>
      </c>
      <c r="F4704" t="s">
        <v>9</v>
      </c>
    </row>
    <row r="4705" spans="1:6" x14ac:dyDescent="0.3">
      <c r="A4705" t="s">
        <v>926</v>
      </c>
      <c r="B4705" t="s">
        <v>218</v>
      </c>
      <c r="C4705" t="str">
        <f>HYPERLINK("http://service.sap.com/sap/support/notes/1971161","1971161")</f>
        <v>1971161</v>
      </c>
      <c r="D4705">
        <v>2</v>
      </c>
      <c r="E4705" t="s">
        <v>2745</v>
      </c>
      <c r="F4705" t="s">
        <v>9</v>
      </c>
    </row>
    <row r="4706" spans="1:6" x14ac:dyDescent="0.3">
      <c r="A4706" t="s">
        <v>926</v>
      </c>
      <c r="B4706" t="s">
        <v>218</v>
      </c>
      <c r="C4706" t="str">
        <f>HYPERLINK("http://service.sap.com/sap/support/notes/1973997","1973997")</f>
        <v>1973997</v>
      </c>
      <c r="D4706">
        <v>2</v>
      </c>
      <c r="E4706" t="s">
        <v>2746</v>
      </c>
      <c r="F4706" t="s">
        <v>28</v>
      </c>
    </row>
    <row r="4707" spans="1:6" x14ac:dyDescent="0.3">
      <c r="A4707" t="s">
        <v>926</v>
      </c>
      <c r="B4707" t="s">
        <v>218</v>
      </c>
      <c r="C4707" t="str">
        <f>HYPERLINK("http://service.sap.com/sap/support/notes/1976582","1976582")</f>
        <v>1976582</v>
      </c>
      <c r="D4707">
        <v>1</v>
      </c>
      <c r="E4707" t="s">
        <v>2747</v>
      </c>
      <c r="F4707" t="s">
        <v>9</v>
      </c>
    </row>
    <row r="4708" spans="1:6" x14ac:dyDescent="0.3">
      <c r="A4708" t="s">
        <v>926</v>
      </c>
      <c r="B4708" t="s">
        <v>218</v>
      </c>
      <c r="C4708" t="str">
        <f>HYPERLINK("http://service.sap.com/sap/support/notes/1976592","1976592")</f>
        <v>1976592</v>
      </c>
      <c r="D4708">
        <v>1</v>
      </c>
      <c r="E4708" t="s">
        <v>2748</v>
      </c>
      <c r="F4708" t="s">
        <v>28</v>
      </c>
    </row>
    <row r="4709" spans="1:6" x14ac:dyDescent="0.3">
      <c r="A4709" t="s">
        <v>926</v>
      </c>
      <c r="B4709" t="s">
        <v>218</v>
      </c>
      <c r="C4709" t="str">
        <f>HYPERLINK("http://service.sap.com/sap/support/notes/1977217","1977217")</f>
        <v>1977217</v>
      </c>
      <c r="D4709">
        <v>1</v>
      </c>
      <c r="E4709" t="s">
        <v>2749</v>
      </c>
      <c r="F4709" t="s">
        <v>9</v>
      </c>
    </row>
    <row r="4710" spans="1:6" x14ac:dyDescent="0.3">
      <c r="A4710" t="s">
        <v>926</v>
      </c>
      <c r="B4710" t="s">
        <v>218</v>
      </c>
      <c r="C4710" t="str">
        <f>HYPERLINK("http://service.sap.com/sap/support/notes/1977261","1977261")</f>
        <v>1977261</v>
      </c>
      <c r="D4710">
        <v>1</v>
      </c>
      <c r="E4710" t="s">
        <v>2750</v>
      </c>
      <c r="F4710" t="s">
        <v>9</v>
      </c>
    </row>
    <row r="4711" spans="1:6" x14ac:dyDescent="0.3">
      <c r="A4711" t="s">
        <v>926</v>
      </c>
      <c r="B4711" t="s">
        <v>218</v>
      </c>
      <c r="C4711" t="str">
        <f>HYPERLINK("http://service.sap.com/sap/support/notes/1978469","1978469")</f>
        <v>1978469</v>
      </c>
      <c r="D4711">
        <v>2</v>
      </c>
      <c r="E4711" t="s">
        <v>2751</v>
      </c>
      <c r="F4711" t="s">
        <v>9</v>
      </c>
    </row>
    <row r="4712" spans="1:6" x14ac:dyDescent="0.3">
      <c r="A4712" t="s">
        <v>926</v>
      </c>
      <c r="B4712" t="s">
        <v>218</v>
      </c>
      <c r="C4712" t="str">
        <f>HYPERLINK("http://service.sap.com/sap/support/notes/1979107","1979107")</f>
        <v>1979107</v>
      </c>
      <c r="D4712">
        <v>1</v>
      </c>
      <c r="E4712" t="s">
        <v>2752</v>
      </c>
      <c r="F4712" t="s">
        <v>9</v>
      </c>
    </row>
    <row r="4713" spans="1:6" x14ac:dyDescent="0.3">
      <c r="A4713" t="s">
        <v>926</v>
      </c>
      <c r="B4713" t="s">
        <v>218</v>
      </c>
      <c r="C4713" t="str">
        <f>HYPERLINK("http://service.sap.com/sap/support/notes/1979669","1979669")</f>
        <v>1979669</v>
      </c>
      <c r="D4713">
        <v>4</v>
      </c>
      <c r="E4713" t="s">
        <v>2753</v>
      </c>
      <c r="F4713" t="s">
        <v>9</v>
      </c>
    </row>
    <row r="4714" spans="1:6" x14ac:dyDescent="0.3">
      <c r="A4714" t="s">
        <v>926</v>
      </c>
      <c r="B4714" t="s">
        <v>218</v>
      </c>
      <c r="C4714" t="str">
        <f>HYPERLINK("http://service.sap.com/sap/support/notes/1979727","1979727")</f>
        <v>1979727</v>
      </c>
      <c r="D4714">
        <v>2</v>
      </c>
      <c r="E4714" t="s">
        <v>2754</v>
      </c>
      <c r="F4714" t="s">
        <v>9</v>
      </c>
    </row>
    <row r="4715" spans="1:6" x14ac:dyDescent="0.3">
      <c r="A4715" t="s">
        <v>926</v>
      </c>
      <c r="B4715" t="s">
        <v>218</v>
      </c>
      <c r="C4715" t="str">
        <f>HYPERLINK("http://service.sap.com/sap/support/notes/1980237","1980237")</f>
        <v>1980237</v>
      </c>
      <c r="D4715">
        <v>1</v>
      </c>
      <c r="E4715" t="s">
        <v>2755</v>
      </c>
      <c r="F4715" t="s">
        <v>28</v>
      </c>
    </row>
    <row r="4716" spans="1:6" x14ac:dyDescent="0.3">
      <c r="A4716" t="s">
        <v>926</v>
      </c>
      <c r="B4716" t="s">
        <v>218</v>
      </c>
      <c r="C4716" t="str">
        <f>HYPERLINK("http://service.sap.com/sap/support/notes/1869783","1869783")</f>
        <v>1869783</v>
      </c>
      <c r="D4716">
        <v>18</v>
      </c>
      <c r="E4716" t="s">
        <v>1976</v>
      </c>
      <c r="F4716" t="s">
        <v>9</v>
      </c>
    </row>
    <row r="4717" spans="1:6" x14ac:dyDescent="0.3">
      <c r="A4717" t="s">
        <v>926</v>
      </c>
      <c r="B4717" t="s">
        <v>218</v>
      </c>
      <c r="C4717" t="str">
        <f>HYPERLINK("http://service.sap.com/sap/support/notes/1905493","1905493")</f>
        <v>1905493</v>
      </c>
      <c r="D4717">
        <v>1</v>
      </c>
      <c r="E4717" t="s">
        <v>1977</v>
      </c>
      <c r="F4717" t="s">
        <v>16</v>
      </c>
    </row>
    <row r="4718" spans="1:6" x14ac:dyDescent="0.3">
      <c r="A4718" t="s">
        <v>926</v>
      </c>
      <c r="B4718" t="s">
        <v>218</v>
      </c>
      <c r="C4718" t="str">
        <f>HYPERLINK("http://service.sap.com/sap/support/notes/1913217","1913217")</f>
        <v>1913217</v>
      </c>
      <c r="D4718">
        <v>1</v>
      </c>
      <c r="E4718" t="s">
        <v>3223</v>
      </c>
      <c r="F4718" t="s">
        <v>28</v>
      </c>
    </row>
    <row r="4719" spans="1:6" x14ac:dyDescent="0.3">
      <c r="A4719" t="s">
        <v>926</v>
      </c>
      <c r="B4719" t="s">
        <v>218</v>
      </c>
      <c r="C4719" t="str">
        <f>HYPERLINK("http://service.sap.com/sap/support/notes/1979133","1979133")</f>
        <v>1979133</v>
      </c>
      <c r="D4719">
        <v>1</v>
      </c>
      <c r="E4719" t="s">
        <v>3224</v>
      </c>
      <c r="F4719" t="s">
        <v>9</v>
      </c>
    </row>
    <row r="4720" spans="1:6" x14ac:dyDescent="0.3">
      <c r="A4720" t="s">
        <v>926</v>
      </c>
      <c r="B4720" t="s">
        <v>218</v>
      </c>
      <c r="C4720" t="str">
        <f>HYPERLINK("http://service.sap.com/sap/support/notes/1980963","1980963")</f>
        <v>1980963</v>
      </c>
      <c r="D4720">
        <v>1</v>
      </c>
      <c r="E4720" t="s">
        <v>3225</v>
      </c>
      <c r="F4720" t="s">
        <v>9</v>
      </c>
    </row>
    <row r="4721" spans="1:6" x14ac:dyDescent="0.3">
      <c r="A4721" t="s">
        <v>926</v>
      </c>
      <c r="B4721" t="s">
        <v>218</v>
      </c>
      <c r="C4721" t="str">
        <f>HYPERLINK("http://service.sap.com/sap/support/notes/1982107","1982107")</f>
        <v>1982107</v>
      </c>
      <c r="D4721">
        <v>1</v>
      </c>
      <c r="E4721" t="s">
        <v>3226</v>
      </c>
      <c r="F4721" t="s">
        <v>9</v>
      </c>
    </row>
    <row r="4722" spans="1:6" x14ac:dyDescent="0.3">
      <c r="A4722" t="s">
        <v>926</v>
      </c>
      <c r="B4722" t="s">
        <v>218</v>
      </c>
      <c r="C4722" t="str">
        <f>HYPERLINK("http://service.sap.com/sap/support/notes/1982402","1982402")</f>
        <v>1982402</v>
      </c>
      <c r="D4722">
        <v>5</v>
      </c>
      <c r="E4722" t="s">
        <v>3227</v>
      </c>
      <c r="F4722" t="s">
        <v>9</v>
      </c>
    </row>
    <row r="4723" spans="1:6" x14ac:dyDescent="0.3">
      <c r="A4723" t="s">
        <v>926</v>
      </c>
      <c r="B4723" t="s">
        <v>218</v>
      </c>
      <c r="C4723" t="str">
        <f>HYPERLINK("http://service.sap.com/sap/support/notes/1983972","1983972")</f>
        <v>1983972</v>
      </c>
      <c r="D4723">
        <v>8</v>
      </c>
      <c r="E4723" t="s">
        <v>3228</v>
      </c>
      <c r="F4723" t="s">
        <v>9</v>
      </c>
    </row>
    <row r="4724" spans="1:6" x14ac:dyDescent="0.3">
      <c r="A4724" t="s">
        <v>926</v>
      </c>
      <c r="B4724" t="s">
        <v>218</v>
      </c>
      <c r="C4724" t="str">
        <f>HYPERLINK("http://service.sap.com/sap/support/notes/1986237","1986237")</f>
        <v>1986237</v>
      </c>
      <c r="D4724">
        <v>1</v>
      </c>
      <c r="E4724" t="s">
        <v>3229</v>
      </c>
      <c r="F4724" t="s">
        <v>9</v>
      </c>
    </row>
    <row r="4725" spans="1:6" x14ac:dyDescent="0.3">
      <c r="A4725" t="s">
        <v>926</v>
      </c>
      <c r="B4725" t="s">
        <v>218</v>
      </c>
      <c r="C4725" t="str">
        <f>HYPERLINK("http://service.sap.com/sap/support/notes/1986348","1986348")</f>
        <v>1986348</v>
      </c>
      <c r="D4725">
        <v>1</v>
      </c>
      <c r="E4725" t="s">
        <v>3230</v>
      </c>
      <c r="F4725" t="s">
        <v>9</v>
      </c>
    </row>
    <row r="4726" spans="1:6" x14ac:dyDescent="0.3">
      <c r="A4726" t="s">
        <v>926</v>
      </c>
      <c r="B4726" t="s">
        <v>218</v>
      </c>
      <c r="C4726" t="str">
        <f>HYPERLINK("http://service.sap.com/sap/support/notes/1986770","1986770")</f>
        <v>1986770</v>
      </c>
      <c r="D4726">
        <v>1</v>
      </c>
      <c r="E4726" t="s">
        <v>3231</v>
      </c>
      <c r="F4726" t="s">
        <v>9</v>
      </c>
    </row>
    <row r="4727" spans="1:6" x14ac:dyDescent="0.3">
      <c r="A4727" t="s">
        <v>926</v>
      </c>
      <c r="B4727" t="s">
        <v>218</v>
      </c>
      <c r="C4727" t="str">
        <f>HYPERLINK("http://service.sap.com/sap/support/notes/1986790","1986790")</f>
        <v>1986790</v>
      </c>
      <c r="D4727">
        <v>2</v>
      </c>
      <c r="E4727" t="s">
        <v>3232</v>
      </c>
      <c r="F4727" t="s">
        <v>9</v>
      </c>
    </row>
    <row r="4728" spans="1:6" x14ac:dyDescent="0.3">
      <c r="A4728" t="s">
        <v>926</v>
      </c>
      <c r="B4728" t="s">
        <v>218</v>
      </c>
      <c r="C4728" t="str">
        <f>HYPERLINK("http://service.sap.com/sap/support/notes/1986948","1986948")</f>
        <v>1986948</v>
      </c>
      <c r="D4728">
        <v>1</v>
      </c>
      <c r="E4728" t="s">
        <v>3233</v>
      </c>
      <c r="F4728" t="s">
        <v>9</v>
      </c>
    </row>
    <row r="4729" spans="1:6" x14ac:dyDescent="0.3">
      <c r="A4729" t="s">
        <v>926</v>
      </c>
      <c r="B4729" t="s">
        <v>218</v>
      </c>
      <c r="C4729" t="str">
        <f>HYPERLINK("http://service.sap.com/sap/support/notes/1988013","1988013")</f>
        <v>1988013</v>
      </c>
      <c r="D4729">
        <v>1</v>
      </c>
      <c r="E4729" t="s">
        <v>3234</v>
      </c>
      <c r="F4729" t="s">
        <v>9</v>
      </c>
    </row>
    <row r="4730" spans="1:6" x14ac:dyDescent="0.3">
      <c r="A4730" t="s">
        <v>926</v>
      </c>
      <c r="B4730" t="s">
        <v>218</v>
      </c>
      <c r="C4730" t="str">
        <f>HYPERLINK("http://service.sap.com/sap/support/notes/1989277","1989277")</f>
        <v>1989277</v>
      </c>
      <c r="D4730">
        <v>1</v>
      </c>
      <c r="E4730" t="s">
        <v>3235</v>
      </c>
      <c r="F4730" t="s">
        <v>9</v>
      </c>
    </row>
    <row r="4731" spans="1:6" x14ac:dyDescent="0.3">
      <c r="A4731" t="s">
        <v>926</v>
      </c>
      <c r="B4731" t="s">
        <v>218</v>
      </c>
      <c r="C4731" t="str">
        <f>HYPERLINK("http://service.sap.com/sap/support/notes/1991140","1991140")</f>
        <v>1991140</v>
      </c>
      <c r="D4731">
        <v>1</v>
      </c>
      <c r="E4731" t="s">
        <v>3236</v>
      </c>
      <c r="F4731" t="s">
        <v>9</v>
      </c>
    </row>
    <row r="4732" spans="1:6" x14ac:dyDescent="0.3">
      <c r="A4732" t="s">
        <v>926</v>
      </c>
      <c r="B4732" t="s">
        <v>218</v>
      </c>
      <c r="C4732" t="str">
        <f>HYPERLINK("http://service.sap.com/sap/support/notes/1991150","1991150")</f>
        <v>1991150</v>
      </c>
      <c r="D4732">
        <v>2</v>
      </c>
      <c r="E4732" t="s">
        <v>3237</v>
      </c>
      <c r="F4732" t="s">
        <v>28</v>
      </c>
    </row>
    <row r="4733" spans="1:6" x14ac:dyDescent="0.3">
      <c r="A4733" t="s">
        <v>926</v>
      </c>
      <c r="B4733" t="s">
        <v>218</v>
      </c>
      <c r="C4733" t="str">
        <f>HYPERLINK("http://service.sap.com/sap/support/notes/1991154","1991154")</f>
        <v>1991154</v>
      </c>
      <c r="D4733">
        <v>1</v>
      </c>
      <c r="E4733" t="s">
        <v>3238</v>
      </c>
      <c r="F4733" t="s">
        <v>9</v>
      </c>
    </row>
    <row r="4734" spans="1:6" x14ac:dyDescent="0.3">
      <c r="A4734" t="s">
        <v>926</v>
      </c>
      <c r="B4734" t="s">
        <v>218</v>
      </c>
      <c r="C4734" t="str">
        <f>HYPERLINK("http://service.sap.com/sap/support/notes/1992542","1992542")</f>
        <v>1992542</v>
      </c>
      <c r="D4734">
        <v>2</v>
      </c>
      <c r="E4734" t="s">
        <v>3239</v>
      </c>
      <c r="F4734" t="s">
        <v>28</v>
      </c>
    </row>
    <row r="4735" spans="1:6" x14ac:dyDescent="0.3">
      <c r="A4735" t="s">
        <v>926</v>
      </c>
      <c r="B4735" t="s">
        <v>218</v>
      </c>
      <c r="C4735" t="str">
        <f>HYPERLINK("http://service.sap.com/sap/support/notes/1993035","1993035")</f>
        <v>1993035</v>
      </c>
      <c r="D4735">
        <v>2</v>
      </c>
      <c r="E4735" t="s">
        <v>3240</v>
      </c>
      <c r="F4735" t="s">
        <v>28</v>
      </c>
    </row>
    <row r="4736" spans="1:6" x14ac:dyDescent="0.3">
      <c r="A4736" t="s">
        <v>926</v>
      </c>
      <c r="B4736" t="s">
        <v>218</v>
      </c>
      <c r="C4736" t="str">
        <f>HYPERLINK("http://service.sap.com/sap/support/notes/1979133","1979133")</f>
        <v>1979133</v>
      </c>
      <c r="D4736">
        <v>1</v>
      </c>
      <c r="E4736" t="s">
        <v>3224</v>
      </c>
      <c r="F4736" t="s">
        <v>9</v>
      </c>
    </row>
    <row r="4737" spans="1:6" x14ac:dyDescent="0.3">
      <c r="A4737" t="s">
        <v>926</v>
      </c>
      <c r="B4737" t="s">
        <v>218</v>
      </c>
      <c r="C4737" t="str">
        <f>HYPERLINK("http://service.sap.com/sap/support/notes/1982707","1982707")</f>
        <v>1982707</v>
      </c>
      <c r="D4737">
        <v>5</v>
      </c>
      <c r="E4737" t="s">
        <v>3871</v>
      </c>
      <c r="F4737" t="s">
        <v>9</v>
      </c>
    </row>
    <row r="4738" spans="1:6" x14ac:dyDescent="0.3">
      <c r="A4738" t="s">
        <v>926</v>
      </c>
      <c r="B4738" t="s">
        <v>218</v>
      </c>
      <c r="C4738" t="str">
        <f>HYPERLINK("http://service.sap.com/sap/support/notes/1983892","1983892")</f>
        <v>1983892</v>
      </c>
      <c r="D4738">
        <v>1</v>
      </c>
      <c r="E4738" t="s">
        <v>3872</v>
      </c>
      <c r="F4738" t="s">
        <v>28</v>
      </c>
    </row>
    <row r="4739" spans="1:6" x14ac:dyDescent="0.3">
      <c r="A4739" t="s">
        <v>926</v>
      </c>
      <c r="B4739" t="s">
        <v>218</v>
      </c>
      <c r="C4739" t="str">
        <f>HYPERLINK("http://service.sap.com/sap/support/notes/1988125","1988125")</f>
        <v>1988125</v>
      </c>
      <c r="D4739">
        <v>2</v>
      </c>
      <c r="E4739" t="s">
        <v>3873</v>
      </c>
      <c r="F4739" t="s">
        <v>9</v>
      </c>
    </row>
    <row r="4740" spans="1:6" x14ac:dyDescent="0.3">
      <c r="A4740" t="s">
        <v>926</v>
      </c>
      <c r="B4740" t="s">
        <v>218</v>
      </c>
      <c r="C4740" t="str">
        <f>HYPERLINK("http://service.sap.com/sap/support/notes/1994218","1994218")</f>
        <v>1994218</v>
      </c>
      <c r="D4740">
        <v>1</v>
      </c>
      <c r="E4740" t="s">
        <v>3874</v>
      </c>
      <c r="F4740" t="s">
        <v>9</v>
      </c>
    </row>
    <row r="4741" spans="1:6" x14ac:dyDescent="0.3">
      <c r="A4741" t="s">
        <v>926</v>
      </c>
      <c r="B4741" t="s">
        <v>218</v>
      </c>
      <c r="C4741" t="str">
        <f>HYPERLINK("http://service.sap.com/sap/support/notes/1996899","1996899")</f>
        <v>1996899</v>
      </c>
      <c r="D4741">
        <v>1</v>
      </c>
      <c r="E4741" t="s">
        <v>3875</v>
      </c>
      <c r="F4741" t="s">
        <v>9</v>
      </c>
    </row>
    <row r="4742" spans="1:6" x14ac:dyDescent="0.3">
      <c r="A4742" t="s">
        <v>926</v>
      </c>
      <c r="B4742" t="s">
        <v>218</v>
      </c>
      <c r="C4742" t="str">
        <f>HYPERLINK("http://service.sap.com/sap/support/notes/1998149","1998149")</f>
        <v>1998149</v>
      </c>
      <c r="D4742">
        <v>1</v>
      </c>
      <c r="E4742" t="s">
        <v>3876</v>
      </c>
      <c r="F4742" t="s">
        <v>9</v>
      </c>
    </row>
    <row r="4743" spans="1:6" x14ac:dyDescent="0.3">
      <c r="A4743" t="s">
        <v>926</v>
      </c>
      <c r="B4743" t="s">
        <v>218</v>
      </c>
      <c r="C4743" t="str">
        <f>HYPERLINK("http://service.sap.com/sap/support/notes/1999141","1999141")</f>
        <v>1999141</v>
      </c>
      <c r="D4743">
        <v>3</v>
      </c>
      <c r="E4743" t="s">
        <v>3877</v>
      </c>
      <c r="F4743" t="s">
        <v>28</v>
      </c>
    </row>
    <row r="4744" spans="1:6" x14ac:dyDescent="0.3">
      <c r="A4744" t="s">
        <v>926</v>
      </c>
      <c r="B4744" t="s">
        <v>218</v>
      </c>
      <c r="C4744" t="str">
        <f>HYPERLINK("http://service.sap.com/sap/support/notes/1999803","1999803")</f>
        <v>1999803</v>
      </c>
      <c r="D4744">
        <v>4</v>
      </c>
      <c r="E4744" t="s">
        <v>3878</v>
      </c>
      <c r="F4744" t="s">
        <v>9</v>
      </c>
    </row>
    <row r="4745" spans="1:6" x14ac:dyDescent="0.3">
      <c r="A4745" t="s">
        <v>926</v>
      </c>
      <c r="B4745" t="s">
        <v>218</v>
      </c>
      <c r="C4745" t="str">
        <f>HYPERLINK("http://service.sap.com/sap/support/notes/2002288","2002288")</f>
        <v>2002288</v>
      </c>
      <c r="D4745">
        <v>1</v>
      </c>
      <c r="E4745" t="s">
        <v>3879</v>
      </c>
      <c r="F4745" t="s">
        <v>9</v>
      </c>
    </row>
    <row r="4746" spans="1:6" x14ac:dyDescent="0.3">
      <c r="A4746" t="s">
        <v>926</v>
      </c>
      <c r="B4746" t="s">
        <v>218</v>
      </c>
      <c r="C4746" t="str">
        <f>HYPERLINK("http://service.sap.com/sap/support/notes/2002424","2002424")</f>
        <v>2002424</v>
      </c>
      <c r="D4746">
        <v>1</v>
      </c>
      <c r="E4746" t="s">
        <v>3880</v>
      </c>
      <c r="F4746" t="s">
        <v>9</v>
      </c>
    </row>
    <row r="4747" spans="1:6" x14ac:dyDescent="0.3">
      <c r="A4747" t="s">
        <v>926</v>
      </c>
      <c r="B4747" t="s">
        <v>218</v>
      </c>
      <c r="C4747" t="str">
        <f>HYPERLINK("http://service.sap.com/sap/support/notes/2003148","2003148")</f>
        <v>2003148</v>
      </c>
      <c r="D4747">
        <v>1</v>
      </c>
      <c r="E4747" t="s">
        <v>3881</v>
      </c>
      <c r="F4747" t="s">
        <v>9</v>
      </c>
    </row>
    <row r="4748" spans="1:6" x14ac:dyDescent="0.3">
      <c r="A4748" t="s">
        <v>926</v>
      </c>
      <c r="B4748" t="s">
        <v>218</v>
      </c>
      <c r="C4748" t="str">
        <f>HYPERLINK("http://service.sap.com/sap/support/notes/2005632","2005632")</f>
        <v>2005632</v>
      </c>
      <c r="D4748">
        <v>1</v>
      </c>
      <c r="E4748" t="s">
        <v>3882</v>
      </c>
      <c r="F4748" t="s">
        <v>9</v>
      </c>
    </row>
    <row r="4749" spans="1:6" x14ac:dyDescent="0.3">
      <c r="A4749" t="s">
        <v>926</v>
      </c>
      <c r="B4749" t="s">
        <v>218</v>
      </c>
      <c r="C4749" t="str">
        <f>HYPERLINK("http://service.sap.com/sap/support/notes/1983923","1983923")</f>
        <v>1983923</v>
      </c>
      <c r="D4749">
        <v>4</v>
      </c>
      <c r="E4749" t="s">
        <v>4343</v>
      </c>
      <c r="F4749" t="s">
        <v>9</v>
      </c>
    </row>
    <row r="4750" spans="1:6" x14ac:dyDescent="0.3">
      <c r="A4750" t="s">
        <v>926</v>
      </c>
      <c r="B4750" t="s">
        <v>218</v>
      </c>
      <c r="C4750" t="str">
        <f>HYPERLINK("http://service.sap.com/sap/support/notes/1988125","1988125")</f>
        <v>1988125</v>
      </c>
      <c r="D4750">
        <v>2</v>
      </c>
      <c r="E4750" t="s">
        <v>3873</v>
      </c>
      <c r="F4750" t="s">
        <v>9</v>
      </c>
    </row>
    <row r="4751" spans="1:6" x14ac:dyDescent="0.3">
      <c r="A4751" t="s">
        <v>926</v>
      </c>
      <c r="B4751" t="s">
        <v>218</v>
      </c>
      <c r="C4751" t="str">
        <f>HYPERLINK("http://service.sap.com/sap/support/notes/2000087","2000087")</f>
        <v>2000087</v>
      </c>
      <c r="D4751">
        <v>4</v>
      </c>
      <c r="E4751" t="s">
        <v>4344</v>
      </c>
      <c r="F4751" t="s">
        <v>9</v>
      </c>
    </row>
    <row r="4752" spans="1:6" x14ac:dyDescent="0.3">
      <c r="A4752" t="s">
        <v>926</v>
      </c>
      <c r="B4752" t="s">
        <v>218</v>
      </c>
      <c r="C4752" t="str">
        <f>HYPERLINK("http://service.sap.com/sap/support/notes/2002384","2002384")</f>
        <v>2002384</v>
      </c>
      <c r="D4752">
        <v>2</v>
      </c>
      <c r="E4752" t="s">
        <v>4345</v>
      </c>
      <c r="F4752" t="s">
        <v>9</v>
      </c>
    </row>
    <row r="4753" spans="1:6" x14ac:dyDescent="0.3">
      <c r="A4753" t="s">
        <v>926</v>
      </c>
      <c r="B4753" t="s">
        <v>218</v>
      </c>
      <c r="C4753" t="str">
        <f>HYPERLINK("http://service.sap.com/sap/support/notes/2008896","2008896")</f>
        <v>2008896</v>
      </c>
      <c r="D4753">
        <v>1</v>
      </c>
      <c r="E4753" t="s">
        <v>4346</v>
      </c>
      <c r="F4753" t="s">
        <v>9</v>
      </c>
    </row>
    <row r="4754" spans="1:6" x14ac:dyDescent="0.3">
      <c r="A4754" t="s">
        <v>926</v>
      </c>
      <c r="B4754" t="s">
        <v>218</v>
      </c>
      <c r="C4754" t="str">
        <f>HYPERLINK("http://service.sap.com/sap/support/notes/2011437","2011437")</f>
        <v>2011437</v>
      </c>
      <c r="D4754">
        <v>1</v>
      </c>
      <c r="E4754" t="s">
        <v>4347</v>
      </c>
      <c r="F4754" t="s">
        <v>9</v>
      </c>
    </row>
    <row r="4755" spans="1:6" x14ac:dyDescent="0.3">
      <c r="A4755" t="s">
        <v>926</v>
      </c>
      <c r="B4755" t="s">
        <v>218</v>
      </c>
      <c r="C4755" t="str">
        <f>HYPERLINK("http://service.sap.com/sap/support/notes/2011486","2011486")</f>
        <v>2011486</v>
      </c>
      <c r="D4755">
        <v>1</v>
      </c>
      <c r="E4755" t="s">
        <v>4348</v>
      </c>
      <c r="F4755" t="s">
        <v>9</v>
      </c>
    </row>
    <row r="4756" spans="1:6" x14ac:dyDescent="0.3">
      <c r="A4756" t="s">
        <v>926</v>
      </c>
      <c r="B4756" t="s">
        <v>218</v>
      </c>
      <c r="C4756" t="str">
        <f>HYPERLINK("http://service.sap.com/sap/support/notes/2011509","2011509")</f>
        <v>2011509</v>
      </c>
      <c r="D4756">
        <v>3</v>
      </c>
      <c r="E4756" t="s">
        <v>4349</v>
      </c>
      <c r="F4756" t="s">
        <v>9</v>
      </c>
    </row>
    <row r="4757" spans="1:6" x14ac:dyDescent="0.3">
      <c r="A4757" t="s">
        <v>926</v>
      </c>
      <c r="B4757" t="s">
        <v>218</v>
      </c>
      <c r="C4757" t="str">
        <f>HYPERLINK("http://service.sap.com/sap/support/notes/2021216","2021216")</f>
        <v>2021216</v>
      </c>
      <c r="D4757">
        <v>1</v>
      </c>
      <c r="E4757" t="s">
        <v>4350</v>
      </c>
      <c r="F4757" t="s">
        <v>9</v>
      </c>
    </row>
    <row r="4758" spans="1:6" x14ac:dyDescent="0.3">
      <c r="A4758" t="s">
        <v>926</v>
      </c>
      <c r="B4758" t="s">
        <v>218</v>
      </c>
      <c r="C4758" t="str">
        <f>HYPERLINK("http://service.sap.com/sap/support/notes/2021402","2021402")</f>
        <v>2021402</v>
      </c>
      <c r="D4758">
        <v>2</v>
      </c>
      <c r="E4758" t="s">
        <v>4351</v>
      </c>
      <c r="F4758" t="s">
        <v>9</v>
      </c>
    </row>
    <row r="4759" spans="1:6" x14ac:dyDescent="0.3">
      <c r="A4759" t="s">
        <v>926</v>
      </c>
      <c r="B4759" t="s">
        <v>218</v>
      </c>
      <c r="C4759" t="str">
        <f>HYPERLINK("http://service.sap.com/sap/support/notes/2029009","2029009")</f>
        <v>2029009</v>
      </c>
      <c r="D4759">
        <v>4</v>
      </c>
      <c r="E4759" t="s">
        <v>4352</v>
      </c>
      <c r="F4759" t="s">
        <v>9</v>
      </c>
    </row>
    <row r="4760" spans="1:6" x14ac:dyDescent="0.3">
      <c r="A4760" t="s">
        <v>926</v>
      </c>
      <c r="B4760" t="s">
        <v>218</v>
      </c>
      <c r="C4760" t="str">
        <f>HYPERLINK("http://service.sap.com/sap/support/notes/2021216","2021216")</f>
        <v>2021216</v>
      </c>
      <c r="D4760">
        <v>1</v>
      </c>
      <c r="E4760" t="s">
        <v>4350</v>
      </c>
      <c r="F4760" t="s">
        <v>9</v>
      </c>
    </row>
    <row r="4761" spans="1:6" x14ac:dyDescent="0.3">
      <c r="A4761" t="s">
        <v>926</v>
      </c>
      <c r="B4761" t="s">
        <v>218</v>
      </c>
      <c r="C4761" t="str">
        <f>HYPERLINK("http://service.sap.com/sap/support/notes/2022073","2022073")</f>
        <v>2022073</v>
      </c>
      <c r="D4761">
        <v>2</v>
      </c>
      <c r="E4761" t="s">
        <v>4651</v>
      </c>
      <c r="F4761" t="s">
        <v>9</v>
      </c>
    </row>
    <row r="4762" spans="1:6" x14ac:dyDescent="0.3">
      <c r="A4762" t="s">
        <v>926</v>
      </c>
      <c r="B4762" t="s">
        <v>218</v>
      </c>
      <c r="C4762" t="str">
        <f>HYPERLINK("http://service.sap.com/sap/support/notes/2023450","2023450")</f>
        <v>2023450</v>
      </c>
      <c r="D4762">
        <v>4</v>
      </c>
      <c r="E4762" t="s">
        <v>4652</v>
      </c>
      <c r="F4762" t="s">
        <v>9</v>
      </c>
    </row>
    <row r="4763" spans="1:6" x14ac:dyDescent="0.3">
      <c r="A4763" t="s">
        <v>926</v>
      </c>
      <c r="B4763" t="s">
        <v>218</v>
      </c>
      <c r="C4763" t="str">
        <f>HYPERLINK("http://service.sap.com/sap/support/notes/2023892","2023892")</f>
        <v>2023892</v>
      </c>
      <c r="D4763">
        <v>2</v>
      </c>
      <c r="E4763" t="s">
        <v>4653</v>
      </c>
      <c r="F4763" t="s">
        <v>9</v>
      </c>
    </row>
    <row r="4764" spans="1:6" x14ac:dyDescent="0.3">
      <c r="A4764" t="s">
        <v>926</v>
      </c>
      <c r="B4764" t="s">
        <v>218</v>
      </c>
      <c r="C4764" t="str">
        <f>HYPERLINK("http://service.sap.com/sap/support/notes/2025624","2025624")</f>
        <v>2025624</v>
      </c>
      <c r="D4764">
        <v>1</v>
      </c>
      <c r="E4764" t="s">
        <v>4654</v>
      </c>
      <c r="F4764" t="s">
        <v>9</v>
      </c>
    </row>
    <row r="4765" spans="1:6" x14ac:dyDescent="0.3">
      <c r="A4765" t="s">
        <v>926</v>
      </c>
      <c r="B4765" t="s">
        <v>218</v>
      </c>
      <c r="C4765" t="str">
        <f>HYPERLINK("http://service.sap.com/sap/support/notes/2025671","2025671")</f>
        <v>2025671</v>
      </c>
      <c r="D4765">
        <v>1</v>
      </c>
      <c r="E4765" t="s">
        <v>4655</v>
      </c>
      <c r="F4765" t="s">
        <v>9</v>
      </c>
    </row>
    <row r="4766" spans="1:6" x14ac:dyDescent="0.3">
      <c r="A4766" t="s">
        <v>926</v>
      </c>
      <c r="B4766" t="s">
        <v>218</v>
      </c>
      <c r="C4766" t="str">
        <f>HYPERLINK("http://service.sap.com/sap/support/notes/2029009","2029009")</f>
        <v>2029009</v>
      </c>
      <c r="D4766">
        <v>4</v>
      </c>
      <c r="E4766" t="s">
        <v>4352</v>
      </c>
      <c r="F4766" t="s">
        <v>9</v>
      </c>
    </row>
    <row r="4767" spans="1:6" x14ac:dyDescent="0.3">
      <c r="A4767" t="s">
        <v>926</v>
      </c>
      <c r="B4767" t="s">
        <v>218</v>
      </c>
      <c r="C4767" t="str">
        <f>HYPERLINK("http://service.sap.com/sap/support/notes/2031242","2031242")</f>
        <v>2031242</v>
      </c>
      <c r="D4767">
        <v>1</v>
      </c>
      <c r="E4767" t="s">
        <v>4656</v>
      </c>
      <c r="F4767" t="s">
        <v>9</v>
      </c>
    </row>
    <row r="4768" spans="1:6" x14ac:dyDescent="0.3">
      <c r="A4768" t="s">
        <v>926</v>
      </c>
      <c r="B4768" t="s">
        <v>218</v>
      </c>
      <c r="C4768" t="str">
        <f>HYPERLINK("http://service.sap.com/sap/support/notes/2032395","2032395")</f>
        <v>2032395</v>
      </c>
      <c r="D4768">
        <v>1</v>
      </c>
      <c r="E4768" t="s">
        <v>4657</v>
      </c>
      <c r="F4768" t="s">
        <v>28</v>
      </c>
    </row>
    <row r="4769" spans="1:6" x14ac:dyDescent="0.3">
      <c r="A4769" t="s">
        <v>926</v>
      </c>
      <c r="B4769" t="s">
        <v>218</v>
      </c>
      <c r="C4769" t="str">
        <f>HYPERLINK("http://service.sap.com/sap/support/notes/2022101","2022101")</f>
        <v>2022101</v>
      </c>
      <c r="D4769">
        <v>1</v>
      </c>
      <c r="E4769" t="s">
        <v>5015</v>
      </c>
      <c r="F4769" t="s">
        <v>9</v>
      </c>
    </row>
    <row r="4770" spans="1:6" x14ac:dyDescent="0.3">
      <c r="A4770" t="s">
        <v>926</v>
      </c>
      <c r="B4770" t="s">
        <v>218</v>
      </c>
      <c r="C4770" t="str">
        <f>HYPERLINK("http://service.sap.com/sap/support/notes/2030167","2030167")</f>
        <v>2030167</v>
      </c>
      <c r="D4770">
        <v>3</v>
      </c>
      <c r="E4770" t="s">
        <v>5016</v>
      </c>
      <c r="F4770" t="s">
        <v>9</v>
      </c>
    </row>
    <row r="4771" spans="1:6" x14ac:dyDescent="0.3">
      <c r="A4771" t="s">
        <v>926</v>
      </c>
      <c r="B4771" t="s">
        <v>218</v>
      </c>
      <c r="C4771" t="str">
        <f>HYPERLINK("http://service.sap.com/sap/support/notes/2031823","2031823")</f>
        <v>2031823</v>
      </c>
      <c r="D4771">
        <v>2</v>
      </c>
      <c r="E4771" t="s">
        <v>5017</v>
      </c>
      <c r="F4771" t="s">
        <v>9</v>
      </c>
    </row>
    <row r="4772" spans="1:6" x14ac:dyDescent="0.3">
      <c r="A4772" t="s">
        <v>926</v>
      </c>
      <c r="B4772" t="s">
        <v>218</v>
      </c>
      <c r="C4772" t="str">
        <f>HYPERLINK("http://service.sap.com/sap/support/notes/2032692","2032692")</f>
        <v>2032692</v>
      </c>
      <c r="D4772">
        <v>2</v>
      </c>
      <c r="E4772" t="s">
        <v>5018</v>
      </c>
      <c r="F4772" t="s">
        <v>9</v>
      </c>
    </row>
    <row r="4773" spans="1:6" x14ac:dyDescent="0.3">
      <c r="A4773" t="s">
        <v>926</v>
      </c>
      <c r="B4773" t="s">
        <v>218</v>
      </c>
      <c r="C4773" t="str">
        <f>HYPERLINK("http://service.sap.com/sap/support/notes/2035000","2035000")</f>
        <v>2035000</v>
      </c>
      <c r="D4773">
        <v>1</v>
      </c>
      <c r="E4773" t="s">
        <v>5019</v>
      </c>
      <c r="F4773" t="s">
        <v>9</v>
      </c>
    </row>
    <row r="4774" spans="1:6" x14ac:dyDescent="0.3">
      <c r="A4774" t="s">
        <v>926</v>
      </c>
      <c r="B4774" t="s">
        <v>218</v>
      </c>
      <c r="C4774" t="str">
        <f>HYPERLINK("http://service.sap.com/sap/support/notes/2035042","2035042")</f>
        <v>2035042</v>
      </c>
      <c r="D4774">
        <v>2</v>
      </c>
      <c r="E4774" t="s">
        <v>5020</v>
      </c>
      <c r="F4774" t="s">
        <v>28</v>
      </c>
    </row>
    <row r="4775" spans="1:6" x14ac:dyDescent="0.3">
      <c r="A4775" t="s">
        <v>926</v>
      </c>
      <c r="B4775" t="s">
        <v>218</v>
      </c>
      <c r="C4775" t="str">
        <f>HYPERLINK("http://service.sap.com/sap/support/notes/2035721","2035721")</f>
        <v>2035721</v>
      </c>
      <c r="D4775">
        <v>1</v>
      </c>
      <c r="E4775" t="s">
        <v>5021</v>
      </c>
      <c r="F4775" t="s">
        <v>9</v>
      </c>
    </row>
    <row r="4776" spans="1:6" x14ac:dyDescent="0.3">
      <c r="A4776" t="s">
        <v>926</v>
      </c>
      <c r="B4776" t="s">
        <v>218</v>
      </c>
      <c r="C4776" t="str">
        <f>HYPERLINK("http://service.sap.com/sap/support/notes/2037740","2037740")</f>
        <v>2037740</v>
      </c>
      <c r="D4776">
        <v>1</v>
      </c>
      <c r="E4776" t="s">
        <v>5022</v>
      </c>
      <c r="F4776" t="s">
        <v>9</v>
      </c>
    </row>
    <row r="4777" spans="1:6" x14ac:dyDescent="0.3">
      <c r="A4777" t="s">
        <v>926</v>
      </c>
      <c r="B4777" t="s">
        <v>218</v>
      </c>
      <c r="C4777" t="str">
        <f>HYPERLINK("http://service.sap.com/sap/support/notes/2037972","2037972")</f>
        <v>2037972</v>
      </c>
      <c r="D4777">
        <v>1</v>
      </c>
      <c r="E4777" t="s">
        <v>5023</v>
      </c>
      <c r="F4777" t="s">
        <v>9</v>
      </c>
    </row>
    <row r="4778" spans="1:6" x14ac:dyDescent="0.3">
      <c r="A4778" t="s">
        <v>926</v>
      </c>
      <c r="B4778" t="s">
        <v>218</v>
      </c>
      <c r="C4778" t="str">
        <f>HYPERLINK("http://service.sap.com/sap/support/notes/2038312","2038312")</f>
        <v>2038312</v>
      </c>
      <c r="D4778">
        <v>1</v>
      </c>
      <c r="E4778" t="s">
        <v>5024</v>
      </c>
      <c r="F4778" t="s">
        <v>9</v>
      </c>
    </row>
    <row r="4779" spans="1:6" x14ac:dyDescent="0.3">
      <c r="A4779" t="s">
        <v>926</v>
      </c>
      <c r="B4779" t="s">
        <v>218</v>
      </c>
      <c r="C4779" t="str">
        <f>HYPERLINK("http://service.sap.com/sap/support/notes/2038342","2038342")</f>
        <v>2038342</v>
      </c>
      <c r="D4779">
        <v>1</v>
      </c>
      <c r="E4779" t="s">
        <v>5025</v>
      </c>
      <c r="F4779" t="s">
        <v>9</v>
      </c>
    </row>
    <row r="4780" spans="1:6" x14ac:dyDescent="0.3">
      <c r="A4780" t="s">
        <v>926</v>
      </c>
      <c r="B4780" t="s">
        <v>218</v>
      </c>
      <c r="C4780" t="str">
        <f>HYPERLINK("http://service.sap.com/sap/support/notes/2038809","2038809")</f>
        <v>2038809</v>
      </c>
      <c r="D4780">
        <v>1</v>
      </c>
      <c r="E4780" t="s">
        <v>5026</v>
      </c>
      <c r="F4780" t="s">
        <v>9</v>
      </c>
    </row>
    <row r="4781" spans="1:6" x14ac:dyDescent="0.3">
      <c r="A4781" t="s">
        <v>926</v>
      </c>
      <c r="B4781" t="s">
        <v>218</v>
      </c>
      <c r="C4781" t="str">
        <f>HYPERLINK("http://service.sap.com/sap/support/notes/2040653","2040653")</f>
        <v>2040653</v>
      </c>
      <c r="D4781">
        <v>3</v>
      </c>
      <c r="E4781" t="s">
        <v>5027</v>
      </c>
      <c r="F4781" t="s">
        <v>9</v>
      </c>
    </row>
    <row r="4782" spans="1:6" x14ac:dyDescent="0.3">
      <c r="A4782" t="s">
        <v>926</v>
      </c>
      <c r="B4782" t="s">
        <v>218</v>
      </c>
      <c r="C4782" t="str">
        <f>HYPERLINK("http://service.sap.com/sap/support/notes/1896087","1896087")</f>
        <v>1896087</v>
      </c>
      <c r="D4782">
        <v>1</v>
      </c>
      <c r="E4782" t="s">
        <v>5334</v>
      </c>
      <c r="F4782" t="s">
        <v>9</v>
      </c>
    </row>
    <row r="4783" spans="1:6" x14ac:dyDescent="0.3">
      <c r="A4783" t="s">
        <v>926</v>
      </c>
      <c r="B4783" t="s">
        <v>218</v>
      </c>
      <c r="C4783" t="str">
        <f>HYPERLINK("http://service.sap.com/sap/support/notes/1934106","1934106")</f>
        <v>1934106</v>
      </c>
      <c r="D4783">
        <v>2</v>
      </c>
      <c r="E4783" t="s">
        <v>5335</v>
      </c>
      <c r="F4783" t="s">
        <v>9</v>
      </c>
    </row>
    <row r="4784" spans="1:6" x14ac:dyDescent="0.3">
      <c r="A4784" t="s">
        <v>926</v>
      </c>
      <c r="B4784" t="s">
        <v>218</v>
      </c>
      <c r="C4784" t="str">
        <f>HYPERLINK("http://service.sap.com/sap/support/notes/2014723","2014723")</f>
        <v>2014723</v>
      </c>
      <c r="D4784">
        <v>3</v>
      </c>
      <c r="E4784" t="s">
        <v>5336</v>
      </c>
      <c r="F4784" t="s">
        <v>9</v>
      </c>
    </row>
    <row r="4785" spans="1:6" x14ac:dyDescent="0.3">
      <c r="A4785" t="s">
        <v>926</v>
      </c>
      <c r="B4785" t="s">
        <v>218</v>
      </c>
      <c r="C4785" t="str">
        <f>HYPERLINK("http://service.sap.com/sap/support/notes/2030174","2030174")</f>
        <v>2030174</v>
      </c>
      <c r="D4785">
        <v>2</v>
      </c>
      <c r="E4785" t="s">
        <v>5337</v>
      </c>
      <c r="F4785" t="s">
        <v>9</v>
      </c>
    </row>
    <row r="4786" spans="1:6" x14ac:dyDescent="0.3">
      <c r="A4786" t="s">
        <v>926</v>
      </c>
      <c r="B4786" t="s">
        <v>218</v>
      </c>
      <c r="C4786" t="str">
        <f>HYPERLINK("http://service.sap.com/sap/support/notes/2041773","2041773")</f>
        <v>2041773</v>
      </c>
      <c r="D4786">
        <v>3</v>
      </c>
      <c r="E4786" t="s">
        <v>5338</v>
      </c>
      <c r="F4786" t="s">
        <v>9</v>
      </c>
    </row>
    <row r="4787" spans="1:6" x14ac:dyDescent="0.3">
      <c r="A4787" t="s">
        <v>926</v>
      </c>
      <c r="B4787" t="s">
        <v>218</v>
      </c>
      <c r="C4787" t="str">
        <f>HYPERLINK("http://service.sap.com/sap/support/notes/2042083","2042083")</f>
        <v>2042083</v>
      </c>
      <c r="D4787">
        <v>2</v>
      </c>
      <c r="E4787" t="s">
        <v>5339</v>
      </c>
      <c r="F4787" t="s">
        <v>9</v>
      </c>
    </row>
    <row r="4788" spans="1:6" x14ac:dyDescent="0.3">
      <c r="A4788" t="s">
        <v>926</v>
      </c>
      <c r="B4788" t="s">
        <v>218</v>
      </c>
      <c r="C4788" t="str">
        <f>HYPERLINK("http://service.sap.com/sap/support/notes/2046201","2046201")</f>
        <v>2046201</v>
      </c>
      <c r="D4788">
        <v>2</v>
      </c>
      <c r="E4788" t="s">
        <v>5340</v>
      </c>
      <c r="F4788" t="s">
        <v>9</v>
      </c>
    </row>
    <row r="4789" spans="1:6" x14ac:dyDescent="0.3">
      <c r="A4789" t="s">
        <v>926</v>
      </c>
      <c r="B4789" t="s">
        <v>218</v>
      </c>
      <c r="C4789" t="str">
        <f>HYPERLINK("http://service.sap.com/sap/support/notes/2047646","2047646")</f>
        <v>2047646</v>
      </c>
      <c r="D4789">
        <v>1</v>
      </c>
      <c r="E4789" t="s">
        <v>5341</v>
      </c>
      <c r="F4789" t="s">
        <v>9</v>
      </c>
    </row>
    <row r="4790" spans="1:6" x14ac:dyDescent="0.3">
      <c r="A4790" t="s">
        <v>926</v>
      </c>
      <c r="B4790" t="s">
        <v>218</v>
      </c>
      <c r="C4790" t="str">
        <f>HYPERLINK("http://service.sap.com/sap/support/notes/2051724","2051724")</f>
        <v>2051724</v>
      </c>
      <c r="D4790">
        <v>5</v>
      </c>
      <c r="E4790" t="s">
        <v>5342</v>
      </c>
      <c r="F4790" t="s">
        <v>9</v>
      </c>
    </row>
    <row r="4791" spans="1:6" x14ac:dyDescent="0.3">
      <c r="A4791" t="s">
        <v>926</v>
      </c>
      <c r="B4791" t="s">
        <v>218</v>
      </c>
      <c r="C4791" t="str">
        <f>HYPERLINK("http://service.sap.com/sap/support/notes/2053198","2053198")</f>
        <v>2053198</v>
      </c>
      <c r="D4791">
        <v>1</v>
      </c>
      <c r="E4791" t="s">
        <v>5343</v>
      </c>
      <c r="F4791" t="s">
        <v>9</v>
      </c>
    </row>
    <row r="4792" spans="1:6" x14ac:dyDescent="0.3">
      <c r="A4792" t="s">
        <v>926</v>
      </c>
      <c r="B4792" t="s">
        <v>218</v>
      </c>
      <c r="C4792" t="str">
        <f>HYPERLINK("http://service.sap.com/sap/support/notes/2048851","2048851")</f>
        <v>2048851</v>
      </c>
      <c r="D4792">
        <v>3</v>
      </c>
      <c r="E4792" t="s">
        <v>5679</v>
      </c>
      <c r="F4792" t="s">
        <v>9</v>
      </c>
    </row>
    <row r="4793" spans="1:6" x14ac:dyDescent="0.3">
      <c r="A4793" t="s">
        <v>926</v>
      </c>
      <c r="B4793" t="s">
        <v>218</v>
      </c>
      <c r="C4793" t="str">
        <f>HYPERLINK("http://service.sap.com/sap/support/notes/2053198","2053198")</f>
        <v>2053198</v>
      </c>
      <c r="D4793">
        <v>1</v>
      </c>
      <c r="E4793" t="s">
        <v>5343</v>
      </c>
      <c r="F4793" t="s">
        <v>9</v>
      </c>
    </row>
    <row r="4794" spans="1:6" x14ac:dyDescent="0.3">
      <c r="A4794" t="s">
        <v>926</v>
      </c>
      <c r="B4794" t="s">
        <v>218</v>
      </c>
      <c r="C4794" t="str">
        <f>HYPERLINK("http://service.sap.com/sap/support/notes/2054437","2054437")</f>
        <v>2054437</v>
      </c>
      <c r="D4794">
        <v>2</v>
      </c>
      <c r="E4794" t="s">
        <v>5680</v>
      </c>
      <c r="F4794" t="s">
        <v>9</v>
      </c>
    </row>
    <row r="4795" spans="1:6" x14ac:dyDescent="0.3">
      <c r="A4795" t="s">
        <v>926</v>
      </c>
      <c r="B4795" t="s">
        <v>218</v>
      </c>
      <c r="C4795" t="str">
        <f>HYPERLINK("http://service.sap.com/sap/support/notes/2057498","2057498")</f>
        <v>2057498</v>
      </c>
      <c r="D4795">
        <v>2</v>
      </c>
      <c r="E4795" t="s">
        <v>5681</v>
      </c>
      <c r="F4795" t="s">
        <v>9</v>
      </c>
    </row>
    <row r="4796" spans="1:6" x14ac:dyDescent="0.3">
      <c r="A4796" t="s">
        <v>926</v>
      </c>
      <c r="B4796" t="s">
        <v>218</v>
      </c>
      <c r="C4796" t="str">
        <f>HYPERLINK("http://service.sap.com/sap/support/notes/2059717","2059717")</f>
        <v>2059717</v>
      </c>
      <c r="D4796">
        <v>1</v>
      </c>
      <c r="E4796" t="s">
        <v>5682</v>
      </c>
      <c r="F4796" t="s">
        <v>9</v>
      </c>
    </row>
    <row r="4797" spans="1:6" x14ac:dyDescent="0.3">
      <c r="A4797" t="s">
        <v>926</v>
      </c>
      <c r="B4797" t="s">
        <v>218</v>
      </c>
      <c r="C4797" t="str">
        <f>HYPERLINK("http://service.sap.com/sap/support/notes/2059783","2059783")</f>
        <v>2059783</v>
      </c>
      <c r="D4797">
        <v>2</v>
      </c>
      <c r="E4797" t="s">
        <v>5683</v>
      </c>
      <c r="F4797" t="s">
        <v>9</v>
      </c>
    </row>
    <row r="4798" spans="1:6" x14ac:dyDescent="0.3">
      <c r="A4798" t="s">
        <v>926</v>
      </c>
      <c r="B4798" t="s">
        <v>218</v>
      </c>
      <c r="C4798" t="str">
        <f>HYPERLINK("http://service.sap.com/sap/support/notes/2060209","2060209")</f>
        <v>2060209</v>
      </c>
      <c r="D4798">
        <v>3</v>
      </c>
      <c r="E4798" t="s">
        <v>5684</v>
      </c>
      <c r="F4798" t="s">
        <v>9</v>
      </c>
    </row>
    <row r="4799" spans="1:6" x14ac:dyDescent="0.3">
      <c r="A4799" t="s">
        <v>926</v>
      </c>
      <c r="B4799" t="s">
        <v>218</v>
      </c>
      <c r="C4799" t="str">
        <f>HYPERLINK("http://service.sap.com/sap/support/notes/2060293","2060293")</f>
        <v>2060293</v>
      </c>
      <c r="D4799">
        <v>2</v>
      </c>
      <c r="E4799" t="s">
        <v>5685</v>
      </c>
      <c r="F4799" t="s">
        <v>9</v>
      </c>
    </row>
    <row r="4800" spans="1:6" x14ac:dyDescent="0.3">
      <c r="A4800" t="s">
        <v>926</v>
      </c>
      <c r="B4800" t="s">
        <v>218</v>
      </c>
      <c r="C4800" t="str">
        <f>HYPERLINK("http://service.sap.com/sap/support/notes/2061258","2061258")</f>
        <v>2061258</v>
      </c>
      <c r="D4800">
        <v>1</v>
      </c>
      <c r="E4800" t="s">
        <v>5686</v>
      </c>
      <c r="F4800" t="s">
        <v>9</v>
      </c>
    </row>
    <row r="4801" spans="1:6" x14ac:dyDescent="0.3">
      <c r="A4801" t="s">
        <v>926</v>
      </c>
      <c r="B4801" t="s">
        <v>218</v>
      </c>
      <c r="C4801" t="str">
        <f>HYPERLINK("http://service.sap.com/sap/support/notes/2061323","2061323")</f>
        <v>2061323</v>
      </c>
      <c r="D4801">
        <v>1</v>
      </c>
      <c r="E4801" t="s">
        <v>5687</v>
      </c>
      <c r="F4801" t="s">
        <v>9</v>
      </c>
    </row>
    <row r="4802" spans="1:6" x14ac:dyDescent="0.3">
      <c r="A4802" t="s">
        <v>926</v>
      </c>
      <c r="B4802" t="s">
        <v>218</v>
      </c>
      <c r="C4802" t="str">
        <f>HYPERLINK("http://service.sap.com/sap/support/notes/2064554","2064554")</f>
        <v>2064554</v>
      </c>
      <c r="D4802">
        <v>1</v>
      </c>
      <c r="E4802" t="s">
        <v>5688</v>
      </c>
      <c r="F4802" t="s">
        <v>9</v>
      </c>
    </row>
    <row r="4803" spans="1:6" x14ac:dyDescent="0.3">
      <c r="A4803" t="s">
        <v>926</v>
      </c>
      <c r="B4803" t="s">
        <v>218</v>
      </c>
      <c r="C4803" t="str">
        <f>HYPERLINK("http://service.sap.com/sap/support/notes/2066078","2066078")</f>
        <v>2066078</v>
      </c>
      <c r="D4803">
        <v>1</v>
      </c>
      <c r="E4803" t="s">
        <v>5689</v>
      </c>
      <c r="F4803" t="s">
        <v>9</v>
      </c>
    </row>
    <row r="4804" spans="1:6" x14ac:dyDescent="0.3">
      <c r="A4804" t="s">
        <v>926</v>
      </c>
      <c r="B4804" t="s">
        <v>218</v>
      </c>
      <c r="C4804" t="str">
        <f>HYPERLINK("http://service.sap.com/sap/support/notes/2066126","2066126")</f>
        <v>2066126</v>
      </c>
      <c r="D4804">
        <v>4</v>
      </c>
      <c r="E4804" t="s">
        <v>5690</v>
      </c>
      <c r="F4804" t="s">
        <v>9</v>
      </c>
    </row>
    <row r="4805" spans="1:6" x14ac:dyDescent="0.3">
      <c r="A4805" t="s">
        <v>926</v>
      </c>
      <c r="B4805" t="s">
        <v>218</v>
      </c>
      <c r="C4805" t="str">
        <f>HYPERLINK("http://service.sap.com/sap/support/notes/2066598","2066598")</f>
        <v>2066598</v>
      </c>
      <c r="D4805">
        <v>1</v>
      </c>
      <c r="E4805" t="s">
        <v>5691</v>
      </c>
      <c r="F4805" t="s">
        <v>9</v>
      </c>
    </row>
    <row r="4806" spans="1:6" x14ac:dyDescent="0.3">
      <c r="A4806" t="s">
        <v>940</v>
      </c>
      <c r="B4806" t="s">
        <v>471</v>
      </c>
      <c r="C4806" t="str">
        <f>HYPERLINK("http://service.sap.com/sap/support/notes/1928573","1928573")</f>
        <v>1928573</v>
      </c>
      <c r="D4806">
        <v>1</v>
      </c>
      <c r="E4806" t="s">
        <v>941</v>
      </c>
      <c r="F4806" t="s">
        <v>9</v>
      </c>
    </row>
    <row r="4807" spans="1:6" x14ac:dyDescent="0.3">
      <c r="A4807" t="s">
        <v>940</v>
      </c>
      <c r="B4807" t="s">
        <v>471</v>
      </c>
      <c r="C4807" t="str">
        <f>HYPERLINK("http://service.sap.com/sap/support/notes/1932668","1932668")</f>
        <v>1932668</v>
      </c>
      <c r="D4807">
        <v>2</v>
      </c>
      <c r="E4807" t="s">
        <v>1379</v>
      </c>
      <c r="F4807" t="s">
        <v>9</v>
      </c>
    </row>
    <row r="4808" spans="1:6" x14ac:dyDescent="0.3">
      <c r="A4808" t="s">
        <v>940</v>
      </c>
      <c r="B4808" t="s">
        <v>471</v>
      </c>
      <c r="C4808" t="str">
        <f>HYPERLINK("http://service.sap.com/sap/support/notes/1946589","1946589")</f>
        <v>1946589</v>
      </c>
      <c r="D4808">
        <v>1</v>
      </c>
      <c r="E4808" t="s">
        <v>1994</v>
      </c>
      <c r="F4808" t="s">
        <v>9</v>
      </c>
    </row>
    <row r="4809" spans="1:6" x14ac:dyDescent="0.3">
      <c r="A4809" t="s">
        <v>940</v>
      </c>
      <c r="B4809" t="s">
        <v>471</v>
      </c>
      <c r="C4809" t="str">
        <f>HYPERLINK("http://service.sap.com/sap/support/notes/1959738","1959738")</f>
        <v>1959738</v>
      </c>
      <c r="D4809">
        <v>1</v>
      </c>
      <c r="E4809" t="s">
        <v>2340</v>
      </c>
      <c r="F4809" t="s">
        <v>9</v>
      </c>
    </row>
    <row r="4810" spans="1:6" x14ac:dyDescent="0.3">
      <c r="A4810" t="s">
        <v>940</v>
      </c>
      <c r="B4810" t="s">
        <v>471</v>
      </c>
      <c r="C4810" t="str">
        <f>HYPERLINK("http://service.sap.com/sap/support/notes/1989954","1989954")</f>
        <v>1989954</v>
      </c>
      <c r="D4810">
        <v>3</v>
      </c>
      <c r="E4810" t="s">
        <v>3241</v>
      </c>
      <c r="F4810" t="s">
        <v>9</v>
      </c>
    </row>
    <row r="4811" spans="1:6" x14ac:dyDescent="0.3">
      <c r="A4811" t="s">
        <v>940</v>
      </c>
      <c r="B4811" t="s">
        <v>471</v>
      </c>
      <c r="C4811" t="str">
        <f>HYPERLINK("http://service.sap.com/sap/support/notes/1989220","1989220")</f>
        <v>1989220</v>
      </c>
      <c r="D4811">
        <v>1</v>
      </c>
      <c r="E4811" t="s">
        <v>3883</v>
      </c>
      <c r="F4811" t="s">
        <v>28</v>
      </c>
    </row>
    <row r="4812" spans="1:6" x14ac:dyDescent="0.3">
      <c r="A4812" t="s">
        <v>940</v>
      </c>
      <c r="B4812" t="s">
        <v>471</v>
      </c>
      <c r="C4812" t="str">
        <f>HYPERLINK("http://service.sap.com/sap/support/notes/2017523","2017523")</f>
        <v>2017523</v>
      </c>
      <c r="D4812">
        <v>1</v>
      </c>
      <c r="E4812" t="s">
        <v>4353</v>
      </c>
      <c r="F4812" t="s">
        <v>9</v>
      </c>
    </row>
    <row r="4813" spans="1:6" x14ac:dyDescent="0.3">
      <c r="A4813" t="s">
        <v>940</v>
      </c>
      <c r="B4813" t="s">
        <v>471</v>
      </c>
      <c r="C4813" t="str">
        <f>HYPERLINK("http://service.sap.com/sap/support/notes/2025691","2025691")</f>
        <v>2025691</v>
      </c>
      <c r="D4813">
        <v>2</v>
      </c>
      <c r="E4813" t="s">
        <v>4658</v>
      </c>
      <c r="F4813" t="s">
        <v>9</v>
      </c>
    </row>
    <row r="4814" spans="1:6" x14ac:dyDescent="0.3">
      <c r="A4814" t="s">
        <v>940</v>
      </c>
      <c r="B4814" t="s">
        <v>471</v>
      </c>
      <c r="C4814" t="str">
        <f>HYPERLINK("http://service.sap.com/sap/support/notes/2028427","2028427")</f>
        <v>2028427</v>
      </c>
      <c r="D4814">
        <v>1</v>
      </c>
      <c r="E4814" t="s">
        <v>4659</v>
      </c>
      <c r="F4814" t="s">
        <v>9</v>
      </c>
    </row>
    <row r="4815" spans="1:6" x14ac:dyDescent="0.3">
      <c r="A4815" t="s">
        <v>940</v>
      </c>
      <c r="B4815" t="s">
        <v>471</v>
      </c>
      <c r="C4815" t="str">
        <f>HYPERLINK("http://service.sap.com/sap/support/notes/2025691","2025691")</f>
        <v>2025691</v>
      </c>
      <c r="D4815">
        <v>2</v>
      </c>
      <c r="E4815" t="s">
        <v>4658</v>
      </c>
      <c r="F4815" t="s">
        <v>9</v>
      </c>
    </row>
    <row r="4816" spans="1:6" x14ac:dyDescent="0.3">
      <c r="A4816" t="s">
        <v>940</v>
      </c>
      <c r="B4816" t="s">
        <v>471</v>
      </c>
      <c r="C4816" t="str">
        <f>HYPERLINK("http://service.sap.com/sap/support/notes/2033217","2033217")</f>
        <v>2033217</v>
      </c>
      <c r="D4816">
        <v>1</v>
      </c>
      <c r="E4816" t="s">
        <v>5028</v>
      </c>
      <c r="F4816" t="s">
        <v>9</v>
      </c>
    </row>
    <row r="4817" spans="1:6" x14ac:dyDescent="0.3">
      <c r="A4817" t="s">
        <v>940</v>
      </c>
      <c r="B4817" t="s">
        <v>471</v>
      </c>
      <c r="C4817" t="str">
        <f>HYPERLINK("http://service.sap.com/sap/support/notes/2034532","2034532")</f>
        <v>2034532</v>
      </c>
      <c r="D4817">
        <v>1</v>
      </c>
      <c r="E4817" t="s">
        <v>5029</v>
      </c>
      <c r="F4817" t="s">
        <v>9</v>
      </c>
    </row>
    <row r="4818" spans="1:6" x14ac:dyDescent="0.3">
      <c r="A4818" t="s">
        <v>940</v>
      </c>
      <c r="B4818" t="s">
        <v>471</v>
      </c>
      <c r="C4818" t="str">
        <f>HYPERLINK("http://service.sap.com/sap/support/notes/2036269","2036269")</f>
        <v>2036269</v>
      </c>
      <c r="D4818">
        <v>3</v>
      </c>
      <c r="E4818" t="s">
        <v>5030</v>
      </c>
      <c r="F4818" t="s">
        <v>9</v>
      </c>
    </row>
    <row r="4819" spans="1:6" x14ac:dyDescent="0.3">
      <c r="A4819" t="s">
        <v>940</v>
      </c>
      <c r="B4819" t="s">
        <v>471</v>
      </c>
      <c r="C4819" t="str">
        <f>HYPERLINK("http://service.sap.com/sap/support/notes/2046585","2046585")</f>
        <v>2046585</v>
      </c>
      <c r="D4819">
        <v>1</v>
      </c>
      <c r="E4819" t="s">
        <v>5031</v>
      </c>
      <c r="F4819" t="s">
        <v>9</v>
      </c>
    </row>
    <row r="4820" spans="1:6" x14ac:dyDescent="0.3">
      <c r="A4820" t="s">
        <v>940</v>
      </c>
      <c r="B4820" t="s">
        <v>471</v>
      </c>
      <c r="C4820" t="str">
        <f>HYPERLINK("http://service.sap.com/sap/support/notes/2025691","2025691")</f>
        <v>2025691</v>
      </c>
      <c r="D4820">
        <v>2</v>
      </c>
      <c r="E4820" t="s">
        <v>4658</v>
      </c>
      <c r="F4820" t="s">
        <v>9</v>
      </c>
    </row>
    <row r="4821" spans="1:6" x14ac:dyDescent="0.3">
      <c r="A4821" t="s">
        <v>940</v>
      </c>
      <c r="B4821" t="s">
        <v>471</v>
      </c>
      <c r="C4821" t="str">
        <f>HYPERLINK("http://service.sap.com/sap/support/notes/2029007","2029007")</f>
        <v>2029007</v>
      </c>
      <c r="D4821">
        <v>1</v>
      </c>
      <c r="E4821" t="s">
        <v>5344</v>
      </c>
      <c r="F4821" t="s">
        <v>9</v>
      </c>
    </row>
    <row r="4822" spans="1:6" x14ac:dyDescent="0.3">
      <c r="A4822" t="s">
        <v>940</v>
      </c>
      <c r="B4822" t="s">
        <v>471</v>
      </c>
      <c r="C4822" t="str">
        <f>HYPERLINK("http://service.sap.com/sap/support/notes/2051488","2051488")</f>
        <v>2051488</v>
      </c>
      <c r="D4822">
        <v>2</v>
      </c>
      <c r="E4822" t="s">
        <v>5345</v>
      </c>
      <c r="F4822" t="s">
        <v>9</v>
      </c>
    </row>
    <row r="4823" spans="1:6" x14ac:dyDescent="0.3">
      <c r="A4823" t="s">
        <v>940</v>
      </c>
      <c r="B4823" t="s">
        <v>471</v>
      </c>
      <c r="C4823" t="str">
        <f>HYPERLINK("http://service.sap.com/sap/support/notes/2053870","2053870")</f>
        <v>2053870</v>
      </c>
      <c r="D4823">
        <v>1</v>
      </c>
      <c r="E4823" t="s">
        <v>5346</v>
      </c>
      <c r="F4823" t="s">
        <v>9</v>
      </c>
    </row>
    <row r="4824" spans="1:6" x14ac:dyDescent="0.3">
      <c r="A4824" t="s">
        <v>940</v>
      </c>
      <c r="B4824" t="s">
        <v>471</v>
      </c>
      <c r="C4824" t="str">
        <f>HYPERLINK("http://service.sap.com/sap/support/notes/2025691","2025691")</f>
        <v>2025691</v>
      </c>
      <c r="D4824">
        <v>2</v>
      </c>
      <c r="E4824" t="s">
        <v>4658</v>
      </c>
      <c r="F4824" t="s">
        <v>9</v>
      </c>
    </row>
    <row r="4825" spans="1:6" x14ac:dyDescent="0.3">
      <c r="A4825" t="s">
        <v>942</v>
      </c>
      <c r="B4825" t="s">
        <v>943</v>
      </c>
      <c r="C4825" t="str">
        <f>HYPERLINK("http://service.sap.com/sap/support/notes/1916608","1916608")</f>
        <v>1916608</v>
      </c>
      <c r="D4825">
        <v>2</v>
      </c>
      <c r="E4825" t="s">
        <v>944</v>
      </c>
      <c r="F4825" t="s">
        <v>9</v>
      </c>
    </row>
    <row r="4826" spans="1:6" x14ac:dyDescent="0.3">
      <c r="A4826" t="s">
        <v>942</v>
      </c>
      <c r="B4826" t="s">
        <v>943</v>
      </c>
      <c r="C4826" t="str">
        <f>HYPERLINK("http://service.sap.com/sap/support/notes/1923468","1923468")</f>
        <v>1923468</v>
      </c>
      <c r="D4826">
        <v>1</v>
      </c>
      <c r="E4826" t="s">
        <v>945</v>
      </c>
      <c r="F4826" t="s">
        <v>9</v>
      </c>
    </row>
    <row r="4827" spans="1:6" x14ac:dyDescent="0.3">
      <c r="A4827" t="s">
        <v>942</v>
      </c>
      <c r="B4827" t="s">
        <v>943</v>
      </c>
      <c r="C4827" t="str">
        <f>HYPERLINK("http://service.sap.com/sap/support/notes/1925444","1925444")</f>
        <v>1925444</v>
      </c>
      <c r="D4827">
        <v>2</v>
      </c>
      <c r="E4827" t="s">
        <v>946</v>
      </c>
      <c r="F4827" t="s">
        <v>9</v>
      </c>
    </row>
    <row r="4828" spans="1:6" x14ac:dyDescent="0.3">
      <c r="A4828" t="s">
        <v>942</v>
      </c>
      <c r="B4828" t="s">
        <v>943</v>
      </c>
      <c r="C4828" t="str">
        <f>HYPERLINK("http://service.sap.com/sap/support/notes/1925483","1925483")</f>
        <v>1925483</v>
      </c>
      <c r="D4828">
        <v>1</v>
      </c>
      <c r="E4828" t="s">
        <v>947</v>
      </c>
      <c r="F4828" t="s">
        <v>9</v>
      </c>
    </row>
    <row r="4829" spans="1:6" x14ac:dyDescent="0.3">
      <c r="A4829" t="s">
        <v>942</v>
      </c>
      <c r="B4829" t="s">
        <v>943</v>
      </c>
      <c r="C4829" t="str">
        <f>HYPERLINK("http://service.sap.com/sap/support/notes/1931353","1931353")</f>
        <v>1931353</v>
      </c>
      <c r="D4829">
        <v>1</v>
      </c>
      <c r="E4829" t="s">
        <v>948</v>
      </c>
      <c r="F4829" t="s">
        <v>9</v>
      </c>
    </row>
    <row r="4830" spans="1:6" x14ac:dyDescent="0.3">
      <c r="A4830" t="s">
        <v>942</v>
      </c>
      <c r="B4830" t="s">
        <v>943</v>
      </c>
      <c r="C4830" t="str">
        <f>HYPERLINK("http://service.sap.com/sap/support/notes/1910708","1910708")</f>
        <v>1910708</v>
      </c>
      <c r="D4830">
        <v>2</v>
      </c>
      <c r="E4830" t="s">
        <v>1380</v>
      </c>
      <c r="F4830" t="s">
        <v>9</v>
      </c>
    </row>
    <row r="4831" spans="1:6" x14ac:dyDescent="0.3">
      <c r="A4831" t="s">
        <v>942</v>
      </c>
      <c r="B4831" t="s">
        <v>943</v>
      </c>
      <c r="C4831" t="str">
        <f>HYPERLINK("http://service.sap.com/sap/support/notes/1932631","1932631")</f>
        <v>1932631</v>
      </c>
      <c r="D4831">
        <v>1</v>
      </c>
      <c r="E4831" t="s">
        <v>1381</v>
      </c>
      <c r="F4831" t="s">
        <v>9</v>
      </c>
    </row>
    <row r="4832" spans="1:6" x14ac:dyDescent="0.3">
      <c r="A4832" t="s">
        <v>942</v>
      </c>
      <c r="B4832" t="s">
        <v>943</v>
      </c>
      <c r="C4832" t="str">
        <f>HYPERLINK("http://service.sap.com/sap/support/notes/1935526","1935526")</f>
        <v>1935526</v>
      </c>
      <c r="D4832">
        <v>1</v>
      </c>
      <c r="E4832" t="s">
        <v>1382</v>
      </c>
      <c r="F4832" t="s">
        <v>9</v>
      </c>
    </row>
    <row r="4833" spans="1:6" x14ac:dyDescent="0.3">
      <c r="A4833" t="s">
        <v>942</v>
      </c>
      <c r="B4833" t="s">
        <v>943</v>
      </c>
      <c r="C4833" t="str">
        <f>HYPERLINK("http://service.sap.com/sap/support/notes/1939514","1939514")</f>
        <v>1939514</v>
      </c>
      <c r="D4833">
        <v>1</v>
      </c>
      <c r="E4833" t="s">
        <v>1383</v>
      </c>
      <c r="F4833" t="s">
        <v>9</v>
      </c>
    </row>
    <row r="4834" spans="1:6" x14ac:dyDescent="0.3">
      <c r="A4834" t="s">
        <v>942</v>
      </c>
      <c r="B4834" t="s">
        <v>943</v>
      </c>
      <c r="C4834" t="str">
        <f>HYPERLINK("http://service.sap.com/sap/support/notes/1945788","1945788")</f>
        <v>1945788</v>
      </c>
      <c r="D4834">
        <v>1</v>
      </c>
      <c r="E4834" t="s">
        <v>1995</v>
      </c>
      <c r="F4834" t="s">
        <v>9</v>
      </c>
    </row>
    <row r="4835" spans="1:6" x14ac:dyDescent="0.3">
      <c r="A4835" t="s">
        <v>942</v>
      </c>
      <c r="B4835" t="s">
        <v>943</v>
      </c>
      <c r="C4835" t="str">
        <f>HYPERLINK("http://service.sap.com/sap/support/notes/1945789","1945789")</f>
        <v>1945789</v>
      </c>
      <c r="D4835">
        <v>1</v>
      </c>
      <c r="E4835" t="s">
        <v>1996</v>
      </c>
      <c r="F4835" t="s">
        <v>9</v>
      </c>
    </row>
    <row r="4836" spans="1:6" x14ac:dyDescent="0.3">
      <c r="A4836" t="s">
        <v>942</v>
      </c>
      <c r="B4836" t="s">
        <v>943</v>
      </c>
      <c r="C4836" t="str">
        <f>HYPERLINK("http://service.sap.com/sap/support/notes/1946521","1946521")</f>
        <v>1946521</v>
      </c>
      <c r="D4836">
        <v>1</v>
      </c>
      <c r="E4836" t="s">
        <v>1997</v>
      </c>
      <c r="F4836" t="s">
        <v>9</v>
      </c>
    </row>
    <row r="4837" spans="1:6" x14ac:dyDescent="0.3">
      <c r="A4837" t="s">
        <v>942</v>
      </c>
      <c r="B4837" t="s">
        <v>943</v>
      </c>
      <c r="C4837" t="str">
        <f>HYPERLINK("http://service.sap.com/sap/support/notes/1946690","1946690")</f>
        <v>1946690</v>
      </c>
      <c r="D4837">
        <v>2</v>
      </c>
      <c r="E4837" t="s">
        <v>1998</v>
      </c>
      <c r="F4837" t="s">
        <v>9</v>
      </c>
    </row>
    <row r="4838" spans="1:6" x14ac:dyDescent="0.3">
      <c r="A4838" t="s">
        <v>942</v>
      </c>
      <c r="B4838" t="s">
        <v>943</v>
      </c>
      <c r="C4838" t="str">
        <f>HYPERLINK("http://service.sap.com/sap/support/notes/1955769","1955769")</f>
        <v>1955769</v>
      </c>
      <c r="D4838">
        <v>1</v>
      </c>
      <c r="E4838" t="s">
        <v>1999</v>
      </c>
      <c r="F4838" t="s">
        <v>9</v>
      </c>
    </row>
    <row r="4839" spans="1:6" x14ac:dyDescent="0.3">
      <c r="A4839" t="s">
        <v>942</v>
      </c>
      <c r="B4839" t="s">
        <v>943</v>
      </c>
      <c r="C4839" t="str">
        <f>HYPERLINK("http://service.sap.com/sap/support/notes/1956330","1956330")</f>
        <v>1956330</v>
      </c>
      <c r="D4839">
        <v>1</v>
      </c>
      <c r="E4839" t="s">
        <v>2000</v>
      </c>
      <c r="F4839" t="s">
        <v>9</v>
      </c>
    </row>
    <row r="4840" spans="1:6" x14ac:dyDescent="0.3">
      <c r="A4840" t="s">
        <v>942</v>
      </c>
      <c r="B4840" t="s">
        <v>943</v>
      </c>
      <c r="C4840" t="str">
        <f>HYPERLINK("http://service.sap.com/sap/support/notes/1957120","1957120")</f>
        <v>1957120</v>
      </c>
      <c r="D4840">
        <v>1</v>
      </c>
      <c r="E4840" t="s">
        <v>2001</v>
      </c>
      <c r="F4840" t="s">
        <v>9</v>
      </c>
    </row>
    <row r="4841" spans="1:6" x14ac:dyDescent="0.3">
      <c r="A4841" t="s">
        <v>942</v>
      </c>
      <c r="B4841" t="s">
        <v>943</v>
      </c>
      <c r="C4841" t="str">
        <f>HYPERLINK("http://service.sap.com/sap/support/notes/1958536","1958536")</f>
        <v>1958536</v>
      </c>
      <c r="D4841">
        <v>1</v>
      </c>
      <c r="E4841" t="s">
        <v>2002</v>
      </c>
      <c r="F4841" t="s">
        <v>9</v>
      </c>
    </row>
    <row r="4842" spans="1:6" x14ac:dyDescent="0.3">
      <c r="A4842" t="s">
        <v>942</v>
      </c>
      <c r="B4842" t="s">
        <v>943</v>
      </c>
      <c r="C4842" t="str">
        <f>HYPERLINK("http://service.sap.com/sap/support/notes/1959787","1959787")</f>
        <v>1959787</v>
      </c>
      <c r="D4842">
        <v>1</v>
      </c>
      <c r="E4842" t="s">
        <v>2003</v>
      </c>
      <c r="F4842" t="s">
        <v>9</v>
      </c>
    </row>
    <row r="4843" spans="1:6" x14ac:dyDescent="0.3">
      <c r="A4843" t="s">
        <v>942</v>
      </c>
      <c r="B4843" t="s">
        <v>943</v>
      </c>
      <c r="C4843" t="str">
        <f>HYPERLINK("http://service.sap.com/sap/support/notes/1959792","1959792")</f>
        <v>1959792</v>
      </c>
      <c r="D4843">
        <v>1</v>
      </c>
      <c r="E4843" t="s">
        <v>2004</v>
      </c>
      <c r="F4843" t="s">
        <v>9</v>
      </c>
    </row>
    <row r="4844" spans="1:6" x14ac:dyDescent="0.3">
      <c r="A4844" t="s">
        <v>942</v>
      </c>
      <c r="B4844" t="s">
        <v>943</v>
      </c>
      <c r="C4844" t="str">
        <f>HYPERLINK("http://service.sap.com/sap/support/notes/1960199","1960199")</f>
        <v>1960199</v>
      </c>
      <c r="D4844">
        <v>2</v>
      </c>
      <c r="E4844" t="s">
        <v>2005</v>
      </c>
      <c r="F4844" t="s">
        <v>9</v>
      </c>
    </row>
    <row r="4845" spans="1:6" x14ac:dyDescent="0.3">
      <c r="A4845" t="s">
        <v>942</v>
      </c>
      <c r="B4845" t="s">
        <v>943</v>
      </c>
      <c r="C4845" t="str">
        <f>HYPERLINK("http://service.sap.com/sap/support/notes/1960307","1960307")</f>
        <v>1960307</v>
      </c>
      <c r="D4845">
        <v>1</v>
      </c>
      <c r="E4845" t="s">
        <v>2006</v>
      </c>
      <c r="F4845" t="s">
        <v>9</v>
      </c>
    </row>
    <row r="4846" spans="1:6" x14ac:dyDescent="0.3">
      <c r="A4846" t="s">
        <v>942</v>
      </c>
      <c r="B4846" t="s">
        <v>943</v>
      </c>
      <c r="C4846" t="str">
        <f>HYPERLINK("http://service.sap.com/sap/support/notes/1961142","1961142")</f>
        <v>1961142</v>
      </c>
      <c r="D4846">
        <v>1</v>
      </c>
      <c r="E4846" t="s">
        <v>2007</v>
      </c>
      <c r="F4846" t="s">
        <v>9</v>
      </c>
    </row>
    <row r="4847" spans="1:6" x14ac:dyDescent="0.3">
      <c r="A4847" t="s">
        <v>942</v>
      </c>
      <c r="B4847" t="s">
        <v>943</v>
      </c>
      <c r="C4847" t="str">
        <f>HYPERLINK("http://service.sap.com/sap/support/notes/1961528","1961528")</f>
        <v>1961528</v>
      </c>
      <c r="D4847">
        <v>1</v>
      </c>
      <c r="E4847" t="s">
        <v>2341</v>
      </c>
      <c r="F4847" t="s">
        <v>9</v>
      </c>
    </row>
    <row r="4848" spans="1:6" x14ac:dyDescent="0.3">
      <c r="A4848" t="s">
        <v>942</v>
      </c>
      <c r="B4848" t="s">
        <v>943</v>
      </c>
      <c r="C4848" t="str">
        <f>HYPERLINK("http://service.sap.com/sap/support/notes/1961562","1961562")</f>
        <v>1961562</v>
      </c>
      <c r="D4848">
        <v>2</v>
      </c>
      <c r="E4848" t="s">
        <v>2342</v>
      </c>
      <c r="F4848" t="s">
        <v>9</v>
      </c>
    </row>
    <row r="4849" spans="1:6" x14ac:dyDescent="0.3">
      <c r="A4849" t="s">
        <v>942</v>
      </c>
      <c r="B4849" t="s">
        <v>943</v>
      </c>
      <c r="C4849" t="str">
        <f>HYPERLINK("http://service.sap.com/sap/support/notes/1961870","1961870")</f>
        <v>1961870</v>
      </c>
      <c r="D4849">
        <v>1</v>
      </c>
      <c r="E4849" t="s">
        <v>2343</v>
      </c>
      <c r="F4849" t="s">
        <v>9</v>
      </c>
    </row>
    <row r="4850" spans="1:6" x14ac:dyDescent="0.3">
      <c r="A4850" t="s">
        <v>942</v>
      </c>
      <c r="B4850" t="s">
        <v>943</v>
      </c>
      <c r="C4850" t="str">
        <f>HYPERLINK("http://service.sap.com/sap/support/notes/1962982","1962982")</f>
        <v>1962982</v>
      </c>
      <c r="D4850">
        <v>1</v>
      </c>
      <c r="E4850" t="s">
        <v>2344</v>
      </c>
      <c r="F4850" t="s">
        <v>9</v>
      </c>
    </row>
    <row r="4851" spans="1:6" x14ac:dyDescent="0.3">
      <c r="A4851" t="s">
        <v>942</v>
      </c>
      <c r="B4851" t="s">
        <v>943</v>
      </c>
      <c r="C4851" t="str">
        <f>HYPERLINK("http://service.sap.com/sap/support/notes/1966769","1966769")</f>
        <v>1966769</v>
      </c>
      <c r="D4851">
        <v>2</v>
      </c>
      <c r="E4851" t="s">
        <v>2345</v>
      </c>
      <c r="F4851" t="s">
        <v>9</v>
      </c>
    </row>
    <row r="4852" spans="1:6" x14ac:dyDescent="0.3">
      <c r="A4852" t="s">
        <v>942</v>
      </c>
      <c r="B4852" t="s">
        <v>943</v>
      </c>
      <c r="C4852" t="str">
        <f>HYPERLINK("http://service.sap.com/sap/support/notes/1949063","1949063")</f>
        <v>1949063</v>
      </c>
      <c r="D4852">
        <v>4</v>
      </c>
      <c r="E4852" t="s">
        <v>2756</v>
      </c>
      <c r="F4852" t="s">
        <v>9</v>
      </c>
    </row>
    <row r="4853" spans="1:6" x14ac:dyDescent="0.3">
      <c r="A4853" t="s">
        <v>942</v>
      </c>
      <c r="B4853" t="s">
        <v>943</v>
      </c>
      <c r="C4853" t="str">
        <f>HYPERLINK("http://service.sap.com/sap/support/notes/1969290","1969290")</f>
        <v>1969290</v>
      </c>
      <c r="D4853">
        <v>2</v>
      </c>
      <c r="E4853" t="s">
        <v>2757</v>
      </c>
      <c r="F4853" t="s">
        <v>9</v>
      </c>
    </row>
    <row r="4854" spans="1:6" x14ac:dyDescent="0.3">
      <c r="A4854" t="s">
        <v>942</v>
      </c>
      <c r="B4854" t="s">
        <v>943</v>
      </c>
      <c r="C4854" t="str">
        <f>HYPERLINK("http://service.sap.com/sap/support/notes/1977333","1977333")</f>
        <v>1977333</v>
      </c>
      <c r="D4854">
        <v>4</v>
      </c>
      <c r="E4854" t="s">
        <v>2758</v>
      </c>
      <c r="F4854" t="s">
        <v>9</v>
      </c>
    </row>
    <row r="4855" spans="1:6" x14ac:dyDescent="0.3">
      <c r="A4855" t="s">
        <v>942</v>
      </c>
      <c r="B4855" t="s">
        <v>943</v>
      </c>
      <c r="C4855" t="str">
        <f>HYPERLINK("http://service.sap.com/sap/support/notes/1977925","1977925")</f>
        <v>1977925</v>
      </c>
      <c r="D4855">
        <v>2</v>
      </c>
      <c r="E4855" t="s">
        <v>2759</v>
      </c>
      <c r="F4855" t="s">
        <v>9</v>
      </c>
    </row>
    <row r="4856" spans="1:6" x14ac:dyDescent="0.3">
      <c r="A4856" t="s">
        <v>942</v>
      </c>
      <c r="B4856" t="s">
        <v>943</v>
      </c>
      <c r="C4856" t="str">
        <f>HYPERLINK("http://service.sap.com/sap/support/notes/1979079","1979079")</f>
        <v>1979079</v>
      </c>
      <c r="D4856">
        <v>2</v>
      </c>
      <c r="E4856" t="s">
        <v>2760</v>
      </c>
      <c r="F4856" t="s">
        <v>9</v>
      </c>
    </row>
    <row r="4857" spans="1:6" x14ac:dyDescent="0.3">
      <c r="A4857" t="s">
        <v>942</v>
      </c>
      <c r="B4857" t="s">
        <v>943</v>
      </c>
      <c r="C4857" t="str">
        <f>HYPERLINK("http://service.sap.com/sap/support/notes/1980171","1980171")</f>
        <v>1980171</v>
      </c>
      <c r="D4857">
        <v>2</v>
      </c>
      <c r="E4857" t="s">
        <v>2761</v>
      </c>
      <c r="F4857" t="s">
        <v>9</v>
      </c>
    </row>
    <row r="4858" spans="1:6" x14ac:dyDescent="0.3">
      <c r="A4858" t="s">
        <v>942</v>
      </c>
      <c r="B4858" t="s">
        <v>943</v>
      </c>
      <c r="C4858" t="str">
        <f>HYPERLINK("http://service.sap.com/sap/support/notes/1980856","1980856")</f>
        <v>1980856</v>
      </c>
      <c r="D4858">
        <v>2</v>
      </c>
      <c r="E4858" t="s">
        <v>2762</v>
      </c>
      <c r="F4858" t="s">
        <v>9</v>
      </c>
    </row>
    <row r="4859" spans="1:6" x14ac:dyDescent="0.3">
      <c r="A4859" t="s">
        <v>942</v>
      </c>
      <c r="B4859" t="s">
        <v>943</v>
      </c>
      <c r="C4859" t="str">
        <f>HYPERLINK("http://service.sap.com/sap/support/notes/1981009","1981009")</f>
        <v>1981009</v>
      </c>
      <c r="D4859">
        <v>4</v>
      </c>
      <c r="E4859" t="s">
        <v>3242</v>
      </c>
      <c r="F4859" t="s">
        <v>9</v>
      </c>
    </row>
    <row r="4860" spans="1:6" x14ac:dyDescent="0.3">
      <c r="A4860" t="s">
        <v>942</v>
      </c>
      <c r="B4860" t="s">
        <v>943</v>
      </c>
      <c r="C4860" t="str">
        <f>HYPERLINK("http://service.sap.com/sap/support/notes/1986253","1986253")</f>
        <v>1986253</v>
      </c>
      <c r="D4860">
        <v>1</v>
      </c>
      <c r="E4860" t="s">
        <v>3243</v>
      </c>
      <c r="F4860" t="s">
        <v>9</v>
      </c>
    </row>
    <row r="4861" spans="1:6" x14ac:dyDescent="0.3">
      <c r="A4861" t="s">
        <v>942</v>
      </c>
      <c r="B4861" t="s">
        <v>943</v>
      </c>
      <c r="C4861" t="str">
        <f>HYPERLINK("http://service.sap.com/sap/support/notes/1987424","1987424")</f>
        <v>1987424</v>
      </c>
      <c r="D4861">
        <v>2</v>
      </c>
      <c r="E4861" t="s">
        <v>3244</v>
      </c>
      <c r="F4861" t="s">
        <v>9</v>
      </c>
    </row>
    <row r="4862" spans="1:6" x14ac:dyDescent="0.3">
      <c r="A4862" t="s">
        <v>942</v>
      </c>
      <c r="B4862" t="s">
        <v>943</v>
      </c>
      <c r="C4862" t="str">
        <f>HYPERLINK("http://service.sap.com/sap/support/notes/1991754","1991754")</f>
        <v>1991754</v>
      </c>
      <c r="D4862">
        <v>3</v>
      </c>
      <c r="E4862" t="s">
        <v>3245</v>
      </c>
      <c r="F4862" t="s">
        <v>9</v>
      </c>
    </row>
    <row r="4863" spans="1:6" x14ac:dyDescent="0.3">
      <c r="A4863" t="s">
        <v>942</v>
      </c>
      <c r="B4863" t="s">
        <v>943</v>
      </c>
      <c r="C4863" t="str">
        <f>HYPERLINK("http://service.sap.com/sap/support/notes/1992367","1992367")</f>
        <v>1992367</v>
      </c>
      <c r="D4863">
        <v>1</v>
      </c>
      <c r="E4863" t="s">
        <v>3246</v>
      </c>
      <c r="F4863" t="s">
        <v>9</v>
      </c>
    </row>
    <row r="4864" spans="1:6" x14ac:dyDescent="0.3">
      <c r="A4864" t="s">
        <v>942</v>
      </c>
      <c r="B4864" t="s">
        <v>943</v>
      </c>
      <c r="C4864" t="str">
        <f>HYPERLINK("http://service.sap.com/sap/support/notes/1938923","1938923")</f>
        <v>1938923</v>
      </c>
      <c r="D4864">
        <v>2</v>
      </c>
      <c r="E4864" t="s">
        <v>3884</v>
      </c>
      <c r="F4864" t="s">
        <v>9</v>
      </c>
    </row>
    <row r="4865" spans="1:6" x14ac:dyDescent="0.3">
      <c r="A4865" t="s">
        <v>942</v>
      </c>
      <c r="B4865" t="s">
        <v>943</v>
      </c>
      <c r="C4865" t="str">
        <f>HYPERLINK("http://service.sap.com/sap/support/notes/2002908","2002908")</f>
        <v>2002908</v>
      </c>
      <c r="D4865">
        <v>2</v>
      </c>
      <c r="E4865" t="s">
        <v>3885</v>
      </c>
      <c r="F4865" t="s">
        <v>9</v>
      </c>
    </row>
    <row r="4866" spans="1:6" x14ac:dyDescent="0.3">
      <c r="A4866" t="s">
        <v>942</v>
      </c>
      <c r="B4866" t="s">
        <v>943</v>
      </c>
      <c r="C4866" t="str">
        <f>HYPERLINK("http://service.sap.com/sap/support/notes/2003651","2003651")</f>
        <v>2003651</v>
      </c>
      <c r="D4866">
        <v>1</v>
      </c>
      <c r="E4866" t="s">
        <v>3886</v>
      </c>
      <c r="F4866" t="s">
        <v>9</v>
      </c>
    </row>
    <row r="4867" spans="1:6" x14ac:dyDescent="0.3">
      <c r="A4867" t="s">
        <v>942</v>
      </c>
      <c r="B4867" t="s">
        <v>943</v>
      </c>
      <c r="C4867" t="str">
        <f>HYPERLINK("http://service.sap.com/sap/support/notes/2006816","2006816")</f>
        <v>2006816</v>
      </c>
      <c r="D4867">
        <v>1</v>
      </c>
      <c r="E4867" t="s">
        <v>3887</v>
      </c>
      <c r="F4867" t="s">
        <v>9</v>
      </c>
    </row>
    <row r="4868" spans="1:6" x14ac:dyDescent="0.3">
      <c r="A4868" t="s">
        <v>942</v>
      </c>
      <c r="B4868" t="s">
        <v>943</v>
      </c>
      <c r="C4868" t="str">
        <f>HYPERLINK("http://service.sap.com/sap/support/notes/2007717","2007717")</f>
        <v>2007717</v>
      </c>
      <c r="D4868">
        <v>1</v>
      </c>
      <c r="E4868" t="s">
        <v>3888</v>
      </c>
      <c r="F4868" t="s">
        <v>9</v>
      </c>
    </row>
    <row r="4869" spans="1:6" x14ac:dyDescent="0.3">
      <c r="A4869" t="s">
        <v>942</v>
      </c>
      <c r="B4869" t="s">
        <v>943</v>
      </c>
      <c r="C4869" t="str">
        <f>HYPERLINK("http://service.sap.com/sap/support/notes/2010184","2010184")</f>
        <v>2010184</v>
      </c>
      <c r="D4869">
        <v>1</v>
      </c>
      <c r="E4869" t="s">
        <v>3889</v>
      </c>
      <c r="F4869" t="s">
        <v>9</v>
      </c>
    </row>
    <row r="4870" spans="1:6" x14ac:dyDescent="0.3">
      <c r="A4870" t="s">
        <v>942</v>
      </c>
      <c r="B4870" t="s">
        <v>943</v>
      </c>
      <c r="C4870" t="str">
        <f>HYPERLINK("http://service.sap.com/sap/support/notes/2018640","2018640")</f>
        <v>2018640</v>
      </c>
      <c r="D4870">
        <v>2</v>
      </c>
      <c r="E4870" t="s">
        <v>4354</v>
      </c>
      <c r="F4870" t="s">
        <v>9</v>
      </c>
    </row>
    <row r="4871" spans="1:6" x14ac:dyDescent="0.3">
      <c r="A4871" t="s">
        <v>942</v>
      </c>
      <c r="B4871" t="s">
        <v>943</v>
      </c>
      <c r="C4871" t="str">
        <f>HYPERLINK("http://service.sap.com/sap/support/notes/2019327","2019327")</f>
        <v>2019327</v>
      </c>
      <c r="D4871">
        <v>1</v>
      </c>
      <c r="E4871" t="s">
        <v>4355</v>
      </c>
      <c r="F4871" t="s">
        <v>9</v>
      </c>
    </row>
    <row r="4872" spans="1:6" x14ac:dyDescent="0.3">
      <c r="A4872" t="s">
        <v>942</v>
      </c>
      <c r="B4872" t="s">
        <v>943</v>
      </c>
      <c r="C4872" t="str">
        <f>HYPERLINK("http://service.sap.com/sap/support/notes/2020773","2020773")</f>
        <v>2020773</v>
      </c>
      <c r="D4872">
        <v>1</v>
      </c>
      <c r="E4872" t="s">
        <v>4356</v>
      </c>
      <c r="F4872" t="s">
        <v>9</v>
      </c>
    </row>
    <row r="4873" spans="1:6" x14ac:dyDescent="0.3">
      <c r="A4873" t="s">
        <v>942</v>
      </c>
      <c r="B4873" t="s">
        <v>943</v>
      </c>
      <c r="C4873" t="str">
        <f>HYPERLINK("http://service.sap.com/sap/support/notes/2024108","2024108")</f>
        <v>2024108</v>
      </c>
      <c r="D4873">
        <v>1</v>
      </c>
      <c r="E4873" t="s">
        <v>4660</v>
      </c>
      <c r="F4873" t="s">
        <v>9</v>
      </c>
    </row>
    <row r="4874" spans="1:6" x14ac:dyDescent="0.3">
      <c r="A4874" t="s">
        <v>942</v>
      </c>
      <c r="B4874" t="s">
        <v>943</v>
      </c>
      <c r="C4874" t="str">
        <f>HYPERLINK("http://service.sap.com/sap/support/notes/2031715","2031715")</f>
        <v>2031715</v>
      </c>
      <c r="D4874">
        <v>2</v>
      </c>
      <c r="E4874" t="s">
        <v>5032</v>
      </c>
      <c r="F4874" t="s">
        <v>9</v>
      </c>
    </row>
    <row r="4875" spans="1:6" x14ac:dyDescent="0.3">
      <c r="A4875" t="s">
        <v>942</v>
      </c>
      <c r="B4875" t="s">
        <v>943</v>
      </c>
      <c r="C4875" t="str">
        <f>HYPERLINK("http://service.sap.com/sap/support/notes/2031743","2031743")</f>
        <v>2031743</v>
      </c>
      <c r="D4875">
        <v>2</v>
      </c>
      <c r="E4875" t="s">
        <v>5033</v>
      </c>
      <c r="F4875" t="s">
        <v>9</v>
      </c>
    </row>
    <row r="4876" spans="1:6" x14ac:dyDescent="0.3">
      <c r="A4876" t="s">
        <v>942</v>
      </c>
      <c r="B4876" t="s">
        <v>943</v>
      </c>
      <c r="C4876" t="str">
        <f>HYPERLINK("http://service.sap.com/sap/support/notes/2033812","2033812")</f>
        <v>2033812</v>
      </c>
      <c r="D4876">
        <v>2</v>
      </c>
      <c r="E4876" t="s">
        <v>5034</v>
      </c>
      <c r="F4876" t="s">
        <v>9</v>
      </c>
    </row>
    <row r="4877" spans="1:6" x14ac:dyDescent="0.3">
      <c r="A4877" t="s">
        <v>942</v>
      </c>
      <c r="B4877" t="s">
        <v>943</v>
      </c>
      <c r="C4877" t="str">
        <f>HYPERLINK("http://service.sap.com/sap/support/notes/2036133","2036133")</f>
        <v>2036133</v>
      </c>
      <c r="D4877">
        <v>1</v>
      </c>
      <c r="E4877" t="s">
        <v>5035</v>
      </c>
      <c r="F4877" t="s">
        <v>9</v>
      </c>
    </row>
    <row r="4878" spans="1:6" x14ac:dyDescent="0.3">
      <c r="A4878" t="s">
        <v>942</v>
      </c>
      <c r="B4878" t="s">
        <v>943</v>
      </c>
      <c r="C4878" t="str">
        <f>HYPERLINK("http://service.sap.com/sap/support/notes/2037961","2037961")</f>
        <v>2037961</v>
      </c>
      <c r="D4878">
        <v>1</v>
      </c>
      <c r="E4878" t="s">
        <v>5036</v>
      </c>
      <c r="F4878" t="s">
        <v>9</v>
      </c>
    </row>
    <row r="4879" spans="1:6" x14ac:dyDescent="0.3">
      <c r="A4879" t="s">
        <v>942</v>
      </c>
      <c r="B4879" t="s">
        <v>943</v>
      </c>
      <c r="C4879" t="str">
        <f>HYPERLINK("http://service.sap.com/sap/support/notes/2038199","2038199")</f>
        <v>2038199</v>
      </c>
      <c r="D4879">
        <v>1</v>
      </c>
      <c r="E4879" t="s">
        <v>5037</v>
      </c>
      <c r="F4879" t="s">
        <v>9</v>
      </c>
    </row>
    <row r="4880" spans="1:6" x14ac:dyDescent="0.3">
      <c r="A4880" t="s">
        <v>942</v>
      </c>
      <c r="B4880" t="s">
        <v>943</v>
      </c>
      <c r="C4880" t="str">
        <f>HYPERLINK("http://service.sap.com/sap/support/notes/2038364","2038364")</f>
        <v>2038364</v>
      </c>
      <c r="D4880">
        <v>2</v>
      </c>
      <c r="E4880" t="s">
        <v>5038</v>
      </c>
      <c r="F4880" t="s">
        <v>9</v>
      </c>
    </row>
    <row r="4881" spans="1:6" x14ac:dyDescent="0.3">
      <c r="A4881" t="s">
        <v>942</v>
      </c>
      <c r="B4881" t="s">
        <v>943</v>
      </c>
      <c r="C4881" t="str">
        <f>HYPERLINK("http://service.sap.com/sap/support/notes/2040663","2040663")</f>
        <v>2040663</v>
      </c>
      <c r="D4881">
        <v>1</v>
      </c>
      <c r="E4881" t="s">
        <v>5039</v>
      </c>
      <c r="F4881" t="s">
        <v>9</v>
      </c>
    </row>
    <row r="4882" spans="1:6" x14ac:dyDescent="0.3">
      <c r="A4882" t="s">
        <v>942</v>
      </c>
      <c r="B4882" t="s">
        <v>943</v>
      </c>
      <c r="C4882" t="str">
        <f>HYPERLINK("http://service.sap.com/sap/support/notes/2042026","2042026")</f>
        <v>2042026</v>
      </c>
      <c r="D4882">
        <v>1</v>
      </c>
      <c r="E4882" t="s">
        <v>5040</v>
      </c>
      <c r="F4882" t="s">
        <v>9</v>
      </c>
    </row>
    <row r="4883" spans="1:6" x14ac:dyDescent="0.3">
      <c r="A4883" t="s">
        <v>942</v>
      </c>
      <c r="B4883" t="s">
        <v>943</v>
      </c>
      <c r="C4883" t="str">
        <f>HYPERLINK("http://service.sap.com/sap/support/notes/2045603","2045603")</f>
        <v>2045603</v>
      </c>
      <c r="D4883">
        <v>2</v>
      </c>
      <c r="E4883" t="s">
        <v>5041</v>
      </c>
      <c r="F4883" t="s">
        <v>9</v>
      </c>
    </row>
    <row r="4884" spans="1:6" x14ac:dyDescent="0.3">
      <c r="A4884" t="s">
        <v>942</v>
      </c>
      <c r="B4884" t="s">
        <v>943</v>
      </c>
      <c r="C4884" t="str">
        <f>HYPERLINK("http://service.sap.com/sap/support/notes/2046036","2046036")</f>
        <v>2046036</v>
      </c>
      <c r="D4884">
        <v>1</v>
      </c>
      <c r="E4884" t="s">
        <v>5042</v>
      </c>
      <c r="F4884" t="s">
        <v>9</v>
      </c>
    </row>
    <row r="4885" spans="1:6" x14ac:dyDescent="0.3">
      <c r="A4885" t="s">
        <v>942</v>
      </c>
      <c r="B4885" t="s">
        <v>943</v>
      </c>
      <c r="C4885" t="str">
        <f>HYPERLINK("http://service.sap.com/sap/support/notes/2046612","2046612")</f>
        <v>2046612</v>
      </c>
      <c r="D4885">
        <v>1</v>
      </c>
      <c r="E4885" t="s">
        <v>5043</v>
      </c>
      <c r="F4885" t="s">
        <v>9</v>
      </c>
    </row>
    <row r="4886" spans="1:6" x14ac:dyDescent="0.3">
      <c r="A4886" t="s">
        <v>942</v>
      </c>
      <c r="B4886" t="s">
        <v>943</v>
      </c>
      <c r="C4886" t="str">
        <f>HYPERLINK("http://service.sap.com/sap/support/notes/2047165","2047165")</f>
        <v>2047165</v>
      </c>
      <c r="D4886">
        <v>1</v>
      </c>
      <c r="E4886" t="s">
        <v>5347</v>
      </c>
      <c r="F4886" t="s">
        <v>9</v>
      </c>
    </row>
    <row r="4887" spans="1:6" x14ac:dyDescent="0.3">
      <c r="A4887" t="s">
        <v>942</v>
      </c>
      <c r="B4887" t="s">
        <v>943</v>
      </c>
      <c r="C4887" t="str">
        <f>HYPERLINK("http://service.sap.com/sap/support/notes/2047738","2047738")</f>
        <v>2047738</v>
      </c>
      <c r="D4887">
        <v>3</v>
      </c>
      <c r="E4887" t="s">
        <v>5348</v>
      </c>
      <c r="F4887" t="s">
        <v>9</v>
      </c>
    </row>
    <row r="4888" spans="1:6" x14ac:dyDescent="0.3">
      <c r="A4888" t="s">
        <v>942</v>
      </c>
      <c r="B4888" t="s">
        <v>943</v>
      </c>
      <c r="C4888" t="str">
        <f>HYPERLINK("http://service.sap.com/sap/support/notes/2048397","2048397")</f>
        <v>2048397</v>
      </c>
      <c r="D4888">
        <v>1</v>
      </c>
      <c r="E4888" t="s">
        <v>5349</v>
      </c>
      <c r="F4888" t="s">
        <v>9</v>
      </c>
    </row>
    <row r="4889" spans="1:6" x14ac:dyDescent="0.3">
      <c r="A4889" t="s">
        <v>942</v>
      </c>
      <c r="B4889" t="s">
        <v>943</v>
      </c>
      <c r="C4889" t="str">
        <f>HYPERLINK("http://service.sap.com/sap/support/notes/2050523","2050523")</f>
        <v>2050523</v>
      </c>
      <c r="D4889">
        <v>1</v>
      </c>
      <c r="E4889" t="s">
        <v>5350</v>
      </c>
      <c r="F4889" t="s">
        <v>9</v>
      </c>
    </row>
    <row r="4890" spans="1:6" x14ac:dyDescent="0.3">
      <c r="A4890" t="s">
        <v>942</v>
      </c>
      <c r="B4890" t="s">
        <v>943</v>
      </c>
      <c r="C4890" t="str">
        <f>HYPERLINK("http://service.sap.com/sap/support/notes/2051490","2051490")</f>
        <v>2051490</v>
      </c>
      <c r="D4890">
        <v>1</v>
      </c>
      <c r="E4890" t="s">
        <v>5351</v>
      </c>
      <c r="F4890" t="s">
        <v>9</v>
      </c>
    </row>
    <row r="4891" spans="1:6" x14ac:dyDescent="0.3">
      <c r="A4891" t="s">
        <v>942</v>
      </c>
      <c r="B4891" t="s">
        <v>943</v>
      </c>
      <c r="C4891" t="str">
        <f>HYPERLINK("http://service.sap.com/sap/support/notes/2052094","2052094")</f>
        <v>2052094</v>
      </c>
      <c r="D4891">
        <v>1</v>
      </c>
      <c r="E4891" t="s">
        <v>5352</v>
      </c>
      <c r="F4891" t="s">
        <v>9</v>
      </c>
    </row>
    <row r="4892" spans="1:6" x14ac:dyDescent="0.3">
      <c r="A4892" t="s">
        <v>942</v>
      </c>
      <c r="B4892" t="s">
        <v>943</v>
      </c>
      <c r="C4892" t="str">
        <f>HYPERLINK("http://service.sap.com/sap/support/notes/2053159","2053159")</f>
        <v>2053159</v>
      </c>
      <c r="D4892">
        <v>1</v>
      </c>
      <c r="E4892" t="s">
        <v>5353</v>
      </c>
      <c r="F4892" t="s">
        <v>9</v>
      </c>
    </row>
    <row r="4893" spans="1:6" x14ac:dyDescent="0.3">
      <c r="A4893" t="s">
        <v>942</v>
      </c>
      <c r="B4893" t="s">
        <v>943</v>
      </c>
      <c r="C4893" t="str">
        <f>HYPERLINK("http://service.sap.com/sap/support/notes/2053783","2053783")</f>
        <v>2053783</v>
      </c>
      <c r="D4893">
        <v>1</v>
      </c>
      <c r="E4893" t="s">
        <v>5354</v>
      </c>
      <c r="F4893" t="s">
        <v>9</v>
      </c>
    </row>
    <row r="4894" spans="1:6" x14ac:dyDescent="0.3">
      <c r="A4894" t="s">
        <v>942</v>
      </c>
      <c r="B4894" t="s">
        <v>943</v>
      </c>
      <c r="C4894" t="str">
        <f>HYPERLINK("http://service.sap.com/sap/support/notes/2055938","2055938")</f>
        <v>2055938</v>
      </c>
      <c r="D4894">
        <v>1</v>
      </c>
      <c r="E4894" t="s">
        <v>5355</v>
      </c>
      <c r="F4894" t="s">
        <v>9</v>
      </c>
    </row>
    <row r="4895" spans="1:6" x14ac:dyDescent="0.3">
      <c r="A4895" t="s">
        <v>942</v>
      </c>
      <c r="B4895" t="s">
        <v>943</v>
      </c>
      <c r="C4895" t="str">
        <f>HYPERLINK("http://service.sap.com/sap/support/notes/2056280","2056280")</f>
        <v>2056280</v>
      </c>
      <c r="D4895">
        <v>1</v>
      </c>
      <c r="E4895" t="s">
        <v>5356</v>
      </c>
      <c r="F4895" t="s">
        <v>9</v>
      </c>
    </row>
    <row r="4896" spans="1:6" x14ac:dyDescent="0.3">
      <c r="A4896" t="s">
        <v>942</v>
      </c>
      <c r="B4896" t="s">
        <v>943</v>
      </c>
      <c r="C4896" t="str">
        <f>HYPERLINK("http://service.sap.com/sap/support/notes/2003092","2003092")</f>
        <v>2003092</v>
      </c>
      <c r="D4896">
        <v>2</v>
      </c>
      <c r="E4896" t="s">
        <v>5692</v>
      </c>
      <c r="F4896" t="s">
        <v>9</v>
      </c>
    </row>
    <row r="4897" spans="1:6" x14ac:dyDescent="0.3">
      <c r="A4897" t="s">
        <v>942</v>
      </c>
      <c r="B4897" t="s">
        <v>943</v>
      </c>
      <c r="C4897" t="str">
        <f>HYPERLINK("http://service.sap.com/sap/support/notes/2058520","2058520")</f>
        <v>2058520</v>
      </c>
      <c r="D4897">
        <v>1</v>
      </c>
      <c r="E4897" t="s">
        <v>5693</v>
      </c>
      <c r="F4897" t="s">
        <v>9</v>
      </c>
    </row>
    <row r="4898" spans="1:6" x14ac:dyDescent="0.3">
      <c r="A4898" t="s">
        <v>942</v>
      </c>
      <c r="B4898" t="s">
        <v>943</v>
      </c>
      <c r="C4898" t="str">
        <f>HYPERLINK("http://service.sap.com/sap/support/notes/2061106","2061106")</f>
        <v>2061106</v>
      </c>
      <c r="D4898">
        <v>1</v>
      </c>
      <c r="E4898" t="s">
        <v>5694</v>
      </c>
      <c r="F4898" t="s">
        <v>9</v>
      </c>
    </row>
    <row r="4899" spans="1:6" x14ac:dyDescent="0.3">
      <c r="A4899" t="s">
        <v>942</v>
      </c>
      <c r="B4899" t="s">
        <v>943</v>
      </c>
      <c r="C4899" t="str">
        <f>HYPERLINK("http://service.sap.com/sap/support/notes/2061213","2061213")</f>
        <v>2061213</v>
      </c>
      <c r="D4899">
        <v>1</v>
      </c>
      <c r="E4899" t="s">
        <v>5695</v>
      </c>
      <c r="F4899" t="s">
        <v>9</v>
      </c>
    </row>
    <row r="4900" spans="1:6" x14ac:dyDescent="0.3">
      <c r="A4900" t="s">
        <v>942</v>
      </c>
      <c r="B4900" t="s">
        <v>943</v>
      </c>
      <c r="C4900" t="str">
        <f>HYPERLINK("http://service.sap.com/sap/support/notes/2063376","2063376")</f>
        <v>2063376</v>
      </c>
      <c r="D4900">
        <v>1</v>
      </c>
      <c r="E4900" t="s">
        <v>5696</v>
      </c>
      <c r="F4900" t="s">
        <v>9</v>
      </c>
    </row>
    <row r="4901" spans="1:6" x14ac:dyDescent="0.3">
      <c r="A4901" t="s">
        <v>949</v>
      </c>
      <c r="B4901" t="s">
        <v>222</v>
      </c>
      <c r="C4901" t="str">
        <f>HYPERLINK("http://service.sap.com/sap/support/notes/1884449","1884449")</f>
        <v>1884449</v>
      </c>
      <c r="D4901">
        <v>2</v>
      </c>
      <c r="E4901" t="s">
        <v>950</v>
      </c>
      <c r="F4901" t="s">
        <v>28</v>
      </c>
    </row>
    <row r="4902" spans="1:6" x14ac:dyDescent="0.3">
      <c r="A4902" t="s">
        <v>949</v>
      </c>
      <c r="B4902" t="s">
        <v>222</v>
      </c>
      <c r="C4902" t="str">
        <f>HYPERLINK("http://service.sap.com/sap/support/notes/1914392","1914392")</f>
        <v>1914392</v>
      </c>
      <c r="D4902">
        <v>1</v>
      </c>
      <c r="E4902" t="s">
        <v>951</v>
      </c>
      <c r="F4902" t="s">
        <v>9</v>
      </c>
    </row>
    <row r="4903" spans="1:6" x14ac:dyDescent="0.3">
      <c r="A4903" t="s">
        <v>949</v>
      </c>
      <c r="B4903" t="s">
        <v>222</v>
      </c>
      <c r="C4903" t="str">
        <f>HYPERLINK("http://service.sap.com/sap/support/notes/1922080","1922080")</f>
        <v>1922080</v>
      </c>
      <c r="D4903">
        <v>2</v>
      </c>
      <c r="E4903" t="s">
        <v>952</v>
      </c>
      <c r="F4903" t="s">
        <v>9</v>
      </c>
    </row>
    <row r="4904" spans="1:6" x14ac:dyDescent="0.3">
      <c r="A4904" t="s">
        <v>949</v>
      </c>
      <c r="B4904" t="s">
        <v>222</v>
      </c>
      <c r="C4904" t="str">
        <f>HYPERLINK("http://service.sap.com/sap/support/notes/1930243","1930243")</f>
        <v>1930243</v>
      </c>
      <c r="D4904">
        <v>1</v>
      </c>
      <c r="E4904" t="s">
        <v>953</v>
      </c>
      <c r="F4904" t="s">
        <v>9</v>
      </c>
    </row>
    <row r="4905" spans="1:6" x14ac:dyDescent="0.3">
      <c r="A4905" t="s">
        <v>949</v>
      </c>
      <c r="B4905" t="s">
        <v>222</v>
      </c>
      <c r="C4905" t="str">
        <f>HYPERLINK("http://service.sap.com/sap/support/notes/1930568","1930568")</f>
        <v>1930568</v>
      </c>
      <c r="D4905">
        <v>1</v>
      </c>
      <c r="E4905" t="s">
        <v>954</v>
      </c>
      <c r="F4905" t="s">
        <v>9</v>
      </c>
    </row>
    <row r="4906" spans="1:6" x14ac:dyDescent="0.3">
      <c r="A4906" t="s">
        <v>949</v>
      </c>
      <c r="B4906" t="s">
        <v>222</v>
      </c>
      <c r="C4906" t="str">
        <f>HYPERLINK("http://service.sap.com/sap/support/notes/1933360","1933360")</f>
        <v>1933360</v>
      </c>
      <c r="D4906">
        <v>1</v>
      </c>
      <c r="E4906" t="s">
        <v>1384</v>
      </c>
      <c r="F4906" t="s">
        <v>9</v>
      </c>
    </row>
    <row r="4907" spans="1:6" x14ac:dyDescent="0.3">
      <c r="A4907" t="s">
        <v>949</v>
      </c>
      <c r="B4907" t="s">
        <v>222</v>
      </c>
      <c r="C4907" t="str">
        <f>HYPERLINK("http://service.sap.com/sap/support/notes/1936854","1936854")</f>
        <v>1936854</v>
      </c>
      <c r="D4907">
        <v>1</v>
      </c>
      <c r="E4907" t="s">
        <v>1385</v>
      </c>
      <c r="F4907" t="s">
        <v>9</v>
      </c>
    </row>
    <row r="4908" spans="1:6" x14ac:dyDescent="0.3">
      <c r="A4908" t="s">
        <v>949</v>
      </c>
      <c r="B4908" t="s">
        <v>222</v>
      </c>
      <c r="C4908" t="str">
        <f>HYPERLINK("http://service.sap.com/sap/support/notes/1938201","1938201")</f>
        <v>1938201</v>
      </c>
      <c r="D4908">
        <v>1</v>
      </c>
      <c r="E4908" t="s">
        <v>1386</v>
      </c>
      <c r="F4908" t="s">
        <v>9</v>
      </c>
    </row>
    <row r="4909" spans="1:6" x14ac:dyDescent="0.3">
      <c r="A4909" t="s">
        <v>949</v>
      </c>
      <c r="B4909" t="s">
        <v>222</v>
      </c>
      <c r="C4909" t="str">
        <f>HYPERLINK("http://service.sap.com/sap/support/notes/1933394","1933394")</f>
        <v>1933394</v>
      </c>
      <c r="D4909">
        <v>2</v>
      </c>
      <c r="E4909" t="s">
        <v>2008</v>
      </c>
      <c r="F4909" t="s">
        <v>9</v>
      </c>
    </row>
    <row r="4910" spans="1:6" x14ac:dyDescent="0.3">
      <c r="A4910" t="s">
        <v>949</v>
      </c>
      <c r="B4910" t="s">
        <v>222</v>
      </c>
      <c r="C4910" t="str">
        <f>HYPERLINK("http://service.sap.com/sap/support/notes/1937581","1937581")</f>
        <v>1937581</v>
      </c>
      <c r="D4910">
        <v>1</v>
      </c>
      <c r="E4910" t="s">
        <v>2009</v>
      </c>
      <c r="F4910" t="s">
        <v>9</v>
      </c>
    </row>
    <row r="4911" spans="1:6" x14ac:dyDescent="0.3">
      <c r="A4911" t="s">
        <v>949</v>
      </c>
      <c r="B4911" t="s">
        <v>222</v>
      </c>
      <c r="C4911" t="str">
        <f>HYPERLINK("http://service.sap.com/sap/support/notes/1942312","1942312")</f>
        <v>1942312</v>
      </c>
      <c r="D4911">
        <v>2</v>
      </c>
      <c r="E4911" t="s">
        <v>2010</v>
      </c>
      <c r="F4911" t="s">
        <v>9</v>
      </c>
    </row>
    <row r="4912" spans="1:6" x14ac:dyDescent="0.3">
      <c r="A4912" t="s">
        <v>949</v>
      </c>
      <c r="B4912" t="s">
        <v>222</v>
      </c>
      <c r="C4912" t="str">
        <f>HYPERLINK("http://service.sap.com/sap/support/notes/1949908","1949908")</f>
        <v>1949908</v>
      </c>
      <c r="D4912">
        <v>3</v>
      </c>
      <c r="E4912" t="s">
        <v>2011</v>
      </c>
      <c r="F4912" t="s">
        <v>9</v>
      </c>
    </row>
    <row r="4913" spans="1:6" x14ac:dyDescent="0.3">
      <c r="A4913" t="s">
        <v>949</v>
      </c>
      <c r="B4913" t="s">
        <v>222</v>
      </c>
      <c r="C4913" t="str">
        <f>HYPERLINK("http://service.sap.com/sap/support/notes/1952550","1952550")</f>
        <v>1952550</v>
      </c>
      <c r="D4913">
        <v>2</v>
      </c>
      <c r="E4913" t="s">
        <v>2012</v>
      </c>
      <c r="F4913" t="s">
        <v>9</v>
      </c>
    </row>
    <row r="4914" spans="1:6" x14ac:dyDescent="0.3">
      <c r="A4914" t="s">
        <v>949</v>
      </c>
      <c r="B4914" t="s">
        <v>222</v>
      </c>
      <c r="C4914" t="str">
        <f>HYPERLINK("http://service.sap.com/sap/support/notes/1953143","1953143")</f>
        <v>1953143</v>
      </c>
      <c r="D4914">
        <v>1</v>
      </c>
      <c r="E4914" t="s">
        <v>2013</v>
      </c>
      <c r="F4914" t="s">
        <v>9</v>
      </c>
    </row>
    <row r="4915" spans="1:6" x14ac:dyDescent="0.3">
      <c r="A4915" t="s">
        <v>949</v>
      </c>
      <c r="B4915" t="s">
        <v>222</v>
      </c>
      <c r="C4915" t="str">
        <f>HYPERLINK("http://service.sap.com/sap/support/notes/1953185","1953185")</f>
        <v>1953185</v>
      </c>
      <c r="D4915">
        <v>1</v>
      </c>
      <c r="E4915" t="s">
        <v>2014</v>
      </c>
      <c r="F4915" t="s">
        <v>9</v>
      </c>
    </row>
    <row r="4916" spans="1:6" x14ac:dyDescent="0.3">
      <c r="A4916" t="s">
        <v>949</v>
      </c>
      <c r="B4916" t="s">
        <v>222</v>
      </c>
      <c r="C4916" t="str">
        <f>HYPERLINK("http://service.sap.com/sap/support/notes/1953803","1953803")</f>
        <v>1953803</v>
      </c>
      <c r="D4916">
        <v>1</v>
      </c>
      <c r="E4916" t="s">
        <v>2015</v>
      </c>
      <c r="F4916" t="s">
        <v>9</v>
      </c>
    </row>
    <row r="4917" spans="1:6" x14ac:dyDescent="0.3">
      <c r="A4917" t="s">
        <v>949</v>
      </c>
      <c r="B4917" t="s">
        <v>222</v>
      </c>
      <c r="C4917" t="str">
        <f>HYPERLINK("http://service.sap.com/sap/support/notes/1956232","1956232")</f>
        <v>1956232</v>
      </c>
      <c r="D4917">
        <v>1</v>
      </c>
      <c r="E4917" t="s">
        <v>2016</v>
      </c>
      <c r="F4917" t="s">
        <v>9</v>
      </c>
    </row>
    <row r="4918" spans="1:6" x14ac:dyDescent="0.3">
      <c r="A4918" t="s">
        <v>949</v>
      </c>
      <c r="B4918" t="s">
        <v>222</v>
      </c>
      <c r="C4918" t="str">
        <f>HYPERLINK("http://service.sap.com/sap/support/notes/1956335","1956335")</f>
        <v>1956335</v>
      </c>
      <c r="D4918">
        <v>1</v>
      </c>
      <c r="E4918" t="s">
        <v>2017</v>
      </c>
      <c r="F4918" t="s">
        <v>9</v>
      </c>
    </row>
    <row r="4919" spans="1:6" x14ac:dyDescent="0.3">
      <c r="A4919" t="s">
        <v>949</v>
      </c>
      <c r="B4919" t="s">
        <v>222</v>
      </c>
      <c r="C4919" t="str">
        <f>HYPERLINK("http://service.sap.com/sap/support/notes/1960593","1960593")</f>
        <v>1960593</v>
      </c>
      <c r="D4919">
        <v>1</v>
      </c>
      <c r="E4919" t="s">
        <v>2018</v>
      </c>
      <c r="F4919" t="s">
        <v>9</v>
      </c>
    </row>
    <row r="4920" spans="1:6" x14ac:dyDescent="0.3">
      <c r="A4920" t="s">
        <v>949</v>
      </c>
      <c r="B4920" t="s">
        <v>222</v>
      </c>
      <c r="C4920" t="str">
        <f>HYPERLINK("http://service.sap.com/sap/support/notes/1961596","1961596")</f>
        <v>1961596</v>
      </c>
      <c r="D4920">
        <v>1</v>
      </c>
      <c r="E4920" t="s">
        <v>2346</v>
      </c>
      <c r="F4920" t="s">
        <v>9</v>
      </c>
    </row>
    <row r="4921" spans="1:6" x14ac:dyDescent="0.3">
      <c r="A4921" t="s">
        <v>949</v>
      </c>
      <c r="B4921" t="s">
        <v>222</v>
      </c>
      <c r="C4921" t="str">
        <f>HYPERLINK("http://service.sap.com/sap/support/notes/1961647","1961647")</f>
        <v>1961647</v>
      </c>
      <c r="D4921">
        <v>1</v>
      </c>
      <c r="E4921" t="s">
        <v>2347</v>
      </c>
      <c r="F4921" t="s">
        <v>9</v>
      </c>
    </row>
    <row r="4922" spans="1:6" x14ac:dyDescent="0.3">
      <c r="A4922" t="s">
        <v>949</v>
      </c>
      <c r="B4922" t="s">
        <v>222</v>
      </c>
      <c r="C4922" t="str">
        <f>HYPERLINK("http://service.sap.com/sap/support/notes/1962382","1962382")</f>
        <v>1962382</v>
      </c>
      <c r="D4922">
        <v>1</v>
      </c>
      <c r="E4922" t="s">
        <v>2348</v>
      </c>
      <c r="F4922" t="s">
        <v>9</v>
      </c>
    </row>
    <row r="4923" spans="1:6" x14ac:dyDescent="0.3">
      <c r="A4923" t="s">
        <v>949</v>
      </c>
      <c r="B4923" t="s">
        <v>222</v>
      </c>
      <c r="C4923" t="str">
        <f>HYPERLINK("http://service.sap.com/sap/support/notes/1963602","1963602")</f>
        <v>1963602</v>
      </c>
      <c r="D4923">
        <v>2</v>
      </c>
      <c r="E4923" t="s">
        <v>2349</v>
      </c>
      <c r="F4923" t="s">
        <v>9</v>
      </c>
    </row>
    <row r="4924" spans="1:6" x14ac:dyDescent="0.3">
      <c r="A4924" t="s">
        <v>949</v>
      </c>
      <c r="B4924" t="s">
        <v>222</v>
      </c>
      <c r="C4924" t="str">
        <f>HYPERLINK("http://service.sap.com/sap/support/notes/1965688","1965688")</f>
        <v>1965688</v>
      </c>
      <c r="D4924">
        <v>2</v>
      </c>
      <c r="E4924" t="s">
        <v>2350</v>
      </c>
      <c r="F4924" t="s">
        <v>9</v>
      </c>
    </row>
    <row r="4925" spans="1:6" x14ac:dyDescent="0.3">
      <c r="A4925" t="s">
        <v>949</v>
      </c>
      <c r="B4925" t="s">
        <v>222</v>
      </c>
      <c r="C4925" t="str">
        <f>HYPERLINK("http://service.sap.com/sap/support/notes/1967658","1967658")</f>
        <v>1967658</v>
      </c>
      <c r="D4925">
        <v>1</v>
      </c>
      <c r="E4925" t="s">
        <v>2351</v>
      </c>
      <c r="F4925" t="s">
        <v>9</v>
      </c>
    </row>
    <row r="4926" spans="1:6" x14ac:dyDescent="0.3">
      <c r="A4926" t="s">
        <v>949</v>
      </c>
      <c r="B4926" t="s">
        <v>222</v>
      </c>
      <c r="C4926" t="str">
        <f>HYPERLINK("http://service.sap.com/sap/support/notes/1968791","1968791")</f>
        <v>1968791</v>
      </c>
      <c r="D4926">
        <v>1</v>
      </c>
      <c r="E4926" t="s">
        <v>2352</v>
      </c>
      <c r="F4926" t="s">
        <v>9</v>
      </c>
    </row>
    <row r="4927" spans="1:6" x14ac:dyDescent="0.3">
      <c r="A4927" t="s">
        <v>949</v>
      </c>
      <c r="B4927" t="s">
        <v>222</v>
      </c>
      <c r="C4927" t="str">
        <f>HYPERLINK("http://service.sap.com/sap/support/notes/1969280","1969280")</f>
        <v>1969280</v>
      </c>
      <c r="D4927">
        <v>2</v>
      </c>
      <c r="E4927" t="s">
        <v>2353</v>
      </c>
      <c r="F4927" t="s">
        <v>9</v>
      </c>
    </row>
    <row r="4928" spans="1:6" x14ac:dyDescent="0.3">
      <c r="A4928" t="s">
        <v>949</v>
      </c>
      <c r="B4928" t="s">
        <v>222</v>
      </c>
      <c r="C4928" t="str">
        <f>HYPERLINK("http://service.sap.com/sap/support/notes/1971306","1971306")</f>
        <v>1971306</v>
      </c>
      <c r="D4928">
        <v>1</v>
      </c>
      <c r="E4928" t="s">
        <v>2763</v>
      </c>
      <c r="F4928" t="s">
        <v>9</v>
      </c>
    </row>
    <row r="4929" spans="1:6" x14ac:dyDescent="0.3">
      <c r="A4929" t="s">
        <v>949</v>
      </c>
      <c r="B4929" t="s">
        <v>222</v>
      </c>
      <c r="C4929" t="str">
        <f>HYPERLINK("http://service.sap.com/sap/support/notes/1979676","1979676")</f>
        <v>1979676</v>
      </c>
      <c r="D4929">
        <v>2</v>
      </c>
      <c r="E4929" t="s">
        <v>2764</v>
      </c>
      <c r="F4929" t="s">
        <v>9</v>
      </c>
    </row>
    <row r="4930" spans="1:6" x14ac:dyDescent="0.3">
      <c r="A4930" t="s">
        <v>949</v>
      </c>
      <c r="B4930" t="s">
        <v>222</v>
      </c>
      <c r="C4930" t="str">
        <f>HYPERLINK("http://service.sap.com/sap/support/notes/1982783","1982783")</f>
        <v>1982783</v>
      </c>
      <c r="D4930">
        <v>2</v>
      </c>
      <c r="E4930" t="s">
        <v>3247</v>
      </c>
      <c r="F4930" t="s">
        <v>9</v>
      </c>
    </row>
    <row r="4931" spans="1:6" x14ac:dyDescent="0.3">
      <c r="A4931" t="s">
        <v>949</v>
      </c>
      <c r="B4931" t="s">
        <v>222</v>
      </c>
      <c r="C4931" t="str">
        <f>HYPERLINK("http://service.sap.com/sap/support/notes/1984060","1984060")</f>
        <v>1984060</v>
      </c>
      <c r="D4931">
        <v>2</v>
      </c>
      <c r="E4931" t="s">
        <v>3248</v>
      </c>
      <c r="F4931" t="s">
        <v>9</v>
      </c>
    </row>
    <row r="4932" spans="1:6" x14ac:dyDescent="0.3">
      <c r="A4932" t="s">
        <v>949</v>
      </c>
      <c r="B4932" t="s">
        <v>222</v>
      </c>
      <c r="C4932" t="str">
        <f>HYPERLINK("http://service.sap.com/sap/support/notes/1985152","1985152")</f>
        <v>1985152</v>
      </c>
      <c r="D4932">
        <v>1</v>
      </c>
      <c r="E4932" t="s">
        <v>3249</v>
      </c>
      <c r="F4932" t="s">
        <v>9</v>
      </c>
    </row>
    <row r="4933" spans="1:6" x14ac:dyDescent="0.3">
      <c r="A4933" t="s">
        <v>949</v>
      </c>
      <c r="B4933" t="s">
        <v>222</v>
      </c>
      <c r="C4933" t="str">
        <f>HYPERLINK("http://service.sap.com/sap/support/notes/1993600","1993600")</f>
        <v>1993600</v>
      </c>
      <c r="D4933">
        <v>1</v>
      </c>
      <c r="E4933" t="s">
        <v>3250</v>
      </c>
      <c r="F4933" t="s">
        <v>9</v>
      </c>
    </row>
    <row r="4934" spans="1:6" x14ac:dyDescent="0.3">
      <c r="A4934" t="s">
        <v>949</v>
      </c>
      <c r="B4934" t="s">
        <v>222</v>
      </c>
      <c r="C4934" t="str">
        <f>HYPERLINK("http://service.sap.com/sap/support/notes/1993632","1993632")</f>
        <v>1993632</v>
      </c>
      <c r="D4934">
        <v>1</v>
      </c>
      <c r="E4934" t="s">
        <v>3251</v>
      </c>
      <c r="F4934" t="s">
        <v>9</v>
      </c>
    </row>
    <row r="4935" spans="1:6" x14ac:dyDescent="0.3">
      <c r="A4935" t="s">
        <v>949</v>
      </c>
      <c r="B4935" t="s">
        <v>222</v>
      </c>
      <c r="C4935" t="str">
        <f>HYPERLINK("http://service.sap.com/sap/support/notes/1979152","1979152")</f>
        <v>1979152</v>
      </c>
      <c r="D4935">
        <v>1</v>
      </c>
      <c r="E4935" t="s">
        <v>3890</v>
      </c>
      <c r="F4935" t="s">
        <v>9</v>
      </c>
    </row>
    <row r="4936" spans="1:6" x14ac:dyDescent="0.3">
      <c r="A4936" t="s">
        <v>949</v>
      </c>
      <c r="B4936" t="s">
        <v>222</v>
      </c>
      <c r="C4936" t="str">
        <f>HYPERLINK("http://service.sap.com/sap/support/notes/2001144","2001144")</f>
        <v>2001144</v>
      </c>
      <c r="D4936">
        <v>1</v>
      </c>
      <c r="E4936" t="s">
        <v>3891</v>
      </c>
      <c r="F4936" t="s">
        <v>9</v>
      </c>
    </row>
    <row r="4937" spans="1:6" x14ac:dyDescent="0.3">
      <c r="A4937" t="s">
        <v>949</v>
      </c>
      <c r="B4937" t="s">
        <v>222</v>
      </c>
      <c r="C4937" t="str">
        <f>HYPERLINK("http://service.sap.com/sap/support/notes/2005057","2005057")</f>
        <v>2005057</v>
      </c>
      <c r="D4937">
        <v>1</v>
      </c>
      <c r="E4937" t="s">
        <v>3892</v>
      </c>
      <c r="F4937" t="s">
        <v>9</v>
      </c>
    </row>
    <row r="4938" spans="1:6" x14ac:dyDescent="0.3">
      <c r="A4938" t="s">
        <v>949</v>
      </c>
      <c r="B4938" t="s">
        <v>222</v>
      </c>
      <c r="C4938" t="str">
        <f>HYPERLINK("http://service.sap.com/sap/support/notes/2008437","2008437")</f>
        <v>2008437</v>
      </c>
      <c r="D4938">
        <v>1</v>
      </c>
      <c r="E4938" t="s">
        <v>3893</v>
      </c>
      <c r="F4938" t="s">
        <v>9</v>
      </c>
    </row>
    <row r="4939" spans="1:6" x14ac:dyDescent="0.3">
      <c r="A4939" t="s">
        <v>949</v>
      </c>
      <c r="B4939" t="s">
        <v>222</v>
      </c>
      <c r="C4939" t="str">
        <f>HYPERLINK("http://service.sap.com/sap/support/notes/2010765","2010765")</f>
        <v>2010765</v>
      </c>
      <c r="D4939">
        <v>7</v>
      </c>
      <c r="E4939" t="s">
        <v>4357</v>
      </c>
      <c r="F4939" t="s">
        <v>9</v>
      </c>
    </row>
    <row r="4940" spans="1:6" x14ac:dyDescent="0.3">
      <c r="A4940" t="s">
        <v>949</v>
      </c>
      <c r="B4940" t="s">
        <v>222</v>
      </c>
      <c r="C4940" t="str">
        <f>HYPERLINK("http://service.sap.com/sap/support/notes/2012291","2012291")</f>
        <v>2012291</v>
      </c>
      <c r="D4940">
        <v>1</v>
      </c>
      <c r="E4940" t="s">
        <v>4358</v>
      </c>
      <c r="F4940" t="s">
        <v>9</v>
      </c>
    </row>
    <row r="4941" spans="1:6" x14ac:dyDescent="0.3">
      <c r="A4941" t="s">
        <v>949</v>
      </c>
      <c r="B4941" t="s">
        <v>222</v>
      </c>
      <c r="C4941" t="str">
        <f>HYPERLINK("http://service.sap.com/sap/support/notes/2028124","2028124")</f>
        <v>2028124</v>
      </c>
      <c r="D4941">
        <v>1</v>
      </c>
      <c r="E4941" t="s">
        <v>4661</v>
      </c>
      <c r="F4941" t="s">
        <v>16</v>
      </c>
    </row>
    <row r="4942" spans="1:6" x14ac:dyDescent="0.3">
      <c r="A4942" t="s">
        <v>949</v>
      </c>
      <c r="B4942" t="s">
        <v>222</v>
      </c>
      <c r="C4942" t="str">
        <f>HYPERLINK("http://service.sap.com/sap/support/notes/2028380","2028380")</f>
        <v>2028380</v>
      </c>
      <c r="D4942">
        <v>1</v>
      </c>
      <c r="E4942" t="s">
        <v>4662</v>
      </c>
      <c r="F4942" t="s">
        <v>16</v>
      </c>
    </row>
    <row r="4943" spans="1:6" x14ac:dyDescent="0.3">
      <c r="A4943" t="s">
        <v>949</v>
      </c>
      <c r="B4943" t="s">
        <v>222</v>
      </c>
      <c r="C4943" t="str">
        <f>HYPERLINK("http://service.sap.com/sap/support/notes/2028400","2028400")</f>
        <v>2028400</v>
      </c>
      <c r="D4943">
        <v>2</v>
      </c>
      <c r="E4943" t="s">
        <v>4663</v>
      </c>
      <c r="F4943" t="s">
        <v>9</v>
      </c>
    </row>
    <row r="4944" spans="1:6" x14ac:dyDescent="0.3">
      <c r="A4944" t="s">
        <v>949</v>
      </c>
      <c r="B4944" t="s">
        <v>222</v>
      </c>
      <c r="C4944" t="str">
        <f>HYPERLINK("http://service.sap.com/sap/support/notes/2044983","2044983")</f>
        <v>2044983</v>
      </c>
      <c r="D4944">
        <v>1</v>
      </c>
      <c r="E4944" t="s">
        <v>5044</v>
      </c>
      <c r="F4944" t="s">
        <v>9</v>
      </c>
    </row>
    <row r="4945" spans="1:6" x14ac:dyDescent="0.3">
      <c r="A4945" t="s">
        <v>949</v>
      </c>
      <c r="B4945" t="s">
        <v>222</v>
      </c>
      <c r="C4945" t="str">
        <f>HYPERLINK("http://service.sap.com/sap/support/notes/2048882","2048882")</f>
        <v>2048882</v>
      </c>
      <c r="D4945">
        <v>1</v>
      </c>
      <c r="E4945" t="s">
        <v>5357</v>
      </c>
      <c r="F4945" t="s">
        <v>9</v>
      </c>
    </row>
    <row r="4946" spans="1:6" x14ac:dyDescent="0.3">
      <c r="A4946" t="s">
        <v>949</v>
      </c>
      <c r="B4946" t="s">
        <v>222</v>
      </c>
      <c r="C4946" t="str">
        <f>HYPERLINK("http://service.sap.com/sap/support/notes/2055283","2055283")</f>
        <v>2055283</v>
      </c>
      <c r="D4946">
        <v>1</v>
      </c>
      <c r="E4946" t="s">
        <v>5697</v>
      </c>
      <c r="F4946" t="s">
        <v>9</v>
      </c>
    </row>
    <row r="4947" spans="1:6" x14ac:dyDescent="0.3">
      <c r="A4947" t="s">
        <v>949</v>
      </c>
      <c r="B4947" t="s">
        <v>222</v>
      </c>
      <c r="C4947" t="str">
        <f>HYPERLINK("http://service.sap.com/sap/support/notes/2067721","2067721")</f>
        <v>2067721</v>
      </c>
      <c r="D4947">
        <v>1</v>
      </c>
      <c r="E4947" t="s">
        <v>5698</v>
      </c>
      <c r="F4947" t="s">
        <v>9</v>
      </c>
    </row>
    <row r="4948" spans="1:6" x14ac:dyDescent="0.3">
      <c r="A4948" t="s">
        <v>4664</v>
      </c>
      <c r="B4948" t="s">
        <v>4665</v>
      </c>
      <c r="C4948" t="str">
        <f>HYPERLINK("http://service.sap.com/sap/support/notes/2021387","2021387")</f>
        <v>2021387</v>
      </c>
      <c r="D4948">
        <v>2</v>
      </c>
      <c r="E4948" t="s">
        <v>4666</v>
      </c>
      <c r="F4948" t="s">
        <v>9</v>
      </c>
    </row>
    <row r="4949" spans="1:6" x14ac:dyDescent="0.3">
      <c r="A4949" t="s">
        <v>955</v>
      </c>
      <c r="B4949" t="s">
        <v>227</v>
      </c>
      <c r="C4949" t="str">
        <f>HYPERLINK("http://service.sap.com/sap/support/notes/1453492","1453492")</f>
        <v>1453492</v>
      </c>
      <c r="D4949">
        <v>2</v>
      </c>
      <c r="E4949" t="s">
        <v>956</v>
      </c>
      <c r="F4949" t="s">
        <v>28</v>
      </c>
    </row>
    <row r="4950" spans="1:6" x14ac:dyDescent="0.3">
      <c r="A4950" t="s">
        <v>955</v>
      </c>
      <c r="B4950" t="s">
        <v>227</v>
      </c>
      <c r="C4950" t="str">
        <f>HYPERLINK("http://service.sap.com/sap/support/notes/1516105","1516105")</f>
        <v>1516105</v>
      </c>
      <c r="D4950">
        <v>1</v>
      </c>
      <c r="E4950" t="s">
        <v>957</v>
      </c>
      <c r="F4950" t="s">
        <v>16</v>
      </c>
    </row>
    <row r="4951" spans="1:6" x14ac:dyDescent="0.3">
      <c r="A4951" t="s">
        <v>955</v>
      </c>
      <c r="B4951" t="s">
        <v>227</v>
      </c>
      <c r="C4951" t="str">
        <f>HYPERLINK("http://service.sap.com/sap/support/notes/1793506","1793506")</f>
        <v>1793506</v>
      </c>
      <c r="D4951">
        <v>2</v>
      </c>
      <c r="E4951" t="s">
        <v>958</v>
      </c>
      <c r="F4951" t="s">
        <v>9</v>
      </c>
    </row>
    <row r="4952" spans="1:6" x14ac:dyDescent="0.3">
      <c r="A4952" t="s">
        <v>955</v>
      </c>
      <c r="B4952" t="s">
        <v>227</v>
      </c>
      <c r="C4952" t="str">
        <f>HYPERLINK("http://service.sap.com/sap/support/notes/1808648","1808648")</f>
        <v>1808648</v>
      </c>
      <c r="D4952">
        <v>8</v>
      </c>
      <c r="E4952" t="s">
        <v>959</v>
      </c>
      <c r="F4952" t="s">
        <v>9</v>
      </c>
    </row>
    <row r="4953" spans="1:6" x14ac:dyDescent="0.3">
      <c r="A4953" t="s">
        <v>955</v>
      </c>
      <c r="B4953" t="s">
        <v>227</v>
      </c>
      <c r="C4953" t="str">
        <f>HYPERLINK("http://service.sap.com/sap/support/notes/1815898","1815898")</f>
        <v>1815898</v>
      </c>
      <c r="D4953">
        <v>3</v>
      </c>
      <c r="E4953" t="s">
        <v>960</v>
      </c>
      <c r="F4953" t="s">
        <v>9</v>
      </c>
    </row>
    <row r="4954" spans="1:6" x14ac:dyDescent="0.3">
      <c r="A4954" t="s">
        <v>955</v>
      </c>
      <c r="B4954" t="s">
        <v>227</v>
      </c>
      <c r="C4954" t="str">
        <f>HYPERLINK("http://service.sap.com/sap/support/notes/1820241","1820241")</f>
        <v>1820241</v>
      </c>
      <c r="D4954">
        <v>2</v>
      </c>
      <c r="E4954" t="s">
        <v>961</v>
      </c>
      <c r="F4954" t="s">
        <v>9</v>
      </c>
    </row>
    <row r="4955" spans="1:6" x14ac:dyDescent="0.3">
      <c r="A4955" t="s">
        <v>955</v>
      </c>
      <c r="B4955" t="s">
        <v>227</v>
      </c>
      <c r="C4955" t="str">
        <f>HYPERLINK("http://service.sap.com/sap/support/notes/1824658","1824658")</f>
        <v>1824658</v>
      </c>
      <c r="D4955">
        <v>3</v>
      </c>
      <c r="E4955" t="s">
        <v>962</v>
      </c>
      <c r="F4955" t="s">
        <v>9</v>
      </c>
    </row>
    <row r="4956" spans="1:6" x14ac:dyDescent="0.3">
      <c r="A4956" t="s">
        <v>955</v>
      </c>
      <c r="B4956" t="s">
        <v>227</v>
      </c>
      <c r="C4956" t="str">
        <f>HYPERLINK("http://service.sap.com/sap/support/notes/1824720","1824720")</f>
        <v>1824720</v>
      </c>
      <c r="D4956">
        <v>4</v>
      </c>
      <c r="E4956" t="s">
        <v>963</v>
      </c>
      <c r="F4956" t="s">
        <v>9</v>
      </c>
    </row>
    <row r="4957" spans="1:6" x14ac:dyDescent="0.3">
      <c r="A4957" t="s">
        <v>955</v>
      </c>
      <c r="B4957" t="s">
        <v>227</v>
      </c>
      <c r="C4957" t="str">
        <f>HYPERLINK("http://service.sap.com/sap/support/notes/1827032","1827032")</f>
        <v>1827032</v>
      </c>
      <c r="D4957">
        <v>3</v>
      </c>
      <c r="E4957" t="s">
        <v>964</v>
      </c>
      <c r="F4957" t="s">
        <v>9</v>
      </c>
    </row>
    <row r="4958" spans="1:6" x14ac:dyDescent="0.3">
      <c r="A4958" t="s">
        <v>955</v>
      </c>
      <c r="B4958" t="s">
        <v>227</v>
      </c>
      <c r="C4958" t="str">
        <f>HYPERLINK("http://service.sap.com/sap/support/notes/1828523","1828523")</f>
        <v>1828523</v>
      </c>
      <c r="D4958">
        <v>3</v>
      </c>
      <c r="E4958" t="s">
        <v>965</v>
      </c>
      <c r="F4958" t="s">
        <v>9</v>
      </c>
    </row>
    <row r="4959" spans="1:6" x14ac:dyDescent="0.3">
      <c r="A4959" t="s">
        <v>955</v>
      </c>
      <c r="B4959" t="s">
        <v>227</v>
      </c>
      <c r="C4959" t="str">
        <f>HYPERLINK("http://service.sap.com/sap/support/notes/1844554","1844554")</f>
        <v>1844554</v>
      </c>
      <c r="D4959">
        <v>6</v>
      </c>
      <c r="E4959" t="s">
        <v>966</v>
      </c>
      <c r="F4959" t="s">
        <v>9</v>
      </c>
    </row>
    <row r="4960" spans="1:6" x14ac:dyDescent="0.3">
      <c r="A4960" t="s">
        <v>955</v>
      </c>
      <c r="B4960" t="s">
        <v>227</v>
      </c>
      <c r="C4960" t="str">
        <f>HYPERLINK("http://service.sap.com/sap/support/notes/1849930","1849930")</f>
        <v>1849930</v>
      </c>
      <c r="D4960">
        <v>2</v>
      </c>
      <c r="E4960" t="s">
        <v>967</v>
      </c>
      <c r="F4960" t="s">
        <v>9</v>
      </c>
    </row>
    <row r="4961" spans="1:6" x14ac:dyDescent="0.3">
      <c r="A4961" t="s">
        <v>955</v>
      </c>
      <c r="B4961" t="s">
        <v>227</v>
      </c>
      <c r="C4961" t="str">
        <f>HYPERLINK("http://service.sap.com/sap/support/notes/1855905","1855905")</f>
        <v>1855905</v>
      </c>
      <c r="D4961">
        <v>4</v>
      </c>
      <c r="E4961" t="s">
        <v>968</v>
      </c>
      <c r="F4961" t="s">
        <v>9</v>
      </c>
    </row>
    <row r="4962" spans="1:6" x14ac:dyDescent="0.3">
      <c r="A4962" t="s">
        <v>955</v>
      </c>
      <c r="B4962" t="s">
        <v>227</v>
      </c>
      <c r="C4962" t="str">
        <f>HYPERLINK("http://service.sap.com/sap/support/notes/1857576","1857576")</f>
        <v>1857576</v>
      </c>
      <c r="D4962">
        <v>13</v>
      </c>
      <c r="E4962" t="s">
        <v>969</v>
      </c>
      <c r="F4962" t="s">
        <v>9</v>
      </c>
    </row>
    <row r="4963" spans="1:6" x14ac:dyDescent="0.3">
      <c r="A4963" t="s">
        <v>955</v>
      </c>
      <c r="B4963" t="s">
        <v>227</v>
      </c>
      <c r="C4963" t="str">
        <f>HYPERLINK("http://service.sap.com/sap/support/notes/1882446","1882446")</f>
        <v>1882446</v>
      </c>
      <c r="D4963">
        <v>2</v>
      </c>
      <c r="E4963" t="s">
        <v>970</v>
      </c>
      <c r="F4963" t="s">
        <v>9</v>
      </c>
    </row>
    <row r="4964" spans="1:6" x14ac:dyDescent="0.3">
      <c r="A4964" t="s">
        <v>955</v>
      </c>
      <c r="B4964" t="s">
        <v>227</v>
      </c>
      <c r="C4964" t="str">
        <f>HYPERLINK("http://service.sap.com/sap/support/notes/1897612","1897612")</f>
        <v>1897612</v>
      </c>
      <c r="D4964">
        <v>4</v>
      </c>
      <c r="E4964" t="s">
        <v>971</v>
      </c>
      <c r="F4964" t="s">
        <v>9</v>
      </c>
    </row>
    <row r="4965" spans="1:6" x14ac:dyDescent="0.3">
      <c r="A4965" t="s">
        <v>955</v>
      </c>
      <c r="B4965" t="s">
        <v>227</v>
      </c>
      <c r="C4965" t="str">
        <f>HYPERLINK("http://service.sap.com/sap/support/notes/1909040","1909040")</f>
        <v>1909040</v>
      </c>
      <c r="D4965">
        <v>2</v>
      </c>
      <c r="E4965" t="s">
        <v>972</v>
      </c>
      <c r="F4965" t="s">
        <v>9</v>
      </c>
    </row>
    <row r="4966" spans="1:6" x14ac:dyDescent="0.3">
      <c r="A4966" t="s">
        <v>955</v>
      </c>
      <c r="B4966" t="s">
        <v>227</v>
      </c>
      <c r="C4966" t="str">
        <f>HYPERLINK("http://service.sap.com/sap/support/notes/1921461","1921461")</f>
        <v>1921461</v>
      </c>
      <c r="D4966">
        <v>1</v>
      </c>
      <c r="E4966" t="s">
        <v>973</v>
      </c>
      <c r="F4966" t="s">
        <v>9</v>
      </c>
    </row>
    <row r="4967" spans="1:6" x14ac:dyDescent="0.3">
      <c r="A4967" t="s">
        <v>955</v>
      </c>
      <c r="B4967" t="s">
        <v>227</v>
      </c>
      <c r="C4967" t="str">
        <f>HYPERLINK("http://service.sap.com/sap/support/notes/1516105","1516105")</f>
        <v>1516105</v>
      </c>
      <c r="D4967">
        <v>1</v>
      </c>
      <c r="E4967" t="s">
        <v>957</v>
      </c>
      <c r="F4967" t="s">
        <v>16</v>
      </c>
    </row>
    <row r="4968" spans="1:6" x14ac:dyDescent="0.3">
      <c r="A4968" t="s">
        <v>955</v>
      </c>
      <c r="B4968" t="s">
        <v>227</v>
      </c>
      <c r="C4968" t="str">
        <f>HYPERLINK("http://service.sap.com/sap/support/notes/1926522","1926522")</f>
        <v>1926522</v>
      </c>
      <c r="D4968">
        <v>3</v>
      </c>
      <c r="E4968" t="s">
        <v>1387</v>
      </c>
      <c r="F4968" t="s">
        <v>9</v>
      </c>
    </row>
    <row r="4969" spans="1:6" x14ac:dyDescent="0.3">
      <c r="A4969" t="s">
        <v>955</v>
      </c>
      <c r="B4969" t="s">
        <v>227</v>
      </c>
      <c r="C4969" t="str">
        <f>HYPERLINK("http://service.sap.com/sap/support/notes/1806434","1806434")</f>
        <v>1806434</v>
      </c>
      <c r="D4969">
        <v>1</v>
      </c>
      <c r="E4969" t="s">
        <v>2019</v>
      </c>
      <c r="F4969" t="s">
        <v>9</v>
      </c>
    </row>
    <row r="4970" spans="1:6" x14ac:dyDescent="0.3">
      <c r="A4970" t="s">
        <v>955</v>
      </c>
      <c r="B4970" t="s">
        <v>227</v>
      </c>
      <c r="C4970" t="str">
        <f>HYPERLINK("http://service.sap.com/sap/support/notes/1856656","1856656")</f>
        <v>1856656</v>
      </c>
      <c r="D4970">
        <v>3</v>
      </c>
      <c r="E4970" t="s">
        <v>2354</v>
      </c>
      <c r="F4970" t="s">
        <v>9</v>
      </c>
    </row>
    <row r="4971" spans="1:6" x14ac:dyDescent="0.3">
      <c r="A4971" t="s">
        <v>955</v>
      </c>
      <c r="B4971" t="s">
        <v>227</v>
      </c>
      <c r="C4971" t="str">
        <f>HYPERLINK("http://service.sap.com/sap/support/notes/1918051","1918051")</f>
        <v>1918051</v>
      </c>
      <c r="D4971">
        <v>4</v>
      </c>
      <c r="E4971" t="s">
        <v>2765</v>
      </c>
      <c r="F4971" t="s">
        <v>9</v>
      </c>
    </row>
    <row r="4972" spans="1:6" x14ac:dyDescent="0.3">
      <c r="A4972" t="s">
        <v>955</v>
      </c>
      <c r="B4972" t="s">
        <v>227</v>
      </c>
      <c r="C4972" t="str">
        <f>HYPERLINK("http://service.sap.com/sap/support/notes/1944936","1944936")</f>
        <v>1944936</v>
      </c>
      <c r="D4972">
        <v>5</v>
      </c>
      <c r="E4972" t="s">
        <v>2766</v>
      </c>
      <c r="F4972" t="s">
        <v>9</v>
      </c>
    </row>
    <row r="4973" spans="1:6" x14ac:dyDescent="0.3">
      <c r="A4973" t="s">
        <v>955</v>
      </c>
      <c r="B4973" t="s">
        <v>227</v>
      </c>
      <c r="C4973" t="str">
        <f>HYPERLINK("http://service.sap.com/sap/support/notes/1971716","1971716")</f>
        <v>1971716</v>
      </c>
      <c r="D4973">
        <v>5</v>
      </c>
      <c r="E4973" t="s">
        <v>2767</v>
      </c>
      <c r="F4973" t="s">
        <v>9</v>
      </c>
    </row>
    <row r="4974" spans="1:6" x14ac:dyDescent="0.3">
      <c r="A4974" t="s">
        <v>955</v>
      </c>
      <c r="B4974" t="s">
        <v>227</v>
      </c>
      <c r="C4974" t="str">
        <f>HYPERLINK("http://service.sap.com/sap/support/notes/1975540","1975540")</f>
        <v>1975540</v>
      </c>
      <c r="D4974">
        <v>5</v>
      </c>
      <c r="E4974" t="s">
        <v>2768</v>
      </c>
      <c r="F4974" t="s">
        <v>9</v>
      </c>
    </row>
    <row r="4975" spans="1:6" x14ac:dyDescent="0.3">
      <c r="A4975" t="s">
        <v>955</v>
      </c>
      <c r="B4975" t="s">
        <v>227</v>
      </c>
      <c r="C4975" t="str">
        <f>HYPERLINK("http://service.sap.com/sap/support/notes/1806434","1806434")</f>
        <v>1806434</v>
      </c>
      <c r="D4975">
        <v>1</v>
      </c>
      <c r="E4975" t="s">
        <v>2019</v>
      </c>
      <c r="F4975" t="s">
        <v>9</v>
      </c>
    </row>
    <row r="4976" spans="1:6" x14ac:dyDescent="0.3">
      <c r="A4976" t="s">
        <v>955</v>
      </c>
      <c r="B4976" t="s">
        <v>227</v>
      </c>
      <c r="C4976" t="str">
        <f>HYPERLINK("http://service.sap.com/sap/support/notes/1948383","1948383")</f>
        <v>1948383</v>
      </c>
      <c r="D4976">
        <v>4</v>
      </c>
      <c r="E4976" t="s">
        <v>3252</v>
      </c>
      <c r="F4976" t="s">
        <v>9</v>
      </c>
    </row>
    <row r="4977" spans="1:6" x14ac:dyDescent="0.3">
      <c r="A4977" t="s">
        <v>955</v>
      </c>
      <c r="B4977" t="s">
        <v>227</v>
      </c>
      <c r="C4977" t="str">
        <f>HYPERLINK("http://service.sap.com/sap/support/notes/1806434","1806434")</f>
        <v>1806434</v>
      </c>
      <c r="D4977">
        <v>1</v>
      </c>
      <c r="E4977" t="s">
        <v>2019</v>
      </c>
      <c r="F4977" t="s">
        <v>9</v>
      </c>
    </row>
    <row r="4978" spans="1:6" x14ac:dyDescent="0.3">
      <c r="A4978" t="s">
        <v>955</v>
      </c>
      <c r="B4978" t="s">
        <v>227</v>
      </c>
      <c r="C4978" t="str">
        <f>HYPERLINK("http://service.sap.com/sap/support/notes/1909654","1909654")</f>
        <v>1909654</v>
      </c>
      <c r="D4978">
        <v>1</v>
      </c>
      <c r="E4978" t="s">
        <v>2019</v>
      </c>
      <c r="F4978" t="s">
        <v>9</v>
      </c>
    </row>
    <row r="4979" spans="1:6" x14ac:dyDescent="0.3">
      <c r="A4979" t="s">
        <v>955</v>
      </c>
      <c r="B4979" t="s">
        <v>227</v>
      </c>
      <c r="C4979" t="str">
        <f>HYPERLINK("http://service.sap.com/sap/support/notes/1997089","1997089")</f>
        <v>1997089</v>
      </c>
      <c r="D4979">
        <v>2</v>
      </c>
      <c r="E4979" t="s">
        <v>3894</v>
      </c>
      <c r="F4979" t="s">
        <v>16</v>
      </c>
    </row>
    <row r="4980" spans="1:6" x14ac:dyDescent="0.3">
      <c r="A4980" t="s">
        <v>955</v>
      </c>
      <c r="B4980" t="s">
        <v>227</v>
      </c>
      <c r="C4980" t="str">
        <f>HYPERLINK("http://service.sap.com/sap/support/notes/2021317","2021317")</f>
        <v>2021317</v>
      </c>
      <c r="D4980">
        <v>1</v>
      </c>
      <c r="E4980" t="s">
        <v>4667</v>
      </c>
      <c r="F4980" t="s">
        <v>9</v>
      </c>
    </row>
    <row r="4981" spans="1:6" x14ac:dyDescent="0.3">
      <c r="A4981" t="s">
        <v>955</v>
      </c>
      <c r="B4981" t="s">
        <v>227</v>
      </c>
      <c r="C4981" t="str">
        <f>HYPERLINK("http://service.sap.com/sap/support/notes/2034788","2034788")</f>
        <v>2034788</v>
      </c>
      <c r="D4981">
        <v>5</v>
      </c>
      <c r="E4981" t="s">
        <v>5045</v>
      </c>
      <c r="F4981" t="s">
        <v>9</v>
      </c>
    </row>
    <row r="4982" spans="1:6" x14ac:dyDescent="0.3">
      <c r="A4982" t="s">
        <v>955</v>
      </c>
      <c r="B4982" t="s">
        <v>227</v>
      </c>
      <c r="C4982" t="str">
        <f>HYPERLINK("http://service.sap.com/sap/support/notes/2035926","2035926")</f>
        <v>2035926</v>
      </c>
      <c r="D4982">
        <v>2</v>
      </c>
      <c r="E4982" t="s">
        <v>5046</v>
      </c>
      <c r="F4982" t="s">
        <v>9</v>
      </c>
    </row>
    <row r="4983" spans="1:6" x14ac:dyDescent="0.3">
      <c r="A4983" t="s">
        <v>955</v>
      </c>
      <c r="B4983" t="s">
        <v>227</v>
      </c>
      <c r="C4983" t="str">
        <f>HYPERLINK("http://service.sap.com/sap/support/notes/2039708","2039708")</f>
        <v>2039708</v>
      </c>
      <c r="D4983">
        <v>3</v>
      </c>
      <c r="E4983" t="s">
        <v>5047</v>
      </c>
      <c r="F4983" t="s">
        <v>28</v>
      </c>
    </row>
    <row r="4984" spans="1:6" x14ac:dyDescent="0.3">
      <c r="A4984" t="s">
        <v>955</v>
      </c>
      <c r="B4984" t="s">
        <v>227</v>
      </c>
      <c r="C4984" t="str">
        <f>HYPERLINK("http://service.sap.com/sap/support/notes/2035460","2035460")</f>
        <v>2035460</v>
      </c>
      <c r="D4984">
        <v>2</v>
      </c>
      <c r="E4984" t="s">
        <v>5358</v>
      </c>
      <c r="F4984" t="s">
        <v>9</v>
      </c>
    </row>
    <row r="4985" spans="1:6" x14ac:dyDescent="0.3">
      <c r="A4985" t="s">
        <v>955</v>
      </c>
      <c r="B4985" t="s">
        <v>227</v>
      </c>
      <c r="C4985" t="str">
        <f>HYPERLINK("http://service.sap.com/sap/support/notes/2039317","2039317")</f>
        <v>2039317</v>
      </c>
      <c r="D4985">
        <v>4</v>
      </c>
      <c r="E4985" t="s">
        <v>5359</v>
      </c>
      <c r="F4985" t="s">
        <v>9</v>
      </c>
    </row>
    <row r="4986" spans="1:6" x14ac:dyDescent="0.3">
      <c r="A4986" t="s">
        <v>955</v>
      </c>
      <c r="B4986" t="s">
        <v>227</v>
      </c>
      <c r="C4986" t="str">
        <f>HYPERLINK("http://service.sap.com/sap/support/notes/2045413","2045413")</f>
        <v>2045413</v>
      </c>
      <c r="D4986">
        <v>3</v>
      </c>
      <c r="E4986" t="s">
        <v>5360</v>
      </c>
      <c r="F4986" t="s">
        <v>9</v>
      </c>
    </row>
    <row r="4987" spans="1:6" x14ac:dyDescent="0.3">
      <c r="A4987" t="s">
        <v>955</v>
      </c>
      <c r="B4987" t="s">
        <v>227</v>
      </c>
      <c r="C4987" t="str">
        <f>HYPERLINK("http://service.sap.com/sap/support/notes/2064306","2064306")</f>
        <v>2064306</v>
      </c>
      <c r="D4987">
        <v>3</v>
      </c>
      <c r="E4987" t="s">
        <v>5699</v>
      </c>
      <c r="F4987" t="s">
        <v>9</v>
      </c>
    </row>
    <row r="4988" spans="1:6" x14ac:dyDescent="0.3">
      <c r="A4988" t="s">
        <v>974</v>
      </c>
      <c r="B4988" t="s">
        <v>975</v>
      </c>
      <c r="C4988" t="str">
        <f>HYPERLINK("http://service.sap.com/sap/support/notes/1909014","1909014")</f>
        <v>1909014</v>
      </c>
      <c r="D4988">
        <v>9</v>
      </c>
      <c r="E4988" t="s">
        <v>976</v>
      </c>
      <c r="F4988" t="s">
        <v>28</v>
      </c>
    </row>
    <row r="4989" spans="1:6" x14ac:dyDescent="0.3">
      <c r="A4989" t="s">
        <v>974</v>
      </c>
      <c r="B4989" t="s">
        <v>975</v>
      </c>
      <c r="C4989" t="str">
        <f>HYPERLINK("http://service.sap.com/sap/support/notes/1909014","1909014")</f>
        <v>1909014</v>
      </c>
      <c r="D4989">
        <v>9</v>
      </c>
      <c r="E4989" t="s">
        <v>976</v>
      </c>
      <c r="F4989" t="s">
        <v>28</v>
      </c>
    </row>
    <row r="4990" spans="1:6" x14ac:dyDescent="0.3">
      <c r="A4990" t="s">
        <v>974</v>
      </c>
      <c r="B4990" t="s">
        <v>975</v>
      </c>
      <c r="C4990" t="str">
        <f>HYPERLINK("http://service.sap.com/sap/support/notes/1934582","1934582")</f>
        <v>1934582</v>
      </c>
      <c r="D4990">
        <v>1</v>
      </c>
      <c r="E4990" t="s">
        <v>1388</v>
      </c>
      <c r="F4990" t="s">
        <v>9</v>
      </c>
    </row>
    <row r="4991" spans="1:6" x14ac:dyDescent="0.3">
      <c r="A4991" t="s">
        <v>974</v>
      </c>
      <c r="B4991" t="s">
        <v>975</v>
      </c>
      <c r="C4991" t="str">
        <f>HYPERLINK("http://service.sap.com/sap/support/notes/1951576","1951576")</f>
        <v>1951576</v>
      </c>
      <c r="D4991">
        <v>4</v>
      </c>
      <c r="E4991" t="s">
        <v>2020</v>
      </c>
      <c r="F4991" t="s">
        <v>28</v>
      </c>
    </row>
    <row r="4992" spans="1:6" x14ac:dyDescent="0.3">
      <c r="A4992" t="s">
        <v>974</v>
      </c>
      <c r="B4992" t="s">
        <v>975</v>
      </c>
      <c r="C4992" t="str">
        <f>HYPERLINK("http://service.sap.com/sap/support/notes/1962760","1962760")</f>
        <v>1962760</v>
      </c>
      <c r="D4992">
        <v>2</v>
      </c>
      <c r="E4992" t="s">
        <v>2355</v>
      </c>
      <c r="F4992" t="s">
        <v>9</v>
      </c>
    </row>
    <row r="4993" spans="1:6" x14ac:dyDescent="0.3">
      <c r="A4993" t="s">
        <v>974</v>
      </c>
      <c r="B4993" t="s">
        <v>975</v>
      </c>
      <c r="C4993" t="str">
        <f>HYPERLINK("http://service.sap.com/sap/support/notes/1975742","1975742")</f>
        <v>1975742</v>
      </c>
      <c r="D4993">
        <v>2</v>
      </c>
      <c r="E4993" t="s">
        <v>2769</v>
      </c>
      <c r="F4993" t="s">
        <v>9</v>
      </c>
    </row>
    <row r="4994" spans="1:6" x14ac:dyDescent="0.3">
      <c r="A4994" t="s">
        <v>974</v>
      </c>
      <c r="B4994" t="s">
        <v>975</v>
      </c>
      <c r="C4994" t="str">
        <f>HYPERLINK("http://service.sap.com/sap/support/notes/1984911","1984911")</f>
        <v>1984911</v>
      </c>
      <c r="D4994">
        <v>2</v>
      </c>
      <c r="E4994" t="s">
        <v>3253</v>
      </c>
      <c r="F4994" t="s">
        <v>9</v>
      </c>
    </row>
    <row r="4995" spans="1:6" x14ac:dyDescent="0.3">
      <c r="A4995" t="s">
        <v>974</v>
      </c>
      <c r="B4995" t="s">
        <v>975</v>
      </c>
      <c r="C4995" t="str">
        <f>HYPERLINK("http://service.sap.com/sap/support/notes/1992315","1992315")</f>
        <v>1992315</v>
      </c>
      <c r="D4995">
        <v>2</v>
      </c>
      <c r="E4995" t="s">
        <v>3254</v>
      </c>
      <c r="F4995" t="s">
        <v>28</v>
      </c>
    </row>
    <row r="4996" spans="1:6" x14ac:dyDescent="0.3">
      <c r="A4996" t="s">
        <v>974</v>
      </c>
      <c r="B4996" t="s">
        <v>975</v>
      </c>
      <c r="C4996" t="str">
        <f>HYPERLINK("http://service.sap.com/sap/support/notes/1992697","1992697")</f>
        <v>1992697</v>
      </c>
      <c r="D4996">
        <v>3</v>
      </c>
      <c r="E4996" t="s">
        <v>3255</v>
      </c>
      <c r="F4996" t="s">
        <v>9</v>
      </c>
    </row>
    <row r="4997" spans="1:6" x14ac:dyDescent="0.3">
      <c r="A4997" t="s">
        <v>974</v>
      </c>
      <c r="B4997" t="s">
        <v>975</v>
      </c>
      <c r="C4997" t="str">
        <f>HYPERLINK("http://service.sap.com/sap/support/notes/2002074","2002074")</f>
        <v>2002074</v>
      </c>
      <c r="D4997">
        <v>2</v>
      </c>
      <c r="E4997" t="s">
        <v>3895</v>
      </c>
      <c r="F4997" t="s">
        <v>16</v>
      </c>
    </row>
    <row r="4998" spans="1:6" x14ac:dyDescent="0.3">
      <c r="A4998" t="s">
        <v>974</v>
      </c>
      <c r="B4998" t="s">
        <v>975</v>
      </c>
      <c r="C4998" t="str">
        <f>HYPERLINK("http://service.sap.com/sap/support/notes/2009438","2009438")</f>
        <v>2009438</v>
      </c>
      <c r="D4998">
        <v>1</v>
      </c>
      <c r="E4998" t="s">
        <v>3896</v>
      </c>
      <c r="F4998" t="s">
        <v>9</v>
      </c>
    </row>
    <row r="4999" spans="1:6" x14ac:dyDescent="0.3">
      <c r="A4999" t="s">
        <v>974</v>
      </c>
      <c r="B4999" t="s">
        <v>975</v>
      </c>
      <c r="C4999" t="str">
        <f>HYPERLINK("http://service.sap.com/sap/support/notes/2043697","2043697")</f>
        <v>2043697</v>
      </c>
      <c r="D4999">
        <v>7</v>
      </c>
      <c r="E4999" t="s">
        <v>5048</v>
      </c>
      <c r="F4999" t="s">
        <v>9</v>
      </c>
    </row>
    <row r="5000" spans="1:6" x14ac:dyDescent="0.3">
      <c r="A5000" t="s">
        <v>974</v>
      </c>
      <c r="B5000" t="s">
        <v>975</v>
      </c>
      <c r="C5000" t="str">
        <f>HYPERLINK("http://service.sap.com/sap/support/notes/2046535","2046535")</f>
        <v>2046535</v>
      </c>
      <c r="D5000">
        <v>2</v>
      </c>
      <c r="E5000" t="s">
        <v>5361</v>
      </c>
      <c r="F5000" t="s">
        <v>9</v>
      </c>
    </row>
    <row r="5001" spans="1:6" x14ac:dyDescent="0.3">
      <c r="A5001" t="s">
        <v>974</v>
      </c>
      <c r="B5001" t="s">
        <v>975</v>
      </c>
      <c r="C5001" t="str">
        <f>HYPERLINK("http://service.sap.com/sap/support/notes/2052438","2052438")</f>
        <v>2052438</v>
      </c>
      <c r="D5001">
        <v>3</v>
      </c>
      <c r="E5001" t="s">
        <v>5362</v>
      </c>
      <c r="F5001" t="s">
        <v>9</v>
      </c>
    </row>
    <row r="5002" spans="1:6" x14ac:dyDescent="0.3">
      <c r="A5002" t="s">
        <v>974</v>
      </c>
      <c r="B5002" t="s">
        <v>975</v>
      </c>
      <c r="C5002" t="str">
        <f>HYPERLINK("http://service.sap.com/sap/support/notes/2041033","2041033")</f>
        <v>2041033</v>
      </c>
      <c r="D5002">
        <v>3</v>
      </c>
      <c r="E5002" t="s">
        <v>5700</v>
      </c>
      <c r="F5002" t="s">
        <v>9</v>
      </c>
    </row>
    <row r="5003" spans="1:6" x14ac:dyDescent="0.3">
      <c r="A5003" t="s">
        <v>974</v>
      </c>
      <c r="B5003" t="s">
        <v>975</v>
      </c>
      <c r="C5003" t="str">
        <f>HYPERLINK("http://service.sap.com/sap/support/notes/2043697","2043697")</f>
        <v>2043697</v>
      </c>
      <c r="D5003">
        <v>7</v>
      </c>
      <c r="E5003" t="s">
        <v>5048</v>
      </c>
      <c r="F5003" t="s">
        <v>9</v>
      </c>
    </row>
    <row r="5004" spans="1:6" x14ac:dyDescent="0.3">
      <c r="A5004" t="s">
        <v>974</v>
      </c>
      <c r="B5004" t="s">
        <v>975</v>
      </c>
      <c r="C5004" t="str">
        <f>HYPERLINK("http://service.sap.com/sap/support/notes/2058977","2058977")</f>
        <v>2058977</v>
      </c>
      <c r="D5004">
        <v>3</v>
      </c>
      <c r="E5004" t="s">
        <v>5701</v>
      </c>
      <c r="F5004" t="s">
        <v>9</v>
      </c>
    </row>
    <row r="5005" spans="1:6" x14ac:dyDescent="0.3">
      <c r="A5005" t="s">
        <v>974</v>
      </c>
      <c r="B5005" t="s">
        <v>975</v>
      </c>
      <c r="C5005" t="str">
        <f>HYPERLINK("http://service.sap.com/sap/support/notes/2069434","2069434")</f>
        <v>2069434</v>
      </c>
      <c r="D5005">
        <v>1</v>
      </c>
      <c r="E5005" t="s">
        <v>5702</v>
      </c>
      <c r="F5005" t="s">
        <v>9</v>
      </c>
    </row>
    <row r="5006" spans="1:6" x14ac:dyDescent="0.3">
      <c r="A5006" t="s">
        <v>1389</v>
      </c>
      <c r="B5006" t="s">
        <v>1390</v>
      </c>
      <c r="C5006" t="str">
        <f>HYPERLINK("http://service.sap.com/sap/support/notes/1656108","1656108")</f>
        <v>1656108</v>
      </c>
      <c r="D5006">
        <v>7</v>
      </c>
      <c r="E5006" t="s">
        <v>1391</v>
      </c>
      <c r="F5006" t="s">
        <v>9</v>
      </c>
    </row>
    <row r="5007" spans="1:6" x14ac:dyDescent="0.3">
      <c r="A5007" t="s">
        <v>1389</v>
      </c>
      <c r="B5007" t="s">
        <v>1390</v>
      </c>
      <c r="C5007" t="str">
        <f>HYPERLINK("http://service.sap.com/sap/support/notes/1967980","1967980")</f>
        <v>1967980</v>
      </c>
      <c r="D5007">
        <v>7</v>
      </c>
      <c r="E5007" t="s">
        <v>2770</v>
      </c>
      <c r="F5007" t="s">
        <v>9</v>
      </c>
    </row>
    <row r="5008" spans="1:6" x14ac:dyDescent="0.3">
      <c r="A5008" t="s">
        <v>977</v>
      </c>
      <c r="B5008" t="s">
        <v>978</v>
      </c>
      <c r="C5008" t="str">
        <f>HYPERLINK("http://service.sap.com/sap/support/notes/1906468","1906468")</f>
        <v>1906468</v>
      </c>
      <c r="D5008">
        <v>2</v>
      </c>
      <c r="E5008" t="s">
        <v>979</v>
      </c>
      <c r="F5008" t="s">
        <v>28</v>
      </c>
    </row>
    <row r="5009" spans="1:6" x14ac:dyDescent="0.3">
      <c r="A5009" t="s">
        <v>977</v>
      </c>
      <c r="B5009" t="s">
        <v>1392</v>
      </c>
      <c r="C5009" t="str">
        <f>HYPERLINK("http://service.sap.com/sap/support/notes/1935219","1935219")</f>
        <v>1935219</v>
      </c>
      <c r="D5009">
        <v>1</v>
      </c>
      <c r="E5009" t="s">
        <v>1393</v>
      </c>
      <c r="F5009" t="s">
        <v>9</v>
      </c>
    </row>
    <row r="5010" spans="1:6" x14ac:dyDescent="0.3">
      <c r="A5010" t="s">
        <v>977</v>
      </c>
      <c r="B5010" t="s">
        <v>978</v>
      </c>
      <c r="C5010" t="str">
        <f>HYPERLINK("http://service.sap.com/sap/support/notes/1941876","1941876")</f>
        <v>1941876</v>
      </c>
      <c r="D5010">
        <v>1</v>
      </c>
      <c r="E5010" t="s">
        <v>2021</v>
      </c>
      <c r="F5010" t="s">
        <v>9</v>
      </c>
    </row>
    <row r="5011" spans="1:6" x14ac:dyDescent="0.3">
      <c r="A5011" t="s">
        <v>977</v>
      </c>
      <c r="B5011" t="s">
        <v>978</v>
      </c>
      <c r="C5011" t="str">
        <f>HYPERLINK("http://service.sap.com/sap/support/notes/1951111","1951111")</f>
        <v>1951111</v>
      </c>
      <c r="D5011">
        <v>1</v>
      </c>
      <c r="E5011" t="s">
        <v>2022</v>
      </c>
      <c r="F5011" t="s">
        <v>9</v>
      </c>
    </row>
    <row r="5012" spans="1:6" x14ac:dyDescent="0.3">
      <c r="A5012" t="s">
        <v>977</v>
      </c>
      <c r="B5012" t="s">
        <v>978</v>
      </c>
      <c r="C5012" t="str">
        <f>HYPERLINK("http://service.sap.com/sap/support/notes/1957525","1957525")</f>
        <v>1957525</v>
      </c>
      <c r="D5012">
        <v>1</v>
      </c>
      <c r="E5012" t="s">
        <v>2023</v>
      </c>
      <c r="F5012" t="s">
        <v>9</v>
      </c>
    </row>
    <row r="5013" spans="1:6" x14ac:dyDescent="0.3">
      <c r="A5013" t="s">
        <v>977</v>
      </c>
      <c r="B5013" t="s">
        <v>1392</v>
      </c>
      <c r="C5013" t="str">
        <f>HYPERLINK("http://service.sap.com/sap/support/notes/1956087","1956087")</f>
        <v>1956087</v>
      </c>
      <c r="D5013">
        <v>2</v>
      </c>
      <c r="E5013" t="s">
        <v>2356</v>
      </c>
      <c r="F5013" t="s">
        <v>9</v>
      </c>
    </row>
    <row r="5014" spans="1:6" x14ac:dyDescent="0.3">
      <c r="A5014" t="s">
        <v>977</v>
      </c>
      <c r="B5014" t="s">
        <v>1392</v>
      </c>
      <c r="C5014" t="str">
        <f>HYPERLINK("http://service.sap.com/sap/support/notes/1962571","1962571")</f>
        <v>1962571</v>
      </c>
      <c r="D5014">
        <v>4</v>
      </c>
      <c r="E5014" t="s">
        <v>2357</v>
      </c>
      <c r="F5014" t="s">
        <v>28</v>
      </c>
    </row>
    <row r="5015" spans="1:6" x14ac:dyDescent="0.3">
      <c r="A5015" t="s">
        <v>977</v>
      </c>
      <c r="B5015" t="s">
        <v>978</v>
      </c>
      <c r="C5015" t="str">
        <f>HYPERLINK("http://service.sap.com/sap/support/notes/2006464","2006464")</f>
        <v>2006464</v>
      </c>
      <c r="D5015">
        <v>1</v>
      </c>
      <c r="E5015" t="s">
        <v>3897</v>
      </c>
      <c r="F5015" t="s">
        <v>16</v>
      </c>
    </row>
    <row r="5016" spans="1:6" x14ac:dyDescent="0.3">
      <c r="A5016" t="s">
        <v>977</v>
      </c>
      <c r="B5016" t="s">
        <v>978</v>
      </c>
      <c r="C5016" t="str">
        <f>HYPERLINK("http://service.sap.com/sap/support/notes/2009235","2009235")</f>
        <v>2009235</v>
      </c>
      <c r="D5016">
        <v>1</v>
      </c>
      <c r="E5016" t="s">
        <v>3898</v>
      </c>
      <c r="F5016" t="s">
        <v>9</v>
      </c>
    </row>
    <row r="5017" spans="1:6" x14ac:dyDescent="0.3">
      <c r="A5017" t="s">
        <v>977</v>
      </c>
      <c r="B5017" t="s">
        <v>1392</v>
      </c>
      <c r="C5017" t="str">
        <f>HYPERLINK("http://service.sap.com/sap/support/notes/2042710","2042710")</f>
        <v>2042710</v>
      </c>
      <c r="D5017">
        <v>1</v>
      </c>
      <c r="E5017" t="s">
        <v>5049</v>
      </c>
      <c r="F5017" t="s">
        <v>9</v>
      </c>
    </row>
    <row r="5018" spans="1:6" x14ac:dyDescent="0.3">
      <c r="A5018" t="s">
        <v>980</v>
      </c>
      <c r="B5018" t="s">
        <v>981</v>
      </c>
      <c r="C5018" t="str">
        <f>HYPERLINK("http://service.sap.com/sap/support/notes/1905958","1905958")</f>
        <v>1905958</v>
      </c>
      <c r="D5018">
        <v>2</v>
      </c>
      <c r="E5018" t="s">
        <v>982</v>
      </c>
      <c r="F5018" t="s">
        <v>9</v>
      </c>
    </row>
    <row r="5019" spans="1:6" x14ac:dyDescent="0.3">
      <c r="A5019" t="s">
        <v>980</v>
      </c>
      <c r="B5019" t="s">
        <v>981</v>
      </c>
      <c r="C5019" t="str">
        <f>HYPERLINK("http://service.sap.com/sap/support/notes/1968971","1968971")</f>
        <v>1968971</v>
      </c>
      <c r="D5019">
        <v>2</v>
      </c>
      <c r="E5019" t="s">
        <v>3899</v>
      </c>
      <c r="F5019" t="s">
        <v>9</v>
      </c>
    </row>
    <row r="5020" spans="1:6" x14ac:dyDescent="0.3">
      <c r="A5020" t="s">
        <v>2358</v>
      </c>
      <c r="B5020" t="s">
        <v>2359</v>
      </c>
      <c r="C5020" t="str">
        <f>HYPERLINK("http://service.sap.com/sap/support/notes/1962374","1962374")</f>
        <v>1962374</v>
      </c>
      <c r="D5020">
        <v>3</v>
      </c>
      <c r="E5020" t="s">
        <v>2360</v>
      </c>
      <c r="F5020" t="s">
        <v>28</v>
      </c>
    </row>
    <row r="5021" spans="1:6" x14ac:dyDescent="0.3">
      <c r="A5021" t="s">
        <v>2358</v>
      </c>
      <c r="B5021" t="s">
        <v>2359</v>
      </c>
      <c r="C5021" t="str">
        <f>HYPERLINK("http://service.sap.com/sap/support/notes/1967369","1967369")</f>
        <v>1967369</v>
      </c>
      <c r="D5021">
        <v>2</v>
      </c>
      <c r="E5021" t="s">
        <v>2361</v>
      </c>
      <c r="F5021" t="s">
        <v>28</v>
      </c>
    </row>
    <row r="5022" spans="1:6" x14ac:dyDescent="0.3">
      <c r="A5022" t="s">
        <v>2358</v>
      </c>
      <c r="B5022" t="s">
        <v>2359</v>
      </c>
      <c r="C5022" t="str">
        <f>HYPERLINK("http://service.sap.com/sap/support/notes/1960489","1960489")</f>
        <v>1960489</v>
      </c>
      <c r="D5022">
        <v>3</v>
      </c>
      <c r="E5022" t="s">
        <v>3900</v>
      </c>
      <c r="F5022" t="s">
        <v>16</v>
      </c>
    </row>
    <row r="5023" spans="1:6" x14ac:dyDescent="0.3">
      <c r="A5023" t="s">
        <v>2358</v>
      </c>
      <c r="B5023" t="s">
        <v>2359</v>
      </c>
      <c r="C5023" t="str">
        <f>HYPERLINK("http://service.sap.com/sap/support/notes/1996711","1996711")</f>
        <v>1996711</v>
      </c>
      <c r="D5023">
        <v>2</v>
      </c>
      <c r="E5023" t="s">
        <v>3901</v>
      </c>
      <c r="F5023" t="s">
        <v>16</v>
      </c>
    </row>
    <row r="5024" spans="1:6" x14ac:dyDescent="0.3">
      <c r="A5024" t="s">
        <v>2358</v>
      </c>
      <c r="B5024" t="s">
        <v>2359</v>
      </c>
      <c r="C5024" t="str">
        <f>HYPERLINK("http://service.sap.com/sap/support/notes/2003290","2003290")</f>
        <v>2003290</v>
      </c>
      <c r="D5024">
        <v>2</v>
      </c>
      <c r="E5024" t="s">
        <v>4668</v>
      </c>
      <c r="F5024" t="s">
        <v>9</v>
      </c>
    </row>
    <row r="5025" spans="1:6" x14ac:dyDescent="0.3">
      <c r="A5025" t="s">
        <v>2771</v>
      </c>
      <c r="B5025" t="s">
        <v>471</v>
      </c>
      <c r="C5025" t="str">
        <f>HYPERLINK("http://service.sap.com/sap/support/notes/1971147","1971147")</f>
        <v>1971147</v>
      </c>
      <c r="D5025">
        <v>3</v>
      </c>
      <c r="E5025" t="s">
        <v>2772</v>
      </c>
      <c r="F5025" t="s">
        <v>16</v>
      </c>
    </row>
    <row r="5026" spans="1:6" x14ac:dyDescent="0.3">
      <c r="A5026" t="s">
        <v>2771</v>
      </c>
      <c r="B5026" t="s">
        <v>471</v>
      </c>
      <c r="C5026" t="str">
        <f>HYPERLINK("http://service.sap.com/sap/support/notes/1997744","1997744")</f>
        <v>1997744</v>
      </c>
      <c r="D5026">
        <v>6</v>
      </c>
      <c r="E5026" t="s">
        <v>4669</v>
      </c>
      <c r="F5026" t="s">
        <v>9</v>
      </c>
    </row>
    <row r="5027" spans="1:6" x14ac:dyDescent="0.3">
      <c r="A5027" t="s">
        <v>2773</v>
      </c>
      <c r="B5027" t="s">
        <v>2774</v>
      </c>
      <c r="C5027" t="str">
        <f>HYPERLINK("http://service.sap.com/sap/support/notes/1968014","1968014")</f>
        <v>1968014</v>
      </c>
      <c r="D5027">
        <v>3</v>
      </c>
      <c r="E5027" t="s">
        <v>2775</v>
      </c>
      <c r="F5027" t="s">
        <v>28</v>
      </c>
    </row>
    <row r="5028" spans="1:6" x14ac:dyDescent="0.3">
      <c r="A5028" t="s">
        <v>983</v>
      </c>
      <c r="B5028" t="s">
        <v>525</v>
      </c>
      <c r="C5028" t="str">
        <f>HYPERLINK("http://service.sap.com/sap/support/notes/1904115","1904115")</f>
        <v>1904115</v>
      </c>
      <c r="D5028">
        <v>2</v>
      </c>
      <c r="E5028" t="s">
        <v>984</v>
      </c>
      <c r="F5028" t="s">
        <v>9</v>
      </c>
    </row>
    <row r="5029" spans="1:6" x14ac:dyDescent="0.3">
      <c r="A5029" t="s">
        <v>983</v>
      </c>
      <c r="B5029" t="s">
        <v>525</v>
      </c>
      <c r="C5029" t="str">
        <f>HYPERLINK("http://service.sap.com/sap/support/notes/1800575","1800575")</f>
        <v>1800575</v>
      </c>
      <c r="D5029">
        <v>2</v>
      </c>
      <c r="E5029" t="s">
        <v>1394</v>
      </c>
      <c r="F5029" t="s">
        <v>28</v>
      </c>
    </row>
    <row r="5030" spans="1:6" x14ac:dyDescent="0.3">
      <c r="A5030" t="s">
        <v>983</v>
      </c>
      <c r="B5030" t="s">
        <v>525</v>
      </c>
      <c r="C5030" t="str">
        <f>HYPERLINK("http://service.sap.com/sap/support/notes/1923186","1923186")</f>
        <v>1923186</v>
      </c>
      <c r="D5030">
        <v>4</v>
      </c>
      <c r="E5030" t="s">
        <v>2024</v>
      </c>
      <c r="F5030" t="s">
        <v>9</v>
      </c>
    </row>
    <row r="5031" spans="1:6" x14ac:dyDescent="0.3">
      <c r="A5031" t="s">
        <v>983</v>
      </c>
      <c r="B5031" t="s">
        <v>525</v>
      </c>
      <c r="C5031" t="str">
        <f>HYPERLINK("http://service.sap.com/sap/support/notes/1921979","1921979")</f>
        <v>1921979</v>
      </c>
      <c r="D5031">
        <v>2</v>
      </c>
      <c r="E5031" t="s">
        <v>3256</v>
      </c>
      <c r="F5031" t="s">
        <v>9</v>
      </c>
    </row>
    <row r="5032" spans="1:6" x14ac:dyDescent="0.3">
      <c r="A5032" t="s">
        <v>983</v>
      </c>
      <c r="B5032" t="s">
        <v>525</v>
      </c>
      <c r="C5032" t="str">
        <f>HYPERLINK("http://service.sap.com/sap/support/notes/1955615","1955615")</f>
        <v>1955615</v>
      </c>
      <c r="D5032">
        <v>6</v>
      </c>
      <c r="E5032" t="s">
        <v>3902</v>
      </c>
      <c r="F5032" t="s">
        <v>35</v>
      </c>
    </row>
    <row r="5033" spans="1:6" x14ac:dyDescent="0.3">
      <c r="A5033" t="s">
        <v>983</v>
      </c>
      <c r="B5033" t="s">
        <v>525</v>
      </c>
      <c r="C5033" t="str">
        <f>HYPERLINK("http://service.sap.com/sap/support/notes/1972602","1972602")</f>
        <v>1972602</v>
      </c>
      <c r="D5033">
        <v>5</v>
      </c>
      <c r="E5033" t="s">
        <v>3903</v>
      </c>
      <c r="F5033" t="s">
        <v>9</v>
      </c>
    </row>
    <row r="5034" spans="1:6" x14ac:dyDescent="0.3">
      <c r="A5034" t="s">
        <v>983</v>
      </c>
      <c r="B5034" t="s">
        <v>525</v>
      </c>
      <c r="C5034" t="str">
        <f>HYPERLINK("http://service.sap.com/sap/support/notes/1977746","1977746")</f>
        <v>1977746</v>
      </c>
      <c r="D5034">
        <v>4</v>
      </c>
      <c r="E5034" t="s">
        <v>3904</v>
      </c>
      <c r="F5034" t="s">
        <v>9</v>
      </c>
    </row>
    <row r="5035" spans="1:6" x14ac:dyDescent="0.3">
      <c r="A5035" t="s">
        <v>983</v>
      </c>
      <c r="B5035" t="s">
        <v>525</v>
      </c>
      <c r="C5035" t="str">
        <f>HYPERLINK("http://service.sap.com/sap/support/notes/1985444","1985444")</f>
        <v>1985444</v>
      </c>
      <c r="D5035">
        <v>2</v>
      </c>
      <c r="E5035" t="s">
        <v>3905</v>
      </c>
      <c r="F5035" t="s">
        <v>9</v>
      </c>
    </row>
    <row r="5036" spans="1:6" x14ac:dyDescent="0.3">
      <c r="A5036" t="s">
        <v>983</v>
      </c>
      <c r="B5036" t="s">
        <v>525</v>
      </c>
      <c r="C5036" t="str">
        <f>HYPERLINK("http://service.sap.com/sap/support/notes/1924674","1924674")</f>
        <v>1924674</v>
      </c>
      <c r="D5036">
        <v>3</v>
      </c>
      <c r="E5036" t="s">
        <v>4359</v>
      </c>
      <c r="F5036" t="s">
        <v>28</v>
      </c>
    </row>
    <row r="5037" spans="1:6" x14ac:dyDescent="0.3">
      <c r="A5037" t="s">
        <v>983</v>
      </c>
      <c r="B5037" t="s">
        <v>525</v>
      </c>
      <c r="C5037" t="str">
        <f>HYPERLINK("http://service.sap.com/sap/support/notes/2014422","2014422")</f>
        <v>2014422</v>
      </c>
      <c r="D5037">
        <v>1</v>
      </c>
      <c r="E5037" t="s">
        <v>4670</v>
      </c>
      <c r="F5037" t="s">
        <v>9</v>
      </c>
    </row>
    <row r="5038" spans="1:6" x14ac:dyDescent="0.3">
      <c r="A5038" t="s">
        <v>983</v>
      </c>
      <c r="B5038" t="s">
        <v>525</v>
      </c>
      <c r="C5038" t="str">
        <f>HYPERLINK("http://service.sap.com/sap/support/notes/2052394","2052394")</f>
        <v>2052394</v>
      </c>
      <c r="D5038">
        <v>4</v>
      </c>
      <c r="E5038" t="s">
        <v>5363</v>
      </c>
      <c r="F5038" t="s">
        <v>9</v>
      </c>
    </row>
    <row r="5039" spans="1:6" x14ac:dyDescent="0.3">
      <c r="A5039" t="s">
        <v>983</v>
      </c>
      <c r="B5039" t="s">
        <v>525</v>
      </c>
      <c r="C5039" t="str">
        <f>HYPERLINK("http://service.sap.com/sap/support/notes/2054732","2054732")</f>
        <v>2054732</v>
      </c>
      <c r="D5039">
        <v>4</v>
      </c>
      <c r="E5039" t="s">
        <v>5364</v>
      </c>
      <c r="F5039" t="s">
        <v>9</v>
      </c>
    </row>
    <row r="5040" spans="1:6" x14ac:dyDescent="0.3">
      <c r="A5040" t="s">
        <v>985</v>
      </c>
      <c r="B5040" t="s">
        <v>986</v>
      </c>
      <c r="C5040" t="str">
        <f>HYPERLINK("http://service.sap.com/sap/support/notes/1729215","1729215")</f>
        <v>1729215</v>
      </c>
      <c r="D5040">
        <v>4</v>
      </c>
      <c r="E5040" t="s">
        <v>987</v>
      </c>
      <c r="F5040" t="s">
        <v>9</v>
      </c>
    </row>
    <row r="5041" spans="1:6" x14ac:dyDescent="0.3">
      <c r="A5041" t="s">
        <v>985</v>
      </c>
      <c r="B5041" t="s">
        <v>986</v>
      </c>
      <c r="C5041" t="str">
        <f>HYPERLINK("http://service.sap.com/sap/support/notes/1810095","1810095")</f>
        <v>1810095</v>
      </c>
      <c r="D5041">
        <v>4</v>
      </c>
      <c r="E5041" t="s">
        <v>988</v>
      </c>
      <c r="F5041" t="s">
        <v>28</v>
      </c>
    </row>
    <row r="5042" spans="1:6" x14ac:dyDescent="0.3">
      <c r="A5042" t="s">
        <v>985</v>
      </c>
      <c r="B5042" t="s">
        <v>986</v>
      </c>
      <c r="C5042" t="str">
        <f>HYPERLINK("http://service.sap.com/sap/support/notes/1847397","1847397")</f>
        <v>1847397</v>
      </c>
      <c r="D5042">
        <v>2</v>
      </c>
      <c r="E5042" t="s">
        <v>989</v>
      </c>
      <c r="F5042" t="s">
        <v>9</v>
      </c>
    </row>
    <row r="5043" spans="1:6" x14ac:dyDescent="0.3">
      <c r="A5043" t="s">
        <v>985</v>
      </c>
      <c r="B5043" t="s">
        <v>986</v>
      </c>
      <c r="C5043" t="str">
        <f>HYPERLINK("http://service.sap.com/sap/support/notes/1854533","1854533")</f>
        <v>1854533</v>
      </c>
      <c r="D5043">
        <v>4</v>
      </c>
      <c r="E5043" t="s">
        <v>990</v>
      </c>
      <c r="F5043" t="s">
        <v>28</v>
      </c>
    </row>
    <row r="5044" spans="1:6" x14ac:dyDescent="0.3">
      <c r="A5044" t="s">
        <v>985</v>
      </c>
      <c r="B5044" t="s">
        <v>986</v>
      </c>
      <c r="C5044" t="str">
        <f>HYPERLINK("http://service.sap.com/sap/support/notes/1928398","1928398")</f>
        <v>1928398</v>
      </c>
      <c r="D5044">
        <v>1</v>
      </c>
      <c r="E5044" t="s">
        <v>991</v>
      </c>
      <c r="F5044" t="s">
        <v>9</v>
      </c>
    </row>
    <row r="5045" spans="1:6" x14ac:dyDescent="0.3">
      <c r="A5045" t="s">
        <v>985</v>
      </c>
      <c r="B5045" t="s">
        <v>986</v>
      </c>
      <c r="C5045" t="str">
        <f>HYPERLINK("http://service.sap.com/sap/support/notes/1929643","1929643")</f>
        <v>1929643</v>
      </c>
      <c r="D5045">
        <v>3</v>
      </c>
      <c r="E5045" t="s">
        <v>992</v>
      </c>
      <c r="F5045" t="s">
        <v>9</v>
      </c>
    </row>
    <row r="5046" spans="1:6" x14ac:dyDescent="0.3">
      <c r="A5046" t="s">
        <v>985</v>
      </c>
      <c r="B5046" t="s">
        <v>986</v>
      </c>
      <c r="C5046" t="str">
        <f>HYPERLINK("http://service.sap.com/sap/support/notes/1928398","1928398")</f>
        <v>1928398</v>
      </c>
      <c r="D5046">
        <v>1</v>
      </c>
      <c r="E5046" t="s">
        <v>991</v>
      </c>
      <c r="F5046" t="s">
        <v>9</v>
      </c>
    </row>
    <row r="5047" spans="1:6" x14ac:dyDescent="0.3">
      <c r="A5047" t="s">
        <v>985</v>
      </c>
      <c r="B5047" t="s">
        <v>986</v>
      </c>
      <c r="C5047" t="str">
        <f>HYPERLINK("http://service.sap.com/sap/support/notes/1962357","1962357")</f>
        <v>1962357</v>
      </c>
      <c r="D5047">
        <v>4</v>
      </c>
      <c r="E5047" t="s">
        <v>3906</v>
      </c>
      <c r="F5047" t="s">
        <v>9</v>
      </c>
    </row>
    <row r="5048" spans="1:6" x14ac:dyDescent="0.3">
      <c r="A5048" t="s">
        <v>985</v>
      </c>
      <c r="B5048" t="s">
        <v>986</v>
      </c>
      <c r="C5048" t="str">
        <f>HYPERLINK("http://service.sap.com/sap/support/notes/1964672","1964672")</f>
        <v>1964672</v>
      </c>
      <c r="D5048">
        <v>3</v>
      </c>
      <c r="E5048" t="s">
        <v>3907</v>
      </c>
      <c r="F5048" t="s">
        <v>9</v>
      </c>
    </row>
    <row r="5049" spans="1:6" x14ac:dyDescent="0.3">
      <c r="A5049" t="s">
        <v>985</v>
      </c>
      <c r="B5049" t="s">
        <v>986</v>
      </c>
      <c r="C5049" t="str">
        <f>HYPERLINK("http://service.sap.com/sap/support/notes/1997848","1997848")</f>
        <v>1997848</v>
      </c>
      <c r="D5049">
        <v>3</v>
      </c>
      <c r="E5049" t="s">
        <v>3908</v>
      </c>
      <c r="F5049" t="s">
        <v>9</v>
      </c>
    </row>
    <row r="5050" spans="1:6" x14ac:dyDescent="0.3">
      <c r="A5050" t="s">
        <v>993</v>
      </c>
      <c r="B5050" t="s">
        <v>994</v>
      </c>
      <c r="C5050" t="str">
        <f>HYPERLINK("http://service.sap.com/sap/support/notes/1896527","1896527")</f>
        <v>1896527</v>
      </c>
      <c r="D5050">
        <v>2</v>
      </c>
      <c r="E5050" t="s">
        <v>995</v>
      </c>
      <c r="F5050" t="s">
        <v>16</v>
      </c>
    </row>
    <row r="5051" spans="1:6" x14ac:dyDescent="0.3">
      <c r="A5051" t="s">
        <v>993</v>
      </c>
      <c r="B5051" t="s">
        <v>994</v>
      </c>
      <c r="C5051" t="str">
        <f>HYPERLINK("http://service.sap.com/sap/support/notes/1901971","1901971")</f>
        <v>1901971</v>
      </c>
      <c r="D5051">
        <v>6</v>
      </c>
      <c r="E5051" t="s">
        <v>996</v>
      </c>
      <c r="F5051" t="s">
        <v>28</v>
      </c>
    </row>
    <row r="5052" spans="1:6" x14ac:dyDescent="0.3">
      <c r="A5052" t="s">
        <v>993</v>
      </c>
      <c r="B5052" t="s">
        <v>994</v>
      </c>
      <c r="C5052" t="str">
        <f>HYPERLINK("http://service.sap.com/sap/support/notes/1920646","1920646")</f>
        <v>1920646</v>
      </c>
      <c r="D5052">
        <v>2</v>
      </c>
      <c r="E5052" t="s">
        <v>997</v>
      </c>
      <c r="F5052" t="s">
        <v>9</v>
      </c>
    </row>
    <row r="5053" spans="1:6" x14ac:dyDescent="0.3">
      <c r="A5053" t="s">
        <v>993</v>
      </c>
      <c r="B5053" t="s">
        <v>994</v>
      </c>
      <c r="C5053" t="str">
        <f>HYPERLINK("http://service.sap.com/sap/support/notes/1886139","1886139")</f>
        <v>1886139</v>
      </c>
      <c r="D5053">
        <v>2</v>
      </c>
      <c r="E5053" t="s">
        <v>1395</v>
      </c>
      <c r="F5053" t="s">
        <v>9</v>
      </c>
    </row>
    <row r="5054" spans="1:6" x14ac:dyDescent="0.3">
      <c r="A5054" t="s">
        <v>993</v>
      </c>
      <c r="B5054" t="s">
        <v>994</v>
      </c>
      <c r="C5054" t="str">
        <f>HYPERLINK("http://service.sap.com/sap/support/notes/1920654","1920654")</f>
        <v>1920654</v>
      </c>
      <c r="D5054">
        <v>3</v>
      </c>
      <c r="E5054" t="s">
        <v>1396</v>
      </c>
      <c r="F5054" t="s">
        <v>28</v>
      </c>
    </row>
    <row r="5055" spans="1:6" x14ac:dyDescent="0.3">
      <c r="A5055" t="s">
        <v>993</v>
      </c>
      <c r="B5055" t="s">
        <v>994</v>
      </c>
      <c r="C5055" t="str">
        <f>HYPERLINK("http://service.sap.com/sap/support/notes/1925148","1925148")</f>
        <v>1925148</v>
      </c>
      <c r="D5055">
        <v>3</v>
      </c>
      <c r="E5055" t="s">
        <v>1397</v>
      </c>
      <c r="F5055" t="s">
        <v>9</v>
      </c>
    </row>
    <row r="5056" spans="1:6" x14ac:dyDescent="0.3">
      <c r="A5056" t="s">
        <v>993</v>
      </c>
      <c r="B5056" t="s">
        <v>994</v>
      </c>
      <c r="C5056" t="str">
        <f>HYPERLINK("http://service.sap.com/sap/support/notes/1923953","1923953")</f>
        <v>1923953</v>
      </c>
      <c r="D5056">
        <v>6</v>
      </c>
      <c r="E5056" t="s">
        <v>1453</v>
      </c>
      <c r="F5056" t="s">
        <v>28</v>
      </c>
    </row>
    <row r="5057" spans="1:6" x14ac:dyDescent="0.3">
      <c r="A5057" t="s">
        <v>993</v>
      </c>
      <c r="B5057" t="s">
        <v>994</v>
      </c>
      <c r="C5057" t="str">
        <f>HYPERLINK("http://service.sap.com/sap/support/notes/1839222","1839222")</f>
        <v>1839222</v>
      </c>
      <c r="D5057">
        <v>5</v>
      </c>
      <c r="E5057" t="s">
        <v>2025</v>
      </c>
      <c r="F5057" t="s">
        <v>9</v>
      </c>
    </row>
    <row r="5058" spans="1:6" x14ac:dyDescent="0.3">
      <c r="A5058" t="s">
        <v>993</v>
      </c>
      <c r="B5058" t="s">
        <v>994</v>
      </c>
      <c r="C5058" t="str">
        <f>HYPERLINK("http://service.sap.com/sap/support/notes/1839868","1839868")</f>
        <v>1839868</v>
      </c>
      <c r="D5058">
        <v>2</v>
      </c>
      <c r="E5058" t="s">
        <v>2026</v>
      </c>
      <c r="F5058" t="s">
        <v>9</v>
      </c>
    </row>
    <row r="5059" spans="1:6" x14ac:dyDescent="0.3">
      <c r="A5059" t="s">
        <v>993</v>
      </c>
      <c r="B5059" t="s">
        <v>994</v>
      </c>
      <c r="C5059" t="str">
        <f>HYPERLINK("http://service.sap.com/sap/support/notes/1919960","1919960")</f>
        <v>1919960</v>
      </c>
      <c r="D5059">
        <v>2</v>
      </c>
      <c r="E5059" t="s">
        <v>2027</v>
      </c>
      <c r="F5059" t="s">
        <v>9</v>
      </c>
    </row>
    <row r="5060" spans="1:6" x14ac:dyDescent="0.3">
      <c r="A5060" t="s">
        <v>993</v>
      </c>
      <c r="B5060" t="s">
        <v>994</v>
      </c>
      <c r="C5060" t="str">
        <f>HYPERLINK("http://service.sap.com/sap/support/notes/1928406","1928406")</f>
        <v>1928406</v>
      </c>
      <c r="D5060">
        <v>2</v>
      </c>
      <c r="E5060" t="s">
        <v>2028</v>
      </c>
      <c r="F5060" t="s">
        <v>9</v>
      </c>
    </row>
    <row r="5061" spans="1:6" x14ac:dyDescent="0.3">
      <c r="A5061" t="s">
        <v>993</v>
      </c>
      <c r="B5061" t="s">
        <v>994</v>
      </c>
      <c r="C5061" t="str">
        <f>HYPERLINK("http://service.sap.com/sap/support/notes/1933973","1933973")</f>
        <v>1933973</v>
      </c>
      <c r="D5061">
        <v>3</v>
      </c>
      <c r="E5061" t="s">
        <v>2029</v>
      </c>
      <c r="F5061" t="s">
        <v>9</v>
      </c>
    </row>
    <row r="5062" spans="1:6" x14ac:dyDescent="0.3">
      <c r="A5062" t="s">
        <v>993</v>
      </c>
      <c r="B5062" t="s">
        <v>994</v>
      </c>
      <c r="C5062" t="str">
        <f>HYPERLINK("http://service.sap.com/sap/support/notes/1937829","1937829")</f>
        <v>1937829</v>
      </c>
      <c r="D5062">
        <v>2</v>
      </c>
      <c r="E5062" t="s">
        <v>2030</v>
      </c>
      <c r="F5062" t="s">
        <v>9</v>
      </c>
    </row>
    <row r="5063" spans="1:6" x14ac:dyDescent="0.3">
      <c r="A5063" t="s">
        <v>993</v>
      </c>
      <c r="B5063" t="s">
        <v>994</v>
      </c>
      <c r="C5063" t="str">
        <f>HYPERLINK("http://service.sap.com/sap/support/notes/1947744","1947744")</f>
        <v>1947744</v>
      </c>
      <c r="D5063">
        <v>7</v>
      </c>
      <c r="E5063" t="s">
        <v>2031</v>
      </c>
      <c r="F5063" t="s">
        <v>28</v>
      </c>
    </row>
    <row r="5064" spans="1:6" x14ac:dyDescent="0.3">
      <c r="A5064" t="s">
        <v>993</v>
      </c>
      <c r="B5064" t="s">
        <v>994</v>
      </c>
      <c r="C5064" t="str">
        <f>HYPERLINK("http://service.sap.com/sap/support/notes/1956913","1956913")</f>
        <v>1956913</v>
      </c>
      <c r="D5064">
        <v>1</v>
      </c>
      <c r="E5064" t="s">
        <v>2032</v>
      </c>
      <c r="F5064" t="s">
        <v>9</v>
      </c>
    </row>
    <row r="5065" spans="1:6" x14ac:dyDescent="0.3">
      <c r="A5065" t="s">
        <v>993</v>
      </c>
      <c r="B5065" t="s">
        <v>994</v>
      </c>
      <c r="C5065" t="str">
        <f>HYPERLINK("http://service.sap.com/sap/support/notes/1959358","1959358")</f>
        <v>1959358</v>
      </c>
      <c r="D5065">
        <v>1</v>
      </c>
      <c r="E5065" t="s">
        <v>2033</v>
      </c>
      <c r="F5065" t="s">
        <v>9</v>
      </c>
    </row>
    <row r="5066" spans="1:6" x14ac:dyDescent="0.3">
      <c r="A5066" t="s">
        <v>993</v>
      </c>
      <c r="B5066" t="s">
        <v>994</v>
      </c>
      <c r="C5066" t="str">
        <f>HYPERLINK("http://service.sap.com/sap/support/notes/1960587","1960587")</f>
        <v>1960587</v>
      </c>
      <c r="D5066">
        <v>4</v>
      </c>
      <c r="E5066" t="s">
        <v>2362</v>
      </c>
      <c r="F5066" t="s">
        <v>9</v>
      </c>
    </row>
    <row r="5067" spans="1:6" x14ac:dyDescent="0.3">
      <c r="A5067" t="s">
        <v>993</v>
      </c>
      <c r="B5067" t="s">
        <v>994</v>
      </c>
      <c r="C5067" t="str">
        <f>HYPERLINK("http://service.sap.com/sap/support/notes/1962368","1962368")</f>
        <v>1962368</v>
      </c>
      <c r="D5067">
        <v>4</v>
      </c>
      <c r="E5067" t="s">
        <v>2363</v>
      </c>
      <c r="F5067" t="s">
        <v>28</v>
      </c>
    </row>
    <row r="5068" spans="1:6" x14ac:dyDescent="0.3">
      <c r="A5068" t="s">
        <v>993</v>
      </c>
      <c r="B5068" t="s">
        <v>994</v>
      </c>
      <c r="C5068" t="str">
        <f>HYPERLINK("http://service.sap.com/sap/support/notes/1964720","1964720")</f>
        <v>1964720</v>
      </c>
      <c r="D5068">
        <v>2</v>
      </c>
      <c r="E5068" t="s">
        <v>2364</v>
      </c>
      <c r="F5068" t="s">
        <v>9</v>
      </c>
    </row>
    <row r="5069" spans="1:6" x14ac:dyDescent="0.3">
      <c r="A5069" t="s">
        <v>993</v>
      </c>
      <c r="B5069" t="s">
        <v>994</v>
      </c>
      <c r="C5069" t="str">
        <f>HYPERLINK("http://service.sap.com/sap/support/notes/1967363","1967363")</f>
        <v>1967363</v>
      </c>
      <c r="D5069">
        <v>6</v>
      </c>
      <c r="E5069" t="s">
        <v>2776</v>
      </c>
      <c r="F5069" t="s">
        <v>9</v>
      </c>
    </row>
    <row r="5070" spans="1:6" x14ac:dyDescent="0.3">
      <c r="A5070" t="s">
        <v>993</v>
      </c>
      <c r="B5070" t="s">
        <v>994</v>
      </c>
      <c r="C5070" t="str">
        <f>HYPERLINK("http://service.sap.com/sap/support/notes/1969655","1969655")</f>
        <v>1969655</v>
      </c>
      <c r="D5070">
        <v>1</v>
      </c>
      <c r="E5070" t="s">
        <v>2777</v>
      </c>
      <c r="F5070" t="s">
        <v>28</v>
      </c>
    </row>
    <row r="5071" spans="1:6" x14ac:dyDescent="0.3">
      <c r="A5071" t="s">
        <v>993</v>
      </c>
      <c r="B5071" t="s">
        <v>994</v>
      </c>
      <c r="C5071" t="str">
        <f>HYPERLINK("http://service.sap.com/sap/support/notes/1969794","1969794")</f>
        <v>1969794</v>
      </c>
      <c r="D5071">
        <v>2</v>
      </c>
      <c r="E5071" t="s">
        <v>2778</v>
      </c>
      <c r="F5071" t="s">
        <v>9</v>
      </c>
    </row>
    <row r="5072" spans="1:6" x14ac:dyDescent="0.3">
      <c r="A5072" t="s">
        <v>993</v>
      </c>
      <c r="B5072" t="s">
        <v>994</v>
      </c>
      <c r="C5072" t="str">
        <f>HYPERLINK("http://service.sap.com/sap/support/notes/1972904","1972904")</f>
        <v>1972904</v>
      </c>
      <c r="D5072">
        <v>1</v>
      </c>
      <c r="E5072" t="s">
        <v>2779</v>
      </c>
      <c r="F5072" t="s">
        <v>28</v>
      </c>
    </row>
    <row r="5073" spans="1:6" x14ac:dyDescent="0.3">
      <c r="A5073" t="s">
        <v>993</v>
      </c>
      <c r="B5073" t="s">
        <v>994</v>
      </c>
      <c r="C5073" t="str">
        <f>HYPERLINK("http://service.sap.com/sap/support/notes/1973508","1973508")</f>
        <v>1973508</v>
      </c>
      <c r="D5073">
        <v>2</v>
      </c>
      <c r="E5073" t="s">
        <v>2780</v>
      </c>
      <c r="F5073" t="s">
        <v>9</v>
      </c>
    </row>
    <row r="5074" spans="1:6" x14ac:dyDescent="0.3">
      <c r="A5074" t="s">
        <v>993</v>
      </c>
      <c r="B5074" t="s">
        <v>994</v>
      </c>
      <c r="C5074" t="str">
        <f>HYPERLINK("http://service.sap.com/sap/support/notes/1959654","1959654")</f>
        <v>1959654</v>
      </c>
      <c r="D5074">
        <v>5</v>
      </c>
      <c r="E5074" t="s">
        <v>3257</v>
      </c>
      <c r="F5074" t="s">
        <v>9</v>
      </c>
    </row>
    <row r="5075" spans="1:6" x14ac:dyDescent="0.3">
      <c r="A5075" t="s">
        <v>993</v>
      </c>
      <c r="B5075" t="s">
        <v>994</v>
      </c>
      <c r="C5075" t="str">
        <f>HYPERLINK("http://service.sap.com/sap/support/notes/1959867","1959867")</f>
        <v>1959867</v>
      </c>
      <c r="D5075">
        <v>4</v>
      </c>
      <c r="E5075" t="s">
        <v>3258</v>
      </c>
      <c r="F5075" t="s">
        <v>9</v>
      </c>
    </row>
    <row r="5076" spans="1:6" x14ac:dyDescent="0.3">
      <c r="A5076" t="s">
        <v>993</v>
      </c>
      <c r="B5076" t="s">
        <v>994</v>
      </c>
      <c r="C5076" t="str">
        <f>HYPERLINK("http://service.sap.com/sap/support/notes/1970345","1970345")</f>
        <v>1970345</v>
      </c>
      <c r="D5076">
        <v>3</v>
      </c>
      <c r="E5076" t="s">
        <v>3259</v>
      </c>
      <c r="F5076" t="s">
        <v>9</v>
      </c>
    </row>
    <row r="5077" spans="1:6" x14ac:dyDescent="0.3">
      <c r="A5077" t="s">
        <v>993</v>
      </c>
      <c r="B5077" t="s">
        <v>994</v>
      </c>
      <c r="C5077" t="str">
        <f>HYPERLINK("http://service.sap.com/sap/support/notes/1974626","1974626")</f>
        <v>1974626</v>
      </c>
      <c r="D5077">
        <v>4</v>
      </c>
      <c r="E5077" t="s">
        <v>3260</v>
      </c>
      <c r="F5077" t="s">
        <v>9</v>
      </c>
    </row>
    <row r="5078" spans="1:6" x14ac:dyDescent="0.3">
      <c r="A5078" t="s">
        <v>993</v>
      </c>
      <c r="B5078" t="s">
        <v>994</v>
      </c>
      <c r="C5078" t="str">
        <f>HYPERLINK("http://service.sap.com/sap/support/notes/1976376","1976376")</f>
        <v>1976376</v>
      </c>
      <c r="D5078">
        <v>5</v>
      </c>
      <c r="E5078" t="s">
        <v>3261</v>
      </c>
      <c r="F5078" t="s">
        <v>9</v>
      </c>
    </row>
    <row r="5079" spans="1:6" x14ac:dyDescent="0.3">
      <c r="A5079" t="s">
        <v>993</v>
      </c>
      <c r="B5079" t="s">
        <v>994</v>
      </c>
      <c r="C5079" t="str">
        <f>HYPERLINK("http://service.sap.com/sap/support/notes/1977415","1977415")</f>
        <v>1977415</v>
      </c>
      <c r="D5079">
        <v>3</v>
      </c>
      <c r="E5079" t="s">
        <v>3262</v>
      </c>
      <c r="F5079" t="s">
        <v>9</v>
      </c>
    </row>
    <row r="5080" spans="1:6" x14ac:dyDescent="0.3">
      <c r="A5080" t="s">
        <v>993</v>
      </c>
      <c r="B5080" t="s">
        <v>994</v>
      </c>
      <c r="C5080" t="str">
        <f>HYPERLINK("http://service.sap.com/sap/support/notes/1978816","1978816")</f>
        <v>1978816</v>
      </c>
      <c r="D5080">
        <v>6</v>
      </c>
      <c r="E5080" t="s">
        <v>3263</v>
      </c>
      <c r="F5080" t="s">
        <v>9</v>
      </c>
    </row>
    <row r="5081" spans="1:6" x14ac:dyDescent="0.3">
      <c r="A5081" t="s">
        <v>993</v>
      </c>
      <c r="B5081" t="s">
        <v>994</v>
      </c>
      <c r="C5081" t="str">
        <f>HYPERLINK("http://service.sap.com/sap/support/notes/1980122","1980122")</f>
        <v>1980122</v>
      </c>
      <c r="D5081">
        <v>4</v>
      </c>
      <c r="E5081" t="s">
        <v>3264</v>
      </c>
      <c r="F5081" t="s">
        <v>9</v>
      </c>
    </row>
    <row r="5082" spans="1:6" x14ac:dyDescent="0.3">
      <c r="A5082" t="s">
        <v>993</v>
      </c>
      <c r="B5082" t="s">
        <v>994</v>
      </c>
      <c r="C5082" t="str">
        <f>HYPERLINK("http://service.sap.com/sap/support/notes/1983140","1983140")</f>
        <v>1983140</v>
      </c>
      <c r="D5082">
        <v>1</v>
      </c>
      <c r="E5082" t="s">
        <v>3265</v>
      </c>
      <c r="F5082" t="s">
        <v>9</v>
      </c>
    </row>
    <row r="5083" spans="1:6" x14ac:dyDescent="0.3">
      <c r="A5083" t="s">
        <v>993</v>
      </c>
      <c r="B5083" t="s">
        <v>994</v>
      </c>
      <c r="C5083" t="str">
        <f>HYPERLINK("http://service.sap.com/sap/support/notes/1993439","1993439")</f>
        <v>1993439</v>
      </c>
      <c r="D5083">
        <v>2</v>
      </c>
      <c r="E5083" t="s">
        <v>3266</v>
      </c>
      <c r="F5083" t="s">
        <v>9</v>
      </c>
    </row>
    <row r="5084" spans="1:6" x14ac:dyDescent="0.3">
      <c r="A5084" t="s">
        <v>993</v>
      </c>
      <c r="B5084" t="s">
        <v>994</v>
      </c>
      <c r="C5084" t="str">
        <f>HYPERLINK("http://service.sap.com/sap/support/notes/1922639","1922639")</f>
        <v>1922639</v>
      </c>
      <c r="D5084">
        <v>4</v>
      </c>
      <c r="E5084" t="s">
        <v>3909</v>
      </c>
      <c r="F5084" t="s">
        <v>9</v>
      </c>
    </row>
    <row r="5085" spans="1:6" x14ac:dyDescent="0.3">
      <c r="A5085" t="s">
        <v>993</v>
      </c>
      <c r="B5085" t="s">
        <v>994</v>
      </c>
      <c r="C5085" t="str">
        <f>HYPERLINK("http://service.sap.com/sap/support/notes/1946442","1946442")</f>
        <v>1946442</v>
      </c>
      <c r="D5085">
        <v>13</v>
      </c>
      <c r="E5085" t="s">
        <v>3910</v>
      </c>
      <c r="F5085" t="s">
        <v>28</v>
      </c>
    </row>
    <row r="5086" spans="1:6" x14ac:dyDescent="0.3">
      <c r="A5086" t="s">
        <v>993</v>
      </c>
      <c r="B5086" t="s">
        <v>994</v>
      </c>
      <c r="C5086" t="str">
        <f>HYPERLINK("http://service.sap.com/sap/support/notes/1971097","1971097")</f>
        <v>1971097</v>
      </c>
      <c r="D5086">
        <v>4</v>
      </c>
      <c r="E5086" t="s">
        <v>3911</v>
      </c>
      <c r="F5086" t="s">
        <v>9</v>
      </c>
    </row>
    <row r="5087" spans="1:6" x14ac:dyDescent="0.3">
      <c r="A5087" t="s">
        <v>993</v>
      </c>
      <c r="B5087" t="s">
        <v>994</v>
      </c>
      <c r="C5087" t="str">
        <f>HYPERLINK("http://service.sap.com/sap/support/notes/1975209","1975209")</f>
        <v>1975209</v>
      </c>
      <c r="D5087">
        <v>3</v>
      </c>
      <c r="E5087" t="s">
        <v>3912</v>
      </c>
      <c r="F5087" t="s">
        <v>9</v>
      </c>
    </row>
    <row r="5088" spans="1:6" x14ac:dyDescent="0.3">
      <c r="A5088" t="s">
        <v>993</v>
      </c>
      <c r="B5088" t="s">
        <v>994</v>
      </c>
      <c r="C5088" t="str">
        <f>HYPERLINK("http://service.sap.com/sap/support/notes/1999547","1999547")</f>
        <v>1999547</v>
      </c>
      <c r="D5088">
        <v>1</v>
      </c>
      <c r="E5088" t="s">
        <v>3913</v>
      </c>
      <c r="F5088" t="s">
        <v>9</v>
      </c>
    </row>
    <row r="5089" spans="1:6" x14ac:dyDescent="0.3">
      <c r="A5089" t="s">
        <v>993</v>
      </c>
      <c r="B5089" t="s">
        <v>994</v>
      </c>
      <c r="C5089" t="str">
        <f>HYPERLINK("http://service.sap.com/sap/support/notes/2006101","2006101")</f>
        <v>2006101</v>
      </c>
      <c r="D5089">
        <v>1</v>
      </c>
      <c r="E5089" t="s">
        <v>3914</v>
      </c>
      <c r="F5089" t="s">
        <v>9</v>
      </c>
    </row>
    <row r="5090" spans="1:6" x14ac:dyDescent="0.3">
      <c r="A5090" t="s">
        <v>993</v>
      </c>
      <c r="B5090" t="s">
        <v>994</v>
      </c>
      <c r="C5090" t="str">
        <f>HYPERLINK("http://service.sap.com/sap/support/notes/2008883","2008883")</f>
        <v>2008883</v>
      </c>
      <c r="D5090">
        <v>1</v>
      </c>
      <c r="E5090" t="s">
        <v>3915</v>
      </c>
      <c r="F5090" t="s">
        <v>9</v>
      </c>
    </row>
    <row r="5091" spans="1:6" x14ac:dyDescent="0.3">
      <c r="A5091" t="s">
        <v>993</v>
      </c>
      <c r="B5091" t="s">
        <v>994</v>
      </c>
      <c r="C5091" t="str">
        <f>HYPERLINK("http://service.sap.com/sap/support/notes/1982420","1982420")</f>
        <v>1982420</v>
      </c>
      <c r="D5091">
        <v>2</v>
      </c>
      <c r="E5091" t="s">
        <v>4360</v>
      </c>
      <c r="F5091" t="s">
        <v>9</v>
      </c>
    </row>
    <row r="5092" spans="1:6" x14ac:dyDescent="0.3">
      <c r="A5092" t="s">
        <v>993</v>
      </c>
      <c r="B5092" t="s">
        <v>994</v>
      </c>
      <c r="C5092" t="str">
        <f>HYPERLINK("http://service.sap.com/sap/support/notes/2006121","2006121")</f>
        <v>2006121</v>
      </c>
      <c r="D5092">
        <v>1</v>
      </c>
      <c r="E5092" t="s">
        <v>4361</v>
      </c>
      <c r="F5092" t="s">
        <v>9</v>
      </c>
    </row>
    <row r="5093" spans="1:6" x14ac:dyDescent="0.3">
      <c r="A5093" t="s">
        <v>993</v>
      </c>
      <c r="B5093" t="s">
        <v>994</v>
      </c>
      <c r="C5093" t="str">
        <f>HYPERLINK("http://service.sap.com/sap/support/notes/2011381","2011381")</f>
        <v>2011381</v>
      </c>
      <c r="D5093">
        <v>3</v>
      </c>
      <c r="E5093" t="s">
        <v>4362</v>
      </c>
      <c r="F5093" t="s">
        <v>9</v>
      </c>
    </row>
    <row r="5094" spans="1:6" x14ac:dyDescent="0.3">
      <c r="A5094" t="s">
        <v>993</v>
      </c>
      <c r="B5094" t="s">
        <v>994</v>
      </c>
      <c r="C5094" t="str">
        <f>HYPERLINK("http://service.sap.com/sap/support/notes/2013091","2013091")</f>
        <v>2013091</v>
      </c>
      <c r="D5094">
        <v>1</v>
      </c>
      <c r="E5094" t="s">
        <v>4363</v>
      </c>
      <c r="F5094" t="s">
        <v>28</v>
      </c>
    </row>
    <row r="5095" spans="1:6" x14ac:dyDescent="0.3">
      <c r="A5095" t="s">
        <v>993</v>
      </c>
      <c r="B5095" t="s">
        <v>994</v>
      </c>
      <c r="C5095" t="str">
        <f>HYPERLINK("http://service.sap.com/sap/support/notes/2013831","2013831")</f>
        <v>2013831</v>
      </c>
      <c r="D5095">
        <v>2</v>
      </c>
      <c r="E5095" t="s">
        <v>4364</v>
      </c>
      <c r="F5095" t="s">
        <v>9</v>
      </c>
    </row>
    <row r="5096" spans="1:6" x14ac:dyDescent="0.3">
      <c r="A5096" t="s">
        <v>993</v>
      </c>
      <c r="B5096" t="s">
        <v>994</v>
      </c>
      <c r="C5096" t="str">
        <f>HYPERLINK("http://service.sap.com/sap/support/notes/2014421","2014421")</f>
        <v>2014421</v>
      </c>
      <c r="D5096">
        <v>2</v>
      </c>
      <c r="E5096" t="s">
        <v>4365</v>
      </c>
      <c r="F5096" t="s">
        <v>28</v>
      </c>
    </row>
    <row r="5097" spans="1:6" x14ac:dyDescent="0.3">
      <c r="A5097" t="s">
        <v>993</v>
      </c>
      <c r="B5097" t="s">
        <v>994</v>
      </c>
      <c r="C5097" t="str">
        <f>HYPERLINK("http://service.sap.com/sap/support/notes/2015026","2015026")</f>
        <v>2015026</v>
      </c>
      <c r="D5097">
        <v>2</v>
      </c>
      <c r="E5097" t="s">
        <v>4366</v>
      </c>
      <c r="F5097" t="s">
        <v>28</v>
      </c>
    </row>
    <row r="5098" spans="1:6" x14ac:dyDescent="0.3">
      <c r="A5098" t="s">
        <v>993</v>
      </c>
      <c r="B5098" t="s">
        <v>994</v>
      </c>
      <c r="C5098" t="str">
        <f>HYPERLINK("http://service.sap.com/sap/support/notes/1989744","1989744")</f>
        <v>1989744</v>
      </c>
      <c r="D5098">
        <v>5</v>
      </c>
      <c r="E5098" t="s">
        <v>4671</v>
      </c>
      <c r="F5098" t="s">
        <v>9</v>
      </c>
    </row>
    <row r="5099" spans="1:6" x14ac:dyDescent="0.3">
      <c r="A5099" t="s">
        <v>993</v>
      </c>
      <c r="B5099" t="s">
        <v>994</v>
      </c>
      <c r="C5099" t="str">
        <f>HYPERLINK("http://service.sap.com/sap/support/notes/1994707","1994707")</f>
        <v>1994707</v>
      </c>
      <c r="D5099">
        <v>2</v>
      </c>
      <c r="E5099" t="s">
        <v>4672</v>
      </c>
      <c r="F5099" t="s">
        <v>9</v>
      </c>
    </row>
    <row r="5100" spans="1:6" x14ac:dyDescent="0.3">
      <c r="A5100" t="s">
        <v>993</v>
      </c>
      <c r="B5100" t="s">
        <v>994</v>
      </c>
      <c r="C5100" t="str">
        <f>HYPERLINK("http://service.sap.com/sap/support/notes/2006546","2006546")</f>
        <v>2006546</v>
      </c>
      <c r="D5100">
        <v>2</v>
      </c>
      <c r="E5100" t="s">
        <v>4673</v>
      </c>
      <c r="F5100" t="s">
        <v>9</v>
      </c>
    </row>
    <row r="5101" spans="1:6" x14ac:dyDescent="0.3">
      <c r="A5101" t="s">
        <v>993</v>
      </c>
      <c r="B5101" t="s">
        <v>994</v>
      </c>
      <c r="C5101" t="str">
        <f>HYPERLINK("http://service.sap.com/sap/support/notes/2022545","2022545")</f>
        <v>2022545</v>
      </c>
      <c r="D5101">
        <v>3</v>
      </c>
      <c r="E5101" t="s">
        <v>4674</v>
      </c>
      <c r="F5101" t="s">
        <v>9</v>
      </c>
    </row>
    <row r="5102" spans="1:6" x14ac:dyDescent="0.3">
      <c r="A5102" t="s">
        <v>993</v>
      </c>
      <c r="B5102" t="s">
        <v>994</v>
      </c>
      <c r="C5102" t="str">
        <f>HYPERLINK("http://service.sap.com/sap/support/notes/2026690","2026690")</f>
        <v>2026690</v>
      </c>
      <c r="D5102">
        <v>6</v>
      </c>
      <c r="E5102" t="s">
        <v>4675</v>
      </c>
      <c r="F5102" t="s">
        <v>9</v>
      </c>
    </row>
    <row r="5103" spans="1:6" x14ac:dyDescent="0.3">
      <c r="A5103" t="s">
        <v>993</v>
      </c>
      <c r="B5103" t="s">
        <v>994</v>
      </c>
      <c r="C5103" t="str">
        <f>HYPERLINK("http://service.sap.com/sap/support/notes/2014382","2014382")</f>
        <v>2014382</v>
      </c>
      <c r="D5103">
        <v>3</v>
      </c>
      <c r="E5103" t="s">
        <v>5050</v>
      </c>
      <c r="F5103" t="s">
        <v>9</v>
      </c>
    </row>
    <row r="5104" spans="1:6" x14ac:dyDescent="0.3">
      <c r="A5104" t="s">
        <v>993</v>
      </c>
      <c r="B5104" t="s">
        <v>994</v>
      </c>
      <c r="C5104" t="str">
        <f>HYPERLINK("http://service.sap.com/sap/support/notes/2023608","2023608")</f>
        <v>2023608</v>
      </c>
      <c r="D5104">
        <v>2</v>
      </c>
      <c r="E5104" t="s">
        <v>5051</v>
      </c>
      <c r="F5104" t="s">
        <v>9</v>
      </c>
    </row>
    <row r="5105" spans="1:6" x14ac:dyDescent="0.3">
      <c r="A5105" t="s">
        <v>993</v>
      </c>
      <c r="B5105" t="s">
        <v>994</v>
      </c>
      <c r="C5105" t="str">
        <f>HYPERLINK("http://service.sap.com/sap/support/notes/2026690","2026690")</f>
        <v>2026690</v>
      </c>
      <c r="D5105">
        <v>6</v>
      </c>
      <c r="E5105" t="s">
        <v>4675</v>
      </c>
      <c r="F5105" t="s">
        <v>9</v>
      </c>
    </row>
    <row r="5106" spans="1:6" x14ac:dyDescent="0.3">
      <c r="A5106" t="s">
        <v>993</v>
      </c>
      <c r="B5106" t="s">
        <v>994</v>
      </c>
      <c r="C5106" t="str">
        <f>HYPERLINK("http://service.sap.com/sap/support/notes/1968053","1968053")</f>
        <v>1968053</v>
      </c>
      <c r="D5106">
        <v>4</v>
      </c>
      <c r="E5106" t="s">
        <v>5365</v>
      </c>
      <c r="F5106" t="s">
        <v>9</v>
      </c>
    </row>
    <row r="5107" spans="1:6" x14ac:dyDescent="0.3">
      <c r="A5107" t="s">
        <v>993</v>
      </c>
      <c r="B5107" t="s">
        <v>994</v>
      </c>
      <c r="C5107" t="str">
        <f>HYPERLINK("http://service.sap.com/sap/support/notes/1978790","1978790")</f>
        <v>1978790</v>
      </c>
      <c r="D5107">
        <v>3</v>
      </c>
      <c r="E5107" t="s">
        <v>5366</v>
      </c>
      <c r="F5107" t="s">
        <v>9</v>
      </c>
    </row>
    <row r="5108" spans="1:6" x14ac:dyDescent="0.3">
      <c r="A5108" t="s">
        <v>993</v>
      </c>
      <c r="B5108" t="s">
        <v>994</v>
      </c>
      <c r="C5108" t="str">
        <f>HYPERLINK("http://service.sap.com/sap/support/notes/1991125","1991125")</f>
        <v>1991125</v>
      </c>
      <c r="D5108">
        <v>3</v>
      </c>
      <c r="E5108" t="s">
        <v>5367</v>
      </c>
      <c r="F5108" t="s">
        <v>9</v>
      </c>
    </row>
    <row r="5109" spans="1:6" x14ac:dyDescent="0.3">
      <c r="A5109" t="s">
        <v>993</v>
      </c>
      <c r="B5109" t="s">
        <v>994</v>
      </c>
      <c r="C5109" t="str">
        <f>HYPERLINK("http://service.sap.com/sap/support/notes/2003592","2003592")</f>
        <v>2003592</v>
      </c>
      <c r="D5109">
        <v>2</v>
      </c>
      <c r="E5109" t="s">
        <v>5368</v>
      </c>
      <c r="F5109" t="s">
        <v>9</v>
      </c>
    </row>
    <row r="5110" spans="1:6" x14ac:dyDescent="0.3">
      <c r="A5110" t="s">
        <v>993</v>
      </c>
      <c r="B5110" t="s">
        <v>994</v>
      </c>
      <c r="C5110" t="str">
        <f>HYPERLINK("http://service.sap.com/sap/support/notes/2005470","2005470")</f>
        <v>2005470</v>
      </c>
      <c r="D5110">
        <v>3</v>
      </c>
      <c r="E5110" t="s">
        <v>5369</v>
      </c>
      <c r="F5110" t="s">
        <v>28</v>
      </c>
    </row>
    <row r="5111" spans="1:6" x14ac:dyDescent="0.3">
      <c r="A5111" t="s">
        <v>993</v>
      </c>
      <c r="B5111" t="s">
        <v>994</v>
      </c>
      <c r="C5111" t="str">
        <f>HYPERLINK("http://service.sap.com/sap/support/notes/2011837","2011837")</f>
        <v>2011837</v>
      </c>
      <c r="D5111">
        <v>3</v>
      </c>
      <c r="E5111" t="s">
        <v>5370</v>
      </c>
      <c r="F5111" t="s">
        <v>28</v>
      </c>
    </row>
    <row r="5112" spans="1:6" x14ac:dyDescent="0.3">
      <c r="A5112" t="s">
        <v>993</v>
      </c>
      <c r="B5112" t="s">
        <v>994</v>
      </c>
      <c r="C5112" t="str">
        <f>HYPERLINK("http://service.sap.com/sap/support/notes/2015515","2015515")</f>
        <v>2015515</v>
      </c>
      <c r="D5112">
        <v>3</v>
      </c>
      <c r="E5112" t="s">
        <v>5371</v>
      </c>
      <c r="F5112" t="s">
        <v>28</v>
      </c>
    </row>
    <row r="5113" spans="1:6" x14ac:dyDescent="0.3">
      <c r="A5113" t="s">
        <v>993</v>
      </c>
      <c r="B5113" t="s">
        <v>994</v>
      </c>
      <c r="C5113" t="str">
        <f>HYPERLINK("http://service.sap.com/sap/support/notes/2035940","2035940")</f>
        <v>2035940</v>
      </c>
      <c r="D5113">
        <v>2</v>
      </c>
      <c r="E5113" t="s">
        <v>5372</v>
      </c>
      <c r="F5113" t="s">
        <v>9</v>
      </c>
    </row>
    <row r="5114" spans="1:6" x14ac:dyDescent="0.3">
      <c r="A5114" t="s">
        <v>993</v>
      </c>
      <c r="B5114" t="s">
        <v>994</v>
      </c>
      <c r="C5114" t="str">
        <f>HYPERLINK("http://service.sap.com/sap/support/notes/2039302","2039302")</f>
        <v>2039302</v>
      </c>
      <c r="D5114">
        <v>4</v>
      </c>
      <c r="E5114" t="s">
        <v>5373</v>
      </c>
      <c r="F5114" t="s">
        <v>9</v>
      </c>
    </row>
    <row r="5115" spans="1:6" x14ac:dyDescent="0.3">
      <c r="A5115" t="s">
        <v>993</v>
      </c>
      <c r="B5115" t="s">
        <v>994</v>
      </c>
      <c r="C5115" t="str">
        <f>HYPERLINK("http://service.sap.com/sap/support/notes/2039916","2039916")</f>
        <v>2039916</v>
      </c>
      <c r="D5115">
        <v>2</v>
      </c>
      <c r="E5115" t="s">
        <v>5374</v>
      </c>
      <c r="F5115" t="s">
        <v>9</v>
      </c>
    </row>
    <row r="5116" spans="1:6" x14ac:dyDescent="0.3">
      <c r="A5116" t="s">
        <v>993</v>
      </c>
      <c r="B5116" t="s">
        <v>994</v>
      </c>
      <c r="C5116" t="str">
        <f>HYPERLINK("http://service.sap.com/sap/support/notes/2049652","2049652")</f>
        <v>2049652</v>
      </c>
      <c r="D5116">
        <v>5</v>
      </c>
      <c r="E5116" t="s">
        <v>5375</v>
      </c>
      <c r="F5116" t="s">
        <v>9</v>
      </c>
    </row>
    <row r="5117" spans="1:6" x14ac:dyDescent="0.3">
      <c r="A5117" t="s">
        <v>993</v>
      </c>
      <c r="B5117" t="s">
        <v>994</v>
      </c>
      <c r="C5117" t="str">
        <f>HYPERLINK("http://service.sap.com/sap/support/notes/1926515","1926515")</f>
        <v>1926515</v>
      </c>
      <c r="D5117">
        <v>3</v>
      </c>
      <c r="E5117" t="s">
        <v>5703</v>
      </c>
      <c r="F5117" t="s">
        <v>9</v>
      </c>
    </row>
    <row r="5118" spans="1:6" x14ac:dyDescent="0.3">
      <c r="A5118" t="s">
        <v>993</v>
      </c>
      <c r="B5118" t="s">
        <v>994</v>
      </c>
      <c r="C5118" t="str">
        <f>HYPERLINK("http://service.sap.com/sap/support/notes/1958184","1958184")</f>
        <v>1958184</v>
      </c>
      <c r="D5118">
        <v>2</v>
      </c>
      <c r="E5118" t="s">
        <v>5704</v>
      </c>
      <c r="F5118" t="s">
        <v>9</v>
      </c>
    </row>
    <row r="5119" spans="1:6" x14ac:dyDescent="0.3">
      <c r="A5119" t="s">
        <v>993</v>
      </c>
      <c r="B5119" t="s">
        <v>994</v>
      </c>
      <c r="C5119" t="str">
        <f>HYPERLINK("http://service.sap.com/sap/support/notes/1999045","1999045")</f>
        <v>1999045</v>
      </c>
      <c r="D5119">
        <v>2</v>
      </c>
      <c r="E5119" t="s">
        <v>5705</v>
      </c>
      <c r="F5119" t="s">
        <v>9</v>
      </c>
    </row>
    <row r="5120" spans="1:6" x14ac:dyDescent="0.3">
      <c r="A5120" t="s">
        <v>993</v>
      </c>
      <c r="B5120" t="s">
        <v>994</v>
      </c>
      <c r="C5120" t="str">
        <f>HYPERLINK("http://service.sap.com/sap/support/notes/2044083","2044083")</f>
        <v>2044083</v>
      </c>
      <c r="D5120">
        <v>2</v>
      </c>
      <c r="E5120" t="s">
        <v>5706</v>
      </c>
      <c r="F5120" t="s">
        <v>9</v>
      </c>
    </row>
    <row r="5121" spans="1:6" x14ac:dyDescent="0.3">
      <c r="A5121" t="s">
        <v>993</v>
      </c>
      <c r="B5121" t="s">
        <v>994</v>
      </c>
      <c r="C5121" t="str">
        <f>HYPERLINK("http://service.sap.com/sap/support/notes/2059485","2059485")</f>
        <v>2059485</v>
      </c>
      <c r="D5121">
        <v>1</v>
      </c>
      <c r="E5121" t="s">
        <v>5707</v>
      </c>
      <c r="F5121" t="s">
        <v>16</v>
      </c>
    </row>
    <row r="5122" spans="1:6" x14ac:dyDescent="0.3">
      <c r="A5122" t="s">
        <v>993</v>
      </c>
      <c r="B5122" t="s">
        <v>994</v>
      </c>
      <c r="C5122" t="str">
        <f>HYPERLINK("http://service.sap.com/sap/support/notes/2063247","2063247")</f>
        <v>2063247</v>
      </c>
      <c r="D5122">
        <v>3</v>
      </c>
      <c r="E5122" t="s">
        <v>5708</v>
      </c>
      <c r="F5122" t="s">
        <v>28</v>
      </c>
    </row>
    <row r="5123" spans="1:6" x14ac:dyDescent="0.3">
      <c r="A5123" t="s">
        <v>998</v>
      </c>
      <c r="B5123" t="s">
        <v>999</v>
      </c>
      <c r="C5123" t="str">
        <f>HYPERLINK("http://service.sap.com/sap/support/notes/1767520","1767520")</f>
        <v>1767520</v>
      </c>
      <c r="D5123">
        <v>2</v>
      </c>
      <c r="E5123" t="s">
        <v>1000</v>
      </c>
      <c r="F5123" t="s">
        <v>9</v>
      </c>
    </row>
    <row r="5124" spans="1:6" x14ac:dyDescent="0.3">
      <c r="A5124" t="s">
        <v>998</v>
      </c>
      <c r="B5124" t="s">
        <v>999</v>
      </c>
      <c r="C5124" t="str">
        <f>HYPERLINK("http://service.sap.com/sap/support/notes/1880694","1880694")</f>
        <v>1880694</v>
      </c>
      <c r="D5124">
        <v>2</v>
      </c>
      <c r="E5124" t="s">
        <v>1001</v>
      </c>
      <c r="F5124" t="s">
        <v>9</v>
      </c>
    </row>
    <row r="5125" spans="1:6" x14ac:dyDescent="0.3">
      <c r="A5125" t="s">
        <v>998</v>
      </c>
      <c r="B5125" t="s">
        <v>999</v>
      </c>
      <c r="C5125" t="str">
        <f>HYPERLINK("http://service.sap.com/sap/support/notes/1888603","1888603")</f>
        <v>1888603</v>
      </c>
      <c r="D5125">
        <v>5</v>
      </c>
      <c r="E5125" t="s">
        <v>1002</v>
      </c>
      <c r="F5125" t="s">
        <v>9</v>
      </c>
    </row>
    <row r="5126" spans="1:6" x14ac:dyDescent="0.3">
      <c r="A5126" t="s">
        <v>998</v>
      </c>
      <c r="B5126" t="s">
        <v>999</v>
      </c>
      <c r="C5126" t="str">
        <f>HYPERLINK("http://service.sap.com/sap/support/notes/1911847","1911847")</f>
        <v>1911847</v>
      </c>
      <c r="D5126">
        <v>2</v>
      </c>
      <c r="E5126" t="s">
        <v>1003</v>
      </c>
      <c r="F5126" t="s">
        <v>9</v>
      </c>
    </row>
    <row r="5127" spans="1:6" x14ac:dyDescent="0.3">
      <c r="A5127" t="s">
        <v>998</v>
      </c>
      <c r="B5127" t="s">
        <v>999</v>
      </c>
      <c r="C5127" t="str">
        <f>HYPERLINK("http://service.sap.com/sap/support/notes/1922525","1922525")</f>
        <v>1922525</v>
      </c>
      <c r="D5127">
        <v>1</v>
      </c>
      <c r="E5127" t="s">
        <v>1004</v>
      </c>
      <c r="F5127" t="s">
        <v>16</v>
      </c>
    </row>
    <row r="5128" spans="1:6" x14ac:dyDescent="0.3">
      <c r="A5128" t="s">
        <v>998</v>
      </c>
      <c r="B5128" t="s">
        <v>999</v>
      </c>
      <c r="C5128" t="str">
        <f>HYPERLINK("http://service.sap.com/sap/support/notes/1925333","1925333")</f>
        <v>1925333</v>
      </c>
      <c r="D5128">
        <v>2</v>
      </c>
      <c r="E5128" t="s">
        <v>1005</v>
      </c>
      <c r="F5128" t="s">
        <v>9</v>
      </c>
    </row>
    <row r="5129" spans="1:6" x14ac:dyDescent="0.3">
      <c r="A5129" t="s">
        <v>998</v>
      </c>
      <c r="B5129" t="s">
        <v>999</v>
      </c>
      <c r="C5129" t="str">
        <f>HYPERLINK("http://service.sap.com/sap/support/notes/1928418","1928418")</f>
        <v>1928418</v>
      </c>
      <c r="D5129">
        <v>3</v>
      </c>
      <c r="E5129" t="s">
        <v>1006</v>
      </c>
      <c r="F5129" t="s">
        <v>9</v>
      </c>
    </row>
    <row r="5130" spans="1:6" x14ac:dyDescent="0.3">
      <c r="A5130" t="s">
        <v>998</v>
      </c>
      <c r="B5130" t="s">
        <v>999</v>
      </c>
      <c r="C5130" t="str">
        <f>HYPERLINK("http://service.sap.com/sap/support/notes/1911847","1911847")</f>
        <v>1911847</v>
      </c>
      <c r="D5130">
        <v>2</v>
      </c>
      <c r="E5130" t="s">
        <v>1003</v>
      </c>
      <c r="F5130" t="s">
        <v>9</v>
      </c>
    </row>
    <row r="5131" spans="1:6" x14ac:dyDescent="0.3">
      <c r="A5131" t="s">
        <v>998</v>
      </c>
      <c r="B5131" t="s">
        <v>999</v>
      </c>
      <c r="C5131" t="str">
        <f>HYPERLINK("http://service.sap.com/sap/support/notes/1924381","1924381")</f>
        <v>1924381</v>
      </c>
      <c r="D5131">
        <v>2</v>
      </c>
      <c r="E5131" t="s">
        <v>1398</v>
      </c>
      <c r="F5131" t="s">
        <v>9</v>
      </c>
    </row>
    <row r="5132" spans="1:6" x14ac:dyDescent="0.3">
      <c r="A5132" t="s">
        <v>998</v>
      </c>
      <c r="B5132" t="s">
        <v>999</v>
      </c>
      <c r="C5132" t="str">
        <f>HYPERLINK("http://service.sap.com/sap/support/notes/1934840","1934840")</f>
        <v>1934840</v>
      </c>
      <c r="D5132">
        <v>4</v>
      </c>
      <c r="E5132" t="s">
        <v>1454</v>
      </c>
      <c r="F5132" t="s">
        <v>9</v>
      </c>
    </row>
    <row r="5133" spans="1:6" x14ac:dyDescent="0.3">
      <c r="A5133" t="s">
        <v>998</v>
      </c>
      <c r="B5133" t="s">
        <v>999</v>
      </c>
      <c r="C5133" t="str">
        <f>HYPERLINK("http://service.sap.com/sap/support/notes/1942131","1942131")</f>
        <v>1942131</v>
      </c>
      <c r="D5133">
        <v>2</v>
      </c>
      <c r="E5133" t="s">
        <v>1455</v>
      </c>
      <c r="F5133" t="s">
        <v>28</v>
      </c>
    </row>
    <row r="5134" spans="1:6" x14ac:dyDescent="0.3">
      <c r="A5134" t="s">
        <v>998</v>
      </c>
      <c r="B5134" t="s">
        <v>999</v>
      </c>
      <c r="C5134" t="str">
        <f>HYPERLINK("http://service.sap.com/sap/support/notes/1887384","1887384")</f>
        <v>1887384</v>
      </c>
      <c r="D5134">
        <v>2</v>
      </c>
      <c r="E5134" t="s">
        <v>2034</v>
      </c>
      <c r="F5134" t="s">
        <v>9</v>
      </c>
    </row>
    <row r="5135" spans="1:6" x14ac:dyDescent="0.3">
      <c r="A5135" t="s">
        <v>998</v>
      </c>
      <c r="B5135" t="s">
        <v>999</v>
      </c>
      <c r="C5135" t="str">
        <f>HYPERLINK("http://service.sap.com/sap/support/notes/1937142","1937142")</f>
        <v>1937142</v>
      </c>
      <c r="D5135">
        <v>7</v>
      </c>
      <c r="E5135" t="s">
        <v>2035</v>
      </c>
      <c r="F5135" t="s">
        <v>9</v>
      </c>
    </row>
    <row r="5136" spans="1:6" x14ac:dyDescent="0.3">
      <c r="A5136" t="s">
        <v>998</v>
      </c>
      <c r="B5136" t="s">
        <v>999</v>
      </c>
      <c r="C5136" t="str">
        <f>HYPERLINK("http://service.sap.com/sap/support/notes/1942243","1942243")</f>
        <v>1942243</v>
      </c>
      <c r="D5136">
        <v>2</v>
      </c>
      <c r="E5136" t="s">
        <v>2036</v>
      </c>
      <c r="F5136" t="s">
        <v>9</v>
      </c>
    </row>
    <row r="5137" spans="1:6" x14ac:dyDescent="0.3">
      <c r="A5137" t="s">
        <v>998</v>
      </c>
      <c r="B5137" t="s">
        <v>999</v>
      </c>
      <c r="C5137" t="str">
        <f>HYPERLINK("http://service.sap.com/sap/support/notes/1489606","1489606")</f>
        <v>1489606</v>
      </c>
      <c r="D5137">
        <v>2</v>
      </c>
      <c r="E5137" t="s">
        <v>2365</v>
      </c>
      <c r="F5137" t="s">
        <v>16</v>
      </c>
    </row>
    <row r="5138" spans="1:6" x14ac:dyDescent="0.3">
      <c r="A5138" t="s">
        <v>998</v>
      </c>
      <c r="B5138" t="s">
        <v>999</v>
      </c>
      <c r="C5138" t="str">
        <f>HYPERLINK("http://service.sap.com/sap/support/notes/1646121","1646121")</f>
        <v>1646121</v>
      </c>
      <c r="D5138">
        <v>5</v>
      </c>
      <c r="E5138" t="s">
        <v>2366</v>
      </c>
      <c r="F5138" t="s">
        <v>9</v>
      </c>
    </row>
    <row r="5139" spans="1:6" x14ac:dyDescent="0.3">
      <c r="A5139" t="s">
        <v>998</v>
      </c>
      <c r="B5139" t="s">
        <v>999</v>
      </c>
      <c r="C5139" t="str">
        <f>HYPERLINK("http://service.sap.com/sap/support/notes/1715296","1715296")</f>
        <v>1715296</v>
      </c>
      <c r="D5139">
        <v>3</v>
      </c>
      <c r="E5139" t="s">
        <v>2367</v>
      </c>
      <c r="F5139" t="s">
        <v>16</v>
      </c>
    </row>
    <row r="5140" spans="1:6" x14ac:dyDescent="0.3">
      <c r="A5140" t="s">
        <v>998</v>
      </c>
      <c r="B5140" t="s">
        <v>999</v>
      </c>
      <c r="C5140" t="str">
        <f>HYPERLINK("http://service.sap.com/sap/support/notes/1736201","1736201")</f>
        <v>1736201</v>
      </c>
      <c r="D5140">
        <v>2</v>
      </c>
      <c r="E5140" t="s">
        <v>2368</v>
      </c>
      <c r="F5140" t="s">
        <v>9</v>
      </c>
    </row>
    <row r="5141" spans="1:6" x14ac:dyDescent="0.3">
      <c r="A5141" t="s">
        <v>998</v>
      </c>
      <c r="B5141" t="s">
        <v>999</v>
      </c>
      <c r="C5141" t="str">
        <f>HYPERLINK("http://service.sap.com/sap/support/notes/1753473","1753473")</f>
        <v>1753473</v>
      </c>
      <c r="D5141">
        <v>6</v>
      </c>
      <c r="E5141" t="s">
        <v>2369</v>
      </c>
      <c r="F5141" t="s">
        <v>9</v>
      </c>
    </row>
    <row r="5142" spans="1:6" x14ac:dyDescent="0.3">
      <c r="A5142" t="s">
        <v>998</v>
      </c>
      <c r="B5142" t="s">
        <v>999</v>
      </c>
      <c r="C5142" t="str">
        <f>HYPERLINK("http://service.sap.com/sap/support/notes/1963469","1963469")</f>
        <v>1963469</v>
      </c>
      <c r="D5142">
        <v>1</v>
      </c>
      <c r="E5142" t="s">
        <v>2370</v>
      </c>
      <c r="F5142" t="s">
        <v>9</v>
      </c>
    </row>
    <row r="5143" spans="1:6" x14ac:dyDescent="0.3">
      <c r="A5143" t="s">
        <v>998</v>
      </c>
      <c r="B5143" t="s">
        <v>999</v>
      </c>
      <c r="C5143" t="str">
        <f>HYPERLINK("http://service.sap.com/sap/support/notes/1690913","1690913")</f>
        <v>1690913</v>
      </c>
      <c r="D5143">
        <v>5</v>
      </c>
      <c r="E5143" t="s">
        <v>2781</v>
      </c>
      <c r="F5143" t="s">
        <v>9</v>
      </c>
    </row>
    <row r="5144" spans="1:6" x14ac:dyDescent="0.3">
      <c r="A5144" t="s">
        <v>998</v>
      </c>
      <c r="B5144" t="s">
        <v>999</v>
      </c>
      <c r="C5144" t="str">
        <f>HYPERLINK("http://service.sap.com/sap/support/notes/1729790","1729790")</f>
        <v>1729790</v>
      </c>
      <c r="D5144">
        <v>7</v>
      </c>
      <c r="E5144" t="s">
        <v>2782</v>
      </c>
      <c r="F5144" t="s">
        <v>9</v>
      </c>
    </row>
    <row r="5145" spans="1:6" x14ac:dyDescent="0.3">
      <c r="A5145" t="s">
        <v>998</v>
      </c>
      <c r="B5145" t="s">
        <v>999</v>
      </c>
      <c r="C5145" t="str">
        <f>HYPERLINK("http://service.sap.com/sap/support/notes/1778652","1778652")</f>
        <v>1778652</v>
      </c>
      <c r="D5145">
        <v>3</v>
      </c>
      <c r="E5145" t="s">
        <v>2783</v>
      </c>
      <c r="F5145" t="s">
        <v>16</v>
      </c>
    </row>
    <row r="5146" spans="1:6" x14ac:dyDescent="0.3">
      <c r="A5146" t="s">
        <v>998</v>
      </c>
      <c r="B5146" t="s">
        <v>999</v>
      </c>
      <c r="C5146" t="str">
        <f>HYPERLINK("http://service.sap.com/sap/support/notes/1800218","1800218")</f>
        <v>1800218</v>
      </c>
      <c r="D5146">
        <v>2</v>
      </c>
      <c r="E5146" t="s">
        <v>2784</v>
      </c>
      <c r="F5146" t="s">
        <v>28</v>
      </c>
    </row>
    <row r="5147" spans="1:6" x14ac:dyDescent="0.3">
      <c r="A5147" t="s">
        <v>998</v>
      </c>
      <c r="B5147" t="s">
        <v>999</v>
      </c>
      <c r="C5147" t="str">
        <f>HYPERLINK("http://service.sap.com/sap/support/notes/1977525","1977525")</f>
        <v>1977525</v>
      </c>
      <c r="D5147">
        <v>3</v>
      </c>
      <c r="E5147" t="s">
        <v>2785</v>
      </c>
      <c r="F5147" t="s">
        <v>9</v>
      </c>
    </row>
    <row r="5148" spans="1:6" x14ac:dyDescent="0.3">
      <c r="A5148" t="s">
        <v>998</v>
      </c>
      <c r="B5148" t="s">
        <v>999</v>
      </c>
      <c r="C5148" t="str">
        <f>HYPERLINK("http://service.sap.com/sap/support/notes/1868200","1868200")</f>
        <v>1868200</v>
      </c>
      <c r="D5148">
        <v>16</v>
      </c>
      <c r="E5148" t="s">
        <v>3267</v>
      </c>
      <c r="F5148" t="s">
        <v>28</v>
      </c>
    </row>
    <row r="5149" spans="1:6" x14ac:dyDescent="0.3">
      <c r="A5149" t="s">
        <v>998</v>
      </c>
      <c r="B5149" t="s">
        <v>999</v>
      </c>
      <c r="C5149" t="str">
        <f>HYPERLINK("http://service.sap.com/sap/support/notes/1943462","1943462")</f>
        <v>1943462</v>
      </c>
      <c r="D5149">
        <v>6</v>
      </c>
      <c r="E5149" t="s">
        <v>3268</v>
      </c>
      <c r="F5149" t="s">
        <v>9</v>
      </c>
    </row>
    <row r="5150" spans="1:6" x14ac:dyDescent="0.3">
      <c r="A5150" t="s">
        <v>998</v>
      </c>
      <c r="B5150" t="s">
        <v>999</v>
      </c>
      <c r="C5150" t="str">
        <f>HYPERLINK("http://service.sap.com/sap/support/notes/1977437","1977437")</f>
        <v>1977437</v>
      </c>
      <c r="D5150">
        <v>2</v>
      </c>
      <c r="E5150" t="s">
        <v>3269</v>
      </c>
      <c r="F5150" t="s">
        <v>9</v>
      </c>
    </row>
    <row r="5151" spans="1:6" x14ac:dyDescent="0.3">
      <c r="A5151" t="s">
        <v>998</v>
      </c>
      <c r="B5151" t="s">
        <v>999</v>
      </c>
      <c r="C5151" t="str">
        <f>HYPERLINK("http://service.sap.com/sap/support/notes/1978257","1978257")</f>
        <v>1978257</v>
      </c>
      <c r="D5151">
        <v>1</v>
      </c>
      <c r="E5151" t="s">
        <v>3270</v>
      </c>
      <c r="F5151" t="s">
        <v>35</v>
      </c>
    </row>
    <row r="5152" spans="1:6" x14ac:dyDescent="0.3">
      <c r="A5152" t="s">
        <v>998</v>
      </c>
      <c r="B5152" t="s">
        <v>999</v>
      </c>
      <c r="C5152" t="str">
        <f>HYPERLINK("http://service.sap.com/sap/support/notes/1994501","1994501")</f>
        <v>1994501</v>
      </c>
      <c r="D5152">
        <v>1</v>
      </c>
      <c r="E5152" t="s">
        <v>3271</v>
      </c>
      <c r="F5152" t="s">
        <v>9</v>
      </c>
    </row>
    <row r="5153" spans="1:6" x14ac:dyDescent="0.3">
      <c r="A5153" t="s">
        <v>998</v>
      </c>
      <c r="B5153" t="s">
        <v>999</v>
      </c>
      <c r="C5153" t="str">
        <f>HYPERLINK("http://service.sap.com/sap/support/notes/1997750","1997750")</f>
        <v>1997750</v>
      </c>
      <c r="D5153">
        <v>1</v>
      </c>
      <c r="E5153" t="s">
        <v>3916</v>
      </c>
      <c r="F5153" t="s">
        <v>9</v>
      </c>
    </row>
    <row r="5154" spans="1:6" x14ac:dyDescent="0.3">
      <c r="A5154" t="s">
        <v>998</v>
      </c>
      <c r="B5154" t="s">
        <v>999</v>
      </c>
      <c r="C5154" t="str">
        <f>HYPERLINK("http://service.sap.com/sap/support/notes/1997996","1997996")</f>
        <v>1997996</v>
      </c>
      <c r="D5154">
        <v>2</v>
      </c>
      <c r="E5154" t="s">
        <v>3917</v>
      </c>
      <c r="F5154" t="s">
        <v>9</v>
      </c>
    </row>
    <row r="5155" spans="1:6" x14ac:dyDescent="0.3">
      <c r="A5155" t="s">
        <v>998</v>
      </c>
      <c r="B5155" t="s">
        <v>999</v>
      </c>
      <c r="C5155" t="str">
        <f>HYPERLINK("http://service.sap.com/sap/support/notes/1999516","1999516")</f>
        <v>1999516</v>
      </c>
      <c r="D5155">
        <v>2</v>
      </c>
      <c r="E5155" t="s">
        <v>3918</v>
      </c>
      <c r="F5155" t="s">
        <v>9</v>
      </c>
    </row>
    <row r="5156" spans="1:6" x14ac:dyDescent="0.3">
      <c r="A5156" t="s">
        <v>998</v>
      </c>
      <c r="B5156" t="s">
        <v>999</v>
      </c>
      <c r="C5156" t="str">
        <f>HYPERLINK("http://service.sap.com/sap/support/notes/2000273","2000273")</f>
        <v>2000273</v>
      </c>
      <c r="D5156">
        <v>3</v>
      </c>
      <c r="E5156" t="s">
        <v>3919</v>
      </c>
      <c r="F5156" t="s">
        <v>9</v>
      </c>
    </row>
    <row r="5157" spans="1:6" x14ac:dyDescent="0.3">
      <c r="A5157" t="s">
        <v>998</v>
      </c>
      <c r="B5157" t="s">
        <v>999</v>
      </c>
      <c r="C5157" t="str">
        <f>HYPERLINK("http://service.sap.com/sap/support/notes/2004667","2004667")</f>
        <v>2004667</v>
      </c>
      <c r="D5157">
        <v>3</v>
      </c>
      <c r="E5157" t="s">
        <v>3920</v>
      </c>
      <c r="F5157" t="s">
        <v>9</v>
      </c>
    </row>
    <row r="5158" spans="1:6" x14ac:dyDescent="0.3">
      <c r="A5158" t="s">
        <v>998</v>
      </c>
      <c r="B5158" t="s">
        <v>999</v>
      </c>
      <c r="C5158" t="str">
        <f>HYPERLINK("http://service.sap.com/sap/support/notes/1930515","1930515")</f>
        <v>1930515</v>
      </c>
      <c r="D5158">
        <v>3</v>
      </c>
      <c r="E5158" t="s">
        <v>4367</v>
      </c>
      <c r="F5158" t="s">
        <v>28</v>
      </c>
    </row>
    <row r="5159" spans="1:6" x14ac:dyDescent="0.3">
      <c r="A5159" t="s">
        <v>998</v>
      </c>
      <c r="B5159" t="s">
        <v>999</v>
      </c>
      <c r="C5159" t="str">
        <f>HYPERLINK("http://service.sap.com/sap/support/notes/1981332","1981332")</f>
        <v>1981332</v>
      </c>
      <c r="D5159">
        <v>3</v>
      </c>
      <c r="E5159" t="s">
        <v>4368</v>
      </c>
      <c r="F5159" t="s">
        <v>9</v>
      </c>
    </row>
    <row r="5160" spans="1:6" x14ac:dyDescent="0.3">
      <c r="A5160" t="s">
        <v>998</v>
      </c>
      <c r="B5160" t="s">
        <v>999</v>
      </c>
      <c r="C5160" t="str">
        <f>HYPERLINK("http://service.sap.com/sap/support/notes/2011850","2011850")</f>
        <v>2011850</v>
      </c>
      <c r="D5160">
        <v>2</v>
      </c>
      <c r="E5160" t="s">
        <v>4369</v>
      </c>
      <c r="F5160" t="s">
        <v>9</v>
      </c>
    </row>
    <row r="5161" spans="1:6" x14ac:dyDescent="0.3">
      <c r="A5161" t="s">
        <v>998</v>
      </c>
      <c r="B5161" t="s">
        <v>999</v>
      </c>
      <c r="C5161" t="str">
        <f>HYPERLINK("http://service.sap.com/sap/support/notes/2019170","2019170")</f>
        <v>2019170</v>
      </c>
      <c r="D5161">
        <v>2</v>
      </c>
      <c r="E5161" t="s">
        <v>4370</v>
      </c>
      <c r="F5161" t="s">
        <v>28</v>
      </c>
    </row>
    <row r="5162" spans="1:6" x14ac:dyDescent="0.3">
      <c r="A5162" t="s">
        <v>998</v>
      </c>
      <c r="B5162" t="s">
        <v>999</v>
      </c>
      <c r="C5162" t="str">
        <f>HYPERLINK("http://service.sap.com/sap/support/notes/2021268","2021268")</f>
        <v>2021268</v>
      </c>
      <c r="D5162">
        <v>3</v>
      </c>
      <c r="E5162" t="s">
        <v>4676</v>
      </c>
      <c r="F5162" t="s">
        <v>28</v>
      </c>
    </row>
    <row r="5163" spans="1:6" x14ac:dyDescent="0.3">
      <c r="A5163" t="s">
        <v>998</v>
      </c>
      <c r="B5163" t="s">
        <v>999</v>
      </c>
      <c r="C5163" t="str">
        <f>HYPERLINK("http://service.sap.com/sap/support/notes/2024057","2024057")</f>
        <v>2024057</v>
      </c>
      <c r="D5163">
        <v>6</v>
      </c>
      <c r="E5163" t="s">
        <v>4677</v>
      </c>
      <c r="F5163" t="s">
        <v>28</v>
      </c>
    </row>
    <row r="5164" spans="1:6" x14ac:dyDescent="0.3">
      <c r="A5164" t="s">
        <v>998</v>
      </c>
      <c r="B5164" t="s">
        <v>999</v>
      </c>
      <c r="C5164" t="str">
        <f>HYPERLINK("http://service.sap.com/sap/support/notes/1995855","1995855")</f>
        <v>1995855</v>
      </c>
      <c r="D5164">
        <v>4</v>
      </c>
      <c r="E5164" t="s">
        <v>5052</v>
      </c>
      <c r="F5164" t="s">
        <v>9</v>
      </c>
    </row>
    <row r="5165" spans="1:6" x14ac:dyDescent="0.3">
      <c r="A5165" t="s">
        <v>998</v>
      </c>
      <c r="B5165" t="s">
        <v>999</v>
      </c>
      <c r="C5165" t="str">
        <f>HYPERLINK("http://service.sap.com/sap/support/notes/2031097","2031097")</f>
        <v>2031097</v>
      </c>
      <c r="D5165">
        <v>2</v>
      </c>
      <c r="E5165" t="s">
        <v>5053</v>
      </c>
      <c r="F5165" t="s">
        <v>9</v>
      </c>
    </row>
    <row r="5166" spans="1:6" x14ac:dyDescent="0.3">
      <c r="A5166" t="s">
        <v>998</v>
      </c>
      <c r="B5166" t="s">
        <v>999</v>
      </c>
      <c r="C5166" t="str">
        <f>HYPERLINK("http://service.sap.com/sap/support/notes/1992800","1992800")</f>
        <v>1992800</v>
      </c>
      <c r="D5166">
        <v>2</v>
      </c>
      <c r="E5166" t="s">
        <v>5376</v>
      </c>
      <c r="F5166" t="s">
        <v>9</v>
      </c>
    </row>
    <row r="5167" spans="1:6" x14ac:dyDescent="0.3">
      <c r="A5167" t="s">
        <v>998</v>
      </c>
      <c r="B5167" t="s">
        <v>999</v>
      </c>
      <c r="C5167" t="str">
        <f>HYPERLINK("http://service.sap.com/sap/support/notes/2010018","2010018")</f>
        <v>2010018</v>
      </c>
      <c r="D5167">
        <v>3</v>
      </c>
      <c r="E5167" t="s">
        <v>5377</v>
      </c>
      <c r="F5167" t="s">
        <v>9</v>
      </c>
    </row>
    <row r="5168" spans="1:6" x14ac:dyDescent="0.3">
      <c r="A5168" t="s">
        <v>998</v>
      </c>
      <c r="B5168" t="s">
        <v>999</v>
      </c>
      <c r="C5168" t="str">
        <f>HYPERLINK("http://service.sap.com/sap/support/notes/2054776","2054776")</f>
        <v>2054776</v>
      </c>
      <c r="D5168">
        <v>6</v>
      </c>
      <c r="E5168" t="s">
        <v>5378</v>
      </c>
      <c r="F5168" t="s">
        <v>9</v>
      </c>
    </row>
    <row r="5169" spans="1:6" x14ac:dyDescent="0.3">
      <c r="A5169" t="s">
        <v>1399</v>
      </c>
      <c r="B5169" t="s">
        <v>1400</v>
      </c>
      <c r="C5169" t="str">
        <f>HYPERLINK("http://service.sap.com/sap/support/notes/1929206","1929206")</f>
        <v>1929206</v>
      </c>
      <c r="D5169">
        <v>2</v>
      </c>
      <c r="E5169" t="s">
        <v>1401</v>
      </c>
      <c r="F5169" t="s">
        <v>9</v>
      </c>
    </row>
    <row r="5170" spans="1:6" x14ac:dyDescent="0.3">
      <c r="A5170" t="s">
        <v>1399</v>
      </c>
      <c r="B5170" t="s">
        <v>1400</v>
      </c>
      <c r="C5170" t="str">
        <f>HYPERLINK("http://service.sap.com/sap/support/notes/1897088","1897088")</f>
        <v>1897088</v>
      </c>
      <c r="D5170">
        <v>4</v>
      </c>
      <c r="E5170" t="s">
        <v>2037</v>
      </c>
      <c r="F5170" t="s">
        <v>9</v>
      </c>
    </row>
    <row r="5171" spans="1:6" x14ac:dyDescent="0.3">
      <c r="A5171" t="s">
        <v>1399</v>
      </c>
      <c r="B5171" t="s">
        <v>1400</v>
      </c>
      <c r="C5171" t="str">
        <f>HYPERLINK("http://service.sap.com/sap/support/notes/1936248","1936248")</f>
        <v>1936248</v>
      </c>
      <c r="D5171">
        <v>1</v>
      </c>
      <c r="E5171" t="s">
        <v>2038</v>
      </c>
      <c r="F5171" t="s">
        <v>9</v>
      </c>
    </row>
    <row r="5172" spans="1:6" x14ac:dyDescent="0.3">
      <c r="A5172" t="s">
        <v>1399</v>
      </c>
      <c r="B5172" t="s">
        <v>1400</v>
      </c>
      <c r="C5172" t="str">
        <f>HYPERLINK("http://service.sap.com/sap/support/notes/1936378","1936378")</f>
        <v>1936378</v>
      </c>
      <c r="D5172">
        <v>2</v>
      </c>
      <c r="E5172" t="s">
        <v>2039</v>
      </c>
      <c r="F5172" t="s">
        <v>9</v>
      </c>
    </row>
    <row r="5173" spans="1:6" x14ac:dyDescent="0.3">
      <c r="A5173" t="s">
        <v>1399</v>
      </c>
      <c r="B5173" t="s">
        <v>1400</v>
      </c>
      <c r="C5173" t="str">
        <f>HYPERLINK("http://service.sap.com/sap/support/notes/1944237","1944237")</f>
        <v>1944237</v>
      </c>
      <c r="D5173">
        <v>3</v>
      </c>
      <c r="E5173" t="s">
        <v>3272</v>
      </c>
      <c r="F5173" t="s">
        <v>9</v>
      </c>
    </row>
    <row r="5174" spans="1:6" x14ac:dyDescent="0.3">
      <c r="A5174" t="s">
        <v>1399</v>
      </c>
      <c r="B5174" t="s">
        <v>1400</v>
      </c>
      <c r="C5174" t="str">
        <f>HYPERLINK("http://service.sap.com/sap/support/notes/1990426","1990426")</f>
        <v>1990426</v>
      </c>
      <c r="D5174">
        <v>1</v>
      </c>
      <c r="E5174" t="s">
        <v>3273</v>
      </c>
      <c r="F5174" t="s">
        <v>16</v>
      </c>
    </row>
    <row r="5175" spans="1:6" x14ac:dyDescent="0.3">
      <c r="A5175" t="s">
        <v>1399</v>
      </c>
      <c r="B5175" t="s">
        <v>1400</v>
      </c>
      <c r="C5175" t="str">
        <f>HYPERLINK("http://service.sap.com/sap/support/notes/1999092","1999092")</f>
        <v>1999092</v>
      </c>
      <c r="D5175">
        <v>1</v>
      </c>
      <c r="E5175" t="s">
        <v>3921</v>
      </c>
      <c r="F5175" t="s">
        <v>9</v>
      </c>
    </row>
    <row r="5176" spans="1:6" x14ac:dyDescent="0.3">
      <c r="A5176" t="s">
        <v>1399</v>
      </c>
      <c r="B5176" t="s">
        <v>1400</v>
      </c>
      <c r="C5176" t="str">
        <f>HYPERLINK("http://service.sap.com/sap/support/notes/2013155","2013155")</f>
        <v>2013155</v>
      </c>
      <c r="D5176">
        <v>2</v>
      </c>
      <c r="E5176" t="s">
        <v>4371</v>
      </c>
      <c r="F5176" t="s">
        <v>9</v>
      </c>
    </row>
    <row r="5177" spans="1:6" x14ac:dyDescent="0.3">
      <c r="A5177" t="s">
        <v>1007</v>
      </c>
      <c r="B5177" t="s">
        <v>238</v>
      </c>
      <c r="C5177" t="str">
        <f>HYPERLINK("http://service.sap.com/sap/support/notes/1840323","1840323")</f>
        <v>1840323</v>
      </c>
      <c r="D5177">
        <v>1</v>
      </c>
      <c r="E5177" t="s">
        <v>1008</v>
      </c>
      <c r="F5177" t="s">
        <v>16</v>
      </c>
    </row>
    <row r="5178" spans="1:6" x14ac:dyDescent="0.3">
      <c r="A5178" t="s">
        <v>1007</v>
      </c>
      <c r="B5178" t="s">
        <v>238</v>
      </c>
      <c r="C5178" t="str">
        <f>HYPERLINK("http://service.sap.com/sap/support/notes/1852212","1852212")</f>
        <v>1852212</v>
      </c>
      <c r="D5178">
        <v>1</v>
      </c>
      <c r="E5178" t="s">
        <v>1009</v>
      </c>
      <c r="F5178" t="s">
        <v>16</v>
      </c>
    </row>
    <row r="5179" spans="1:6" x14ac:dyDescent="0.3">
      <c r="A5179" t="s">
        <v>1007</v>
      </c>
      <c r="B5179" t="s">
        <v>238</v>
      </c>
      <c r="C5179" t="str">
        <f>HYPERLINK("http://service.sap.com/sap/support/notes/1859521","1859521")</f>
        <v>1859521</v>
      </c>
      <c r="D5179">
        <v>2</v>
      </c>
      <c r="E5179" t="s">
        <v>1010</v>
      </c>
      <c r="F5179" t="s">
        <v>9</v>
      </c>
    </row>
    <row r="5180" spans="1:6" x14ac:dyDescent="0.3">
      <c r="A5180" t="s">
        <v>1007</v>
      </c>
      <c r="B5180" t="s">
        <v>238</v>
      </c>
      <c r="C5180" t="str">
        <f>HYPERLINK("http://service.sap.com/sap/support/notes/1868836","1868836")</f>
        <v>1868836</v>
      </c>
      <c r="D5180">
        <v>1</v>
      </c>
      <c r="E5180" t="s">
        <v>1011</v>
      </c>
      <c r="F5180" t="s">
        <v>9</v>
      </c>
    </row>
    <row r="5181" spans="1:6" x14ac:dyDescent="0.3">
      <c r="A5181" t="s">
        <v>1007</v>
      </c>
      <c r="B5181" t="s">
        <v>238</v>
      </c>
      <c r="C5181" t="str">
        <f>HYPERLINK("http://service.sap.com/sap/support/notes/1926152","1926152")</f>
        <v>1926152</v>
      </c>
      <c r="D5181">
        <v>1</v>
      </c>
      <c r="E5181" t="s">
        <v>1012</v>
      </c>
      <c r="F5181" t="s">
        <v>9</v>
      </c>
    </row>
    <row r="5182" spans="1:6" x14ac:dyDescent="0.3">
      <c r="A5182" t="s">
        <v>1007</v>
      </c>
      <c r="B5182" t="s">
        <v>238</v>
      </c>
      <c r="C5182" t="str">
        <f>HYPERLINK("http://service.sap.com/sap/support/notes/1929518","1929518")</f>
        <v>1929518</v>
      </c>
      <c r="D5182">
        <v>2</v>
      </c>
      <c r="E5182" t="s">
        <v>1013</v>
      </c>
      <c r="F5182" t="s">
        <v>9</v>
      </c>
    </row>
    <row r="5183" spans="1:6" x14ac:dyDescent="0.3">
      <c r="A5183" t="s">
        <v>1007</v>
      </c>
      <c r="B5183" t="s">
        <v>238</v>
      </c>
      <c r="C5183" t="str">
        <f>HYPERLINK("http://service.sap.com/sap/support/notes/1930160","1930160")</f>
        <v>1930160</v>
      </c>
      <c r="D5183">
        <v>4</v>
      </c>
      <c r="E5183" t="s">
        <v>1014</v>
      </c>
      <c r="F5183" t="s">
        <v>9</v>
      </c>
    </row>
    <row r="5184" spans="1:6" x14ac:dyDescent="0.3">
      <c r="A5184" t="s">
        <v>1007</v>
      </c>
      <c r="B5184" t="s">
        <v>2040</v>
      </c>
      <c r="C5184" t="str">
        <f>HYPERLINK("http://service.sap.com/sap/support/notes/1941983","1941983")</f>
        <v>1941983</v>
      </c>
      <c r="D5184">
        <v>2</v>
      </c>
      <c r="E5184" t="s">
        <v>2371</v>
      </c>
      <c r="F5184" t="s">
        <v>9</v>
      </c>
    </row>
    <row r="5185" spans="1:6" x14ac:dyDescent="0.3">
      <c r="A5185" t="s">
        <v>1007</v>
      </c>
      <c r="B5185" t="s">
        <v>238</v>
      </c>
      <c r="C5185" t="str">
        <f>HYPERLINK("http://service.sap.com/sap/support/notes/1936488","1936488")</f>
        <v>1936488</v>
      </c>
      <c r="D5185">
        <v>1</v>
      </c>
      <c r="E5185" t="s">
        <v>3922</v>
      </c>
      <c r="F5185" t="s">
        <v>9</v>
      </c>
    </row>
    <row r="5186" spans="1:6" x14ac:dyDescent="0.3">
      <c r="A5186" t="s">
        <v>1007</v>
      </c>
      <c r="B5186" t="s">
        <v>238</v>
      </c>
      <c r="C5186" t="str">
        <f>HYPERLINK("http://service.sap.com/sap/support/notes/1937540","1937540")</f>
        <v>1937540</v>
      </c>
      <c r="D5186">
        <v>1</v>
      </c>
      <c r="E5186" t="s">
        <v>3923</v>
      </c>
      <c r="F5186" t="s">
        <v>9</v>
      </c>
    </row>
    <row r="5187" spans="1:6" x14ac:dyDescent="0.3">
      <c r="A5187" t="s">
        <v>1007</v>
      </c>
      <c r="B5187" t="s">
        <v>238</v>
      </c>
      <c r="C5187" t="str">
        <f>HYPERLINK("http://service.sap.com/sap/support/notes/1965838","1965838")</f>
        <v>1965838</v>
      </c>
      <c r="D5187">
        <v>3</v>
      </c>
      <c r="E5187" t="s">
        <v>3924</v>
      </c>
      <c r="F5187" t="s">
        <v>9</v>
      </c>
    </row>
    <row r="5188" spans="1:6" x14ac:dyDescent="0.3">
      <c r="A5188" t="s">
        <v>1007</v>
      </c>
      <c r="B5188" t="s">
        <v>238</v>
      </c>
      <c r="C5188" t="str">
        <f>HYPERLINK("http://service.sap.com/sap/support/notes/1974664","1974664")</f>
        <v>1974664</v>
      </c>
      <c r="D5188">
        <v>1</v>
      </c>
      <c r="E5188" t="s">
        <v>3925</v>
      </c>
      <c r="F5188" t="s">
        <v>9</v>
      </c>
    </row>
    <row r="5189" spans="1:6" x14ac:dyDescent="0.3">
      <c r="A5189" t="s">
        <v>1007</v>
      </c>
      <c r="B5189" t="s">
        <v>238</v>
      </c>
      <c r="C5189" t="str">
        <f>HYPERLINK("http://service.sap.com/sap/support/notes/1976383","1976383")</f>
        <v>1976383</v>
      </c>
      <c r="D5189">
        <v>1</v>
      </c>
      <c r="E5189" t="s">
        <v>3926</v>
      </c>
      <c r="F5189" t="s">
        <v>9</v>
      </c>
    </row>
    <row r="5190" spans="1:6" x14ac:dyDescent="0.3">
      <c r="A5190" t="s">
        <v>1015</v>
      </c>
      <c r="B5190" t="s">
        <v>109</v>
      </c>
      <c r="C5190" t="str">
        <f>HYPERLINK("http://service.sap.com/sap/support/notes/1826671","1826671")</f>
        <v>1826671</v>
      </c>
      <c r="D5190">
        <v>1</v>
      </c>
      <c r="E5190" t="s">
        <v>1016</v>
      </c>
      <c r="F5190" t="s">
        <v>28</v>
      </c>
    </row>
    <row r="5191" spans="1:6" x14ac:dyDescent="0.3">
      <c r="A5191" t="s">
        <v>1015</v>
      </c>
      <c r="B5191" t="s">
        <v>109</v>
      </c>
      <c r="C5191" t="str">
        <f>HYPERLINK("http://service.sap.com/sap/support/notes/1860543","1860543")</f>
        <v>1860543</v>
      </c>
      <c r="D5191">
        <v>6</v>
      </c>
      <c r="E5191" t="s">
        <v>1017</v>
      </c>
      <c r="F5191" t="s">
        <v>1018</v>
      </c>
    </row>
    <row r="5192" spans="1:6" x14ac:dyDescent="0.3">
      <c r="A5192" t="s">
        <v>1015</v>
      </c>
      <c r="B5192" t="s">
        <v>109</v>
      </c>
      <c r="C5192" t="str">
        <f>HYPERLINK("http://service.sap.com/sap/support/notes/1864774","1864774")</f>
        <v>1864774</v>
      </c>
      <c r="D5192">
        <v>3</v>
      </c>
      <c r="E5192" t="s">
        <v>1019</v>
      </c>
      <c r="F5192" t="s">
        <v>9</v>
      </c>
    </row>
    <row r="5193" spans="1:6" x14ac:dyDescent="0.3">
      <c r="A5193" t="s">
        <v>1015</v>
      </c>
      <c r="B5193" t="s">
        <v>109</v>
      </c>
      <c r="C5193" t="str">
        <f>HYPERLINK("http://service.sap.com/sap/support/notes/1873823","1873823")</f>
        <v>1873823</v>
      </c>
      <c r="D5193">
        <v>1</v>
      </c>
      <c r="E5193" t="s">
        <v>1020</v>
      </c>
      <c r="F5193" t="s">
        <v>16</v>
      </c>
    </row>
    <row r="5194" spans="1:6" x14ac:dyDescent="0.3">
      <c r="A5194" t="s">
        <v>1015</v>
      </c>
      <c r="B5194" t="s">
        <v>109</v>
      </c>
      <c r="C5194" t="str">
        <f>HYPERLINK("http://service.sap.com/sap/support/notes/1877031","1877031")</f>
        <v>1877031</v>
      </c>
      <c r="D5194">
        <v>1</v>
      </c>
      <c r="E5194" t="s">
        <v>1021</v>
      </c>
      <c r="F5194" t="s">
        <v>16</v>
      </c>
    </row>
    <row r="5195" spans="1:6" x14ac:dyDescent="0.3">
      <c r="A5195" t="s">
        <v>1015</v>
      </c>
      <c r="B5195" t="s">
        <v>109</v>
      </c>
      <c r="C5195" t="str">
        <f>HYPERLINK("http://service.sap.com/sap/support/notes/1878576","1878576")</f>
        <v>1878576</v>
      </c>
      <c r="D5195">
        <v>1</v>
      </c>
      <c r="E5195" t="s">
        <v>1022</v>
      </c>
      <c r="F5195" t="s">
        <v>9</v>
      </c>
    </row>
    <row r="5196" spans="1:6" x14ac:dyDescent="0.3">
      <c r="A5196" t="s">
        <v>1015</v>
      </c>
      <c r="B5196" t="s">
        <v>109</v>
      </c>
      <c r="C5196" t="str">
        <f>HYPERLINK("http://service.sap.com/sap/support/notes/1882089","1882089")</f>
        <v>1882089</v>
      </c>
      <c r="D5196">
        <v>2</v>
      </c>
      <c r="E5196" t="s">
        <v>1023</v>
      </c>
      <c r="F5196" t="s">
        <v>9</v>
      </c>
    </row>
    <row r="5197" spans="1:6" x14ac:dyDescent="0.3">
      <c r="A5197" t="s">
        <v>1015</v>
      </c>
      <c r="B5197" t="s">
        <v>109</v>
      </c>
      <c r="C5197" t="str">
        <f>HYPERLINK("http://service.sap.com/sap/support/notes/1894839","1894839")</f>
        <v>1894839</v>
      </c>
      <c r="D5197">
        <v>1</v>
      </c>
      <c r="E5197" t="s">
        <v>1024</v>
      </c>
      <c r="F5197" t="s">
        <v>9</v>
      </c>
    </row>
    <row r="5198" spans="1:6" x14ac:dyDescent="0.3">
      <c r="A5198" t="s">
        <v>1015</v>
      </c>
      <c r="B5198" t="s">
        <v>109</v>
      </c>
      <c r="C5198" t="str">
        <f>HYPERLINK("http://service.sap.com/sap/support/notes/1900557","1900557")</f>
        <v>1900557</v>
      </c>
      <c r="D5198">
        <v>2</v>
      </c>
      <c r="E5198" t="s">
        <v>1025</v>
      </c>
      <c r="F5198" t="s">
        <v>1018</v>
      </c>
    </row>
    <row r="5199" spans="1:6" x14ac:dyDescent="0.3">
      <c r="A5199" t="s">
        <v>1015</v>
      </c>
      <c r="B5199" t="s">
        <v>109</v>
      </c>
      <c r="C5199" t="str">
        <f>HYPERLINK("http://service.sap.com/sap/support/notes/1901401","1901401")</f>
        <v>1901401</v>
      </c>
      <c r="D5199">
        <v>2</v>
      </c>
      <c r="E5199" t="s">
        <v>1026</v>
      </c>
      <c r="F5199" t="s">
        <v>16</v>
      </c>
    </row>
    <row r="5200" spans="1:6" x14ac:dyDescent="0.3">
      <c r="A5200" t="s">
        <v>1015</v>
      </c>
      <c r="B5200" t="s">
        <v>109</v>
      </c>
      <c r="C5200" t="str">
        <f>HYPERLINK("http://service.sap.com/sap/support/notes/1907147","1907147")</f>
        <v>1907147</v>
      </c>
      <c r="D5200">
        <v>2</v>
      </c>
      <c r="E5200" t="s">
        <v>1027</v>
      </c>
      <c r="F5200" t="s">
        <v>9</v>
      </c>
    </row>
    <row r="5201" spans="1:6" x14ac:dyDescent="0.3">
      <c r="A5201" t="s">
        <v>1015</v>
      </c>
      <c r="B5201" t="s">
        <v>109</v>
      </c>
      <c r="C5201" t="str">
        <f>HYPERLINK("http://service.sap.com/sap/support/notes/1911194","1911194")</f>
        <v>1911194</v>
      </c>
      <c r="D5201">
        <v>4</v>
      </c>
      <c r="E5201" t="s">
        <v>1028</v>
      </c>
      <c r="F5201" t="s">
        <v>9</v>
      </c>
    </row>
    <row r="5202" spans="1:6" x14ac:dyDescent="0.3">
      <c r="A5202" t="s">
        <v>1015</v>
      </c>
      <c r="B5202" t="s">
        <v>109</v>
      </c>
      <c r="C5202" t="str">
        <f>HYPERLINK("http://service.sap.com/sap/support/notes/1917725","1917725")</f>
        <v>1917725</v>
      </c>
      <c r="D5202">
        <v>2</v>
      </c>
      <c r="E5202" t="s">
        <v>1029</v>
      </c>
      <c r="F5202" t="s">
        <v>9</v>
      </c>
    </row>
    <row r="5203" spans="1:6" x14ac:dyDescent="0.3">
      <c r="A5203" t="s">
        <v>1015</v>
      </c>
      <c r="B5203" t="s">
        <v>109</v>
      </c>
      <c r="C5203" t="str">
        <f>HYPERLINK("http://service.sap.com/sap/support/notes/1923256","1923256")</f>
        <v>1923256</v>
      </c>
      <c r="D5203">
        <v>2</v>
      </c>
      <c r="E5203" t="s">
        <v>1030</v>
      </c>
      <c r="F5203" t="s">
        <v>9</v>
      </c>
    </row>
    <row r="5204" spans="1:6" x14ac:dyDescent="0.3">
      <c r="A5204" t="s">
        <v>1015</v>
      </c>
      <c r="B5204" t="s">
        <v>109</v>
      </c>
      <c r="C5204" t="str">
        <f>HYPERLINK("http://service.sap.com/sap/support/notes/1930630","1930630")</f>
        <v>1930630</v>
      </c>
      <c r="D5204">
        <v>1</v>
      </c>
      <c r="E5204" t="s">
        <v>1031</v>
      </c>
      <c r="F5204" t="s">
        <v>9</v>
      </c>
    </row>
    <row r="5205" spans="1:6" x14ac:dyDescent="0.3">
      <c r="A5205" t="s">
        <v>1015</v>
      </c>
      <c r="B5205" t="s">
        <v>109</v>
      </c>
      <c r="C5205" t="str">
        <f>HYPERLINK("http://service.sap.com/sap/support/notes/1931774","1931774")</f>
        <v>1931774</v>
      </c>
      <c r="D5205">
        <v>1</v>
      </c>
      <c r="E5205" t="s">
        <v>1027</v>
      </c>
      <c r="F5205" t="s">
        <v>28</v>
      </c>
    </row>
    <row r="5206" spans="1:6" x14ac:dyDescent="0.3">
      <c r="A5206" t="s">
        <v>1015</v>
      </c>
      <c r="B5206" t="s">
        <v>109</v>
      </c>
      <c r="C5206" t="str">
        <f>HYPERLINK("http://service.sap.com/sap/support/notes/1694939","1694939")</f>
        <v>1694939</v>
      </c>
      <c r="D5206">
        <v>1</v>
      </c>
      <c r="E5206" t="s">
        <v>2041</v>
      </c>
      <c r="F5206" t="s">
        <v>28</v>
      </c>
    </row>
    <row r="5207" spans="1:6" x14ac:dyDescent="0.3">
      <c r="A5207" t="s">
        <v>1015</v>
      </c>
      <c r="B5207" t="s">
        <v>109</v>
      </c>
      <c r="C5207" t="str">
        <f>HYPERLINK("http://service.sap.com/sap/support/notes/1826671","1826671")</f>
        <v>1826671</v>
      </c>
      <c r="D5207">
        <v>1</v>
      </c>
      <c r="E5207" t="s">
        <v>1016</v>
      </c>
      <c r="F5207" t="s">
        <v>28</v>
      </c>
    </row>
    <row r="5208" spans="1:6" x14ac:dyDescent="0.3">
      <c r="A5208" t="s">
        <v>1015</v>
      </c>
      <c r="B5208" t="s">
        <v>109</v>
      </c>
      <c r="C5208" t="str">
        <f>HYPERLINK("http://service.sap.com/sap/support/notes/1943458","1943458")</f>
        <v>1943458</v>
      </c>
      <c r="D5208">
        <v>2</v>
      </c>
      <c r="E5208" t="s">
        <v>3927</v>
      </c>
      <c r="F5208" t="s">
        <v>9</v>
      </c>
    </row>
    <row r="5209" spans="1:6" x14ac:dyDescent="0.3">
      <c r="A5209" t="s">
        <v>1015</v>
      </c>
      <c r="B5209" t="s">
        <v>109</v>
      </c>
      <c r="C5209" t="str">
        <f>HYPERLINK("http://service.sap.com/sap/support/notes/1947777","1947777")</f>
        <v>1947777</v>
      </c>
      <c r="D5209">
        <v>3</v>
      </c>
      <c r="E5209" t="s">
        <v>3928</v>
      </c>
      <c r="F5209" t="s">
        <v>9</v>
      </c>
    </row>
    <row r="5210" spans="1:6" x14ac:dyDescent="0.3">
      <c r="A5210" t="s">
        <v>1015</v>
      </c>
      <c r="B5210" t="s">
        <v>109</v>
      </c>
      <c r="C5210" t="str">
        <f>HYPERLINK("http://service.sap.com/sap/support/notes/1968856","1968856")</f>
        <v>1968856</v>
      </c>
      <c r="D5210">
        <v>2</v>
      </c>
      <c r="E5210" t="s">
        <v>3929</v>
      </c>
      <c r="F5210" t="s">
        <v>9</v>
      </c>
    </row>
    <row r="5211" spans="1:6" x14ac:dyDescent="0.3">
      <c r="A5211" t="s">
        <v>1015</v>
      </c>
      <c r="B5211" t="s">
        <v>109</v>
      </c>
      <c r="C5211" t="str">
        <f>HYPERLINK("http://service.sap.com/sap/support/notes/2005086","2005086")</f>
        <v>2005086</v>
      </c>
      <c r="D5211">
        <v>2</v>
      </c>
      <c r="E5211" t="s">
        <v>3930</v>
      </c>
      <c r="F5211" t="s">
        <v>9</v>
      </c>
    </row>
    <row r="5212" spans="1:6" x14ac:dyDescent="0.3">
      <c r="A5212" t="s">
        <v>1015</v>
      </c>
      <c r="B5212" t="s">
        <v>109</v>
      </c>
      <c r="C5212" t="str">
        <f>HYPERLINK("http://service.sap.com/sap/support/notes/2006364","2006364")</f>
        <v>2006364</v>
      </c>
      <c r="D5212">
        <v>1</v>
      </c>
      <c r="E5212" t="s">
        <v>3931</v>
      </c>
      <c r="F5212" t="s">
        <v>9</v>
      </c>
    </row>
    <row r="5213" spans="1:6" x14ac:dyDescent="0.3">
      <c r="A5213" t="s">
        <v>1032</v>
      </c>
      <c r="B5213" t="s">
        <v>1033</v>
      </c>
      <c r="C5213" t="str">
        <f>HYPERLINK("http://service.sap.com/sap/support/notes/1865356","1865356")</f>
        <v>1865356</v>
      </c>
      <c r="D5213">
        <v>1</v>
      </c>
      <c r="E5213" t="s">
        <v>1034</v>
      </c>
      <c r="F5213" t="s">
        <v>16</v>
      </c>
    </row>
    <row r="5214" spans="1:6" x14ac:dyDescent="0.3">
      <c r="A5214" t="s">
        <v>1035</v>
      </c>
      <c r="B5214" t="s">
        <v>1036</v>
      </c>
      <c r="C5214" t="str">
        <f>HYPERLINK("http://service.sap.com/sap/support/notes/1848039","1848039")</f>
        <v>1848039</v>
      </c>
      <c r="D5214">
        <v>2</v>
      </c>
      <c r="E5214" t="s">
        <v>1037</v>
      </c>
      <c r="F5214" t="s">
        <v>9</v>
      </c>
    </row>
    <row r="5215" spans="1:6" x14ac:dyDescent="0.3">
      <c r="A5215" t="s">
        <v>1035</v>
      </c>
      <c r="B5215" t="s">
        <v>1036</v>
      </c>
      <c r="C5215" t="str">
        <f>HYPERLINK("http://service.sap.com/sap/support/notes/1863520","1863520")</f>
        <v>1863520</v>
      </c>
      <c r="D5215">
        <v>16</v>
      </c>
      <c r="E5215" t="s">
        <v>1038</v>
      </c>
      <c r="F5215" t="s">
        <v>9</v>
      </c>
    </row>
    <row r="5216" spans="1:6" x14ac:dyDescent="0.3">
      <c r="A5216" t="s">
        <v>1035</v>
      </c>
      <c r="B5216" t="s">
        <v>1036</v>
      </c>
      <c r="C5216" t="str">
        <f>HYPERLINK("http://service.sap.com/sap/support/notes/1870790","1870790")</f>
        <v>1870790</v>
      </c>
      <c r="D5216">
        <v>1</v>
      </c>
      <c r="E5216" t="s">
        <v>1039</v>
      </c>
      <c r="F5216" t="s">
        <v>9</v>
      </c>
    </row>
    <row r="5217" spans="1:6" x14ac:dyDescent="0.3">
      <c r="A5217" t="s">
        <v>1035</v>
      </c>
      <c r="B5217" t="s">
        <v>1036</v>
      </c>
      <c r="C5217" t="str">
        <f>HYPERLINK("http://service.sap.com/sap/support/notes/1879933","1879933")</f>
        <v>1879933</v>
      </c>
      <c r="D5217">
        <v>3</v>
      </c>
      <c r="E5217" t="s">
        <v>1040</v>
      </c>
      <c r="F5217" t="s">
        <v>9</v>
      </c>
    </row>
    <row r="5218" spans="1:6" x14ac:dyDescent="0.3">
      <c r="A5218" t="s">
        <v>1035</v>
      </c>
      <c r="B5218" t="s">
        <v>1036</v>
      </c>
      <c r="C5218" t="str">
        <f>HYPERLINK("http://service.sap.com/sap/support/notes/1889404","1889404")</f>
        <v>1889404</v>
      </c>
      <c r="D5218">
        <v>1</v>
      </c>
      <c r="E5218" t="s">
        <v>1041</v>
      </c>
      <c r="F5218" t="s">
        <v>9</v>
      </c>
    </row>
    <row r="5219" spans="1:6" x14ac:dyDescent="0.3">
      <c r="A5219" t="s">
        <v>1035</v>
      </c>
      <c r="B5219" t="s">
        <v>1036</v>
      </c>
      <c r="C5219" t="str">
        <f>HYPERLINK("http://service.sap.com/sap/support/notes/1900850","1900850")</f>
        <v>1900850</v>
      </c>
      <c r="D5219">
        <v>15</v>
      </c>
      <c r="E5219" t="s">
        <v>1042</v>
      </c>
      <c r="F5219" t="s">
        <v>28</v>
      </c>
    </row>
    <row r="5220" spans="1:6" x14ac:dyDescent="0.3">
      <c r="A5220" t="s">
        <v>1035</v>
      </c>
      <c r="B5220" t="s">
        <v>1036</v>
      </c>
      <c r="C5220" t="str">
        <f>HYPERLINK("http://service.sap.com/sap/support/notes/1908263","1908263")</f>
        <v>1908263</v>
      </c>
      <c r="D5220">
        <v>3</v>
      </c>
      <c r="E5220" t="s">
        <v>1043</v>
      </c>
      <c r="F5220" t="s">
        <v>9</v>
      </c>
    </row>
    <row r="5221" spans="1:6" x14ac:dyDescent="0.3">
      <c r="A5221" t="s">
        <v>1035</v>
      </c>
      <c r="B5221" t="s">
        <v>1036</v>
      </c>
      <c r="C5221" t="str">
        <f>HYPERLINK("http://service.sap.com/sap/support/notes/1909515","1909515")</f>
        <v>1909515</v>
      </c>
      <c r="D5221">
        <v>3</v>
      </c>
      <c r="E5221" t="s">
        <v>1044</v>
      </c>
      <c r="F5221" t="s">
        <v>9</v>
      </c>
    </row>
    <row r="5222" spans="1:6" x14ac:dyDescent="0.3">
      <c r="A5222" t="s">
        <v>1035</v>
      </c>
      <c r="B5222" t="s">
        <v>1036</v>
      </c>
      <c r="C5222" t="str">
        <f>HYPERLINK("http://service.sap.com/sap/support/notes/1909826","1909826")</f>
        <v>1909826</v>
      </c>
      <c r="D5222">
        <v>18</v>
      </c>
      <c r="E5222" t="s">
        <v>1045</v>
      </c>
      <c r="F5222" t="s">
        <v>9</v>
      </c>
    </row>
    <row r="5223" spans="1:6" x14ac:dyDescent="0.3">
      <c r="A5223" t="s">
        <v>1035</v>
      </c>
      <c r="B5223" t="s">
        <v>1036</v>
      </c>
      <c r="C5223" t="str">
        <f>HYPERLINK("http://service.sap.com/sap/support/notes/1944320","1944320")</f>
        <v>1944320</v>
      </c>
      <c r="D5223">
        <v>1</v>
      </c>
      <c r="E5223" t="s">
        <v>2042</v>
      </c>
      <c r="F5223" t="s">
        <v>9</v>
      </c>
    </row>
    <row r="5224" spans="1:6" x14ac:dyDescent="0.3">
      <c r="A5224" t="s">
        <v>1035</v>
      </c>
      <c r="B5224" t="s">
        <v>1036</v>
      </c>
      <c r="C5224" t="str">
        <f>HYPERLINK("http://service.sap.com/sap/support/notes/1900939","1900939")</f>
        <v>1900939</v>
      </c>
      <c r="D5224">
        <v>4</v>
      </c>
      <c r="E5224" t="s">
        <v>3932</v>
      </c>
      <c r="F5224" t="s">
        <v>9</v>
      </c>
    </row>
    <row r="5225" spans="1:6" x14ac:dyDescent="0.3">
      <c r="A5225" t="s">
        <v>1035</v>
      </c>
      <c r="B5225" t="s">
        <v>1036</v>
      </c>
      <c r="C5225" t="str">
        <f>HYPERLINK("http://service.sap.com/sap/support/notes/1932431","1932431")</f>
        <v>1932431</v>
      </c>
      <c r="D5225">
        <v>3</v>
      </c>
      <c r="E5225" t="s">
        <v>3933</v>
      </c>
      <c r="F5225" t="s">
        <v>9</v>
      </c>
    </row>
    <row r="5226" spans="1:6" x14ac:dyDescent="0.3">
      <c r="A5226" t="s">
        <v>1035</v>
      </c>
      <c r="B5226" t="s">
        <v>1036</v>
      </c>
      <c r="C5226" t="str">
        <f>HYPERLINK("http://service.sap.com/sap/support/notes/1938696","1938696")</f>
        <v>1938696</v>
      </c>
      <c r="D5226">
        <v>3</v>
      </c>
      <c r="E5226" t="s">
        <v>3934</v>
      </c>
      <c r="F5226" t="s">
        <v>9</v>
      </c>
    </row>
    <row r="5227" spans="1:6" x14ac:dyDescent="0.3">
      <c r="A5227" t="s">
        <v>1035</v>
      </c>
      <c r="B5227" t="s">
        <v>1036</v>
      </c>
      <c r="C5227" t="str">
        <f>HYPERLINK("http://service.sap.com/sap/support/notes/1940036","1940036")</f>
        <v>1940036</v>
      </c>
      <c r="D5227">
        <v>1</v>
      </c>
      <c r="E5227" t="s">
        <v>3935</v>
      </c>
      <c r="F5227" t="s">
        <v>9</v>
      </c>
    </row>
    <row r="5228" spans="1:6" x14ac:dyDescent="0.3">
      <c r="A5228" t="s">
        <v>1035</v>
      </c>
      <c r="B5228" t="s">
        <v>1036</v>
      </c>
      <c r="C5228" t="str">
        <f>HYPERLINK("http://service.sap.com/sap/support/notes/1944375","1944375")</f>
        <v>1944375</v>
      </c>
      <c r="D5228">
        <v>9</v>
      </c>
      <c r="E5228" t="s">
        <v>3936</v>
      </c>
      <c r="F5228" t="s">
        <v>28</v>
      </c>
    </row>
    <row r="5229" spans="1:6" x14ac:dyDescent="0.3">
      <c r="A5229" t="s">
        <v>1035</v>
      </c>
      <c r="B5229" t="s">
        <v>1036</v>
      </c>
      <c r="C5229" t="str">
        <f>HYPERLINK("http://service.sap.com/sap/support/notes/1968788","1968788")</f>
        <v>1968788</v>
      </c>
      <c r="D5229">
        <v>2</v>
      </c>
      <c r="E5229" t="s">
        <v>3937</v>
      </c>
      <c r="F5229" t="s">
        <v>9</v>
      </c>
    </row>
    <row r="5230" spans="1:6" x14ac:dyDescent="0.3">
      <c r="A5230" t="s">
        <v>1046</v>
      </c>
      <c r="B5230" t="s">
        <v>1047</v>
      </c>
      <c r="C5230" t="str">
        <f>HYPERLINK("http://service.sap.com/sap/support/notes/1799564","1799564")</f>
        <v>1799564</v>
      </c>
      <c r="D5230">
        <v>2</v>
      </c>
      <c r="E5230" t="s">
        <v>1048</v>
      </c>
      <c r="F5230" t="s">
        <v>9</v>
      </c>
    </row>
    <row r="5231" spans="1:6" x14ac:dyDescent="0.3">
      <c r="A5231" t="s">
        <v>1046</v>
      </c>
      <c r="B5231" t="s">
        <v>1047</v>
      </c>
      <c r="C5231" t="str">
        <f>HYPERLINK("http://service.sap.com/sap/support/notes/1801744","1801744")</f>
        <v>1801744</v>
      </c>
      <c r="D5231">
        <v>5</v>
      </c>
      <c r="E5231" t="s">
        <v>1049</v>
      </c>
      <c r="F5231" t="s">
        <v>28</v>
      </c>
    </row>
    <row r="5232" spans="1:6" x14ac:dyDescent="0.3">
      <c r="A5232" t="s">
        <v>1046</v>
      </c>
      <c r="B5232" t="s">
        <v>1047</v>
      </c>
      <c r="C5232" t="str">
        <f>HYPERLINK("http://service.sap.com/sap/support/notes/1829062","1829062")</f>
        <v>1829062</v>
      </c>
      <c r="D5232">
        <v>2</v>
      </c>
      <c r="E5232" t="s">
        <v>1050</v>
      </c>
      <c r="F5232" t="s">
        <v>28</v>
      </c>
    </row>
    <row r="5233" spans="1:6" x14ac:dyDescent="0.3">
      <c r="A5233" t="s">
        <v>1046</v>
      </c>
      <c r="B5233" t="s">
        <v>1047</v>
      </c>
      <c r="C5233" t="str">
        <f>HYPERLINK("http://service.sap.com/sap/support/notes/1834642","1834642")</f>
        <v>1834642</v>
      </c>
      <c r="D5233">
        <v>1</v>
      </c>
      <c r="E5233" t="s">
        <v>1051</v>
      </c>
      <c r="F5233" t="s">
        <v>28</v>
      </c>
    </row>
    <row r="5234" spans="1:6" x14ac:dyDescent="0.3">
      <c r="A5234" t="s">
        <v>1046</v>
      </c>
      <c r="B5234" t="s">
        <v>1047</v>
      </c>
      <c r="C5234" t="str">
        <f>HYPERLINK("http://service.sap.com/sap/support/notes/1847831","1847831")</f>
        <v>1847831</v>
      </c>
      <c r="D5234">
        <v>1</v>
      </c>
      <c r="E5234" t="s">
        <v>1052</v>
      </c>
      <c r="F5234" t="s">
        <v>9</v>
      </c>
    </row>
    <row r="5235" spans="1:6" x14ac:dyDescent="0.3">
      <c r="A5235" t="s">
        <v>1046</v>
      </c>
      <c r="B5235" t="s">
        <v>1047</v>
      </c>
      <c r="C5235" t="str">
        <f>HYPERLINK("http://service.sap.com/sap/support/notes/1870262","1870262")</f>
        <v>1870262</v>
      </c>
      <c r="D5235">
        <v>3</v>
      </c>
      <c r="E5235" t="s">
        <v>1053</v>
      </c>
      <c r="F5235" t="s">
        <v>9</v>
      </c>
    </row>
    <row r="5236" spans="1:6" x14ac:dyDescent="0.3">
      <c r="A5236" t="s">
        <v>1046</v>
      </c>
      <c r="B5236" t="s">
        <v>1047</v>
      </c>
      <c r="C5236" t="str">
        <f>HYPERLINK("http://service.sap.com/sap/support/notes/1870566","1870566")</f>
        <v>1870566</v>
      </c>
      <c r="D5236">
        <v>1</v>
      </c>
      <c r="E5236" t="s">
        <v>1054</v>
      </c>
      <c r="F5236" t="s">
        <v>9</v>
      </c>
    </row>
    <row r="5237" spans="1:6" x14ac:dyDescent="0.3">
      <c r="A5237" t="s">
        <v>1046</v>
      </c>
      <c r="B5237" t="s">
        <v>1047</v>
      </c>
      <c r="C5237" t="str">
        <f>HYPERLINK("http://service.sap.com/sap/support/notes/1871338","1871338")</f>
        <v>1871338</v>
      </c>
      <c r="D5237">
        <v>7</v>
      </c>
      <c r="E5237" t="s">
        <v>1055</v>
      </c>
      <c r="F5237" t="s">
        <v>28</v>
      </c>
    </row>
    <row r="5238" spans="1:6" x14ac:dyDescent="0.3">
      <c r="A5238" t="s">
        <v>1046</v>
      </c>
      <c r="B5238" t="s">
        <v>1047</v>
      </c>
      <c r="C5238" t="str">
        <f>HYPERLINK("http://service.sap.com/sap/support/notes/1877025","1877025")</f>
        <v>1877025</v>
      </c>
      <c r="D5238">
        <v>8</v>
      </c>
      <c r="E5238" t="s">
        <v>1056</v>
      </c>
      <c r="F5238" t="s">
        <v>28</v>
      </c>
    </row>
    <row r="5239" spans="1:6" x14ac:dyDescent="0.3">
      <c r="A5239" t="s">
        <v>1046</v>
      </c>
      <c r="B5239" t="s">
        <v>1047</v>
      </c>
      <c r="C5239" t="str">
        <f>HYPERLINK("http://service.sap.com/sap/support/notes/1878536","1878536")</f>
        <v>1878536</v>
      </c>
      <c r="D5239">
        <v>2</v>
      </c>
      <c r="E5239" t="s">
        <v>1057</v>
      </c>
      <c r="F5239" t="s">
        <v>16</v>
      </c>
    </row>
    <row r="5240" spans="1:6" x14ac:dyDescent="0.3">
      <c r="A5240" t="s">
        <v>1046</v>
      </c>
      <c r="B5240" t="s">
        <v>1047</v>
      </c>
      <c r="C5240" t="str">
        <f>HYPERLINK("http://service.sap.com/sap/support/notes/1890982","1890982")</f>
        <v>1890982</v>
      </c>
      <c r="D5240">
        <v>2</v>
      </c>
      <c r="E5240" t="s">
        <v>1058</v>
      </c>
      <c r="F5240" t="s">
        <v>9</v>
      </c>
    </row>
    <row r="5241" spans="1:6" x14ac:dyDescent="0.3">
      <c r="A5241" t="s">
        <v>1046</v>
      </c>
      <c r="B5241" t="s">
        <v>1047</v>
      </c>
      <c r="C5241" t="str">
        <f>HYPERLINK("http://service.sap.com/sap/support/notes/1893359","1893359")</f>
        <v>1893359</v>
      </c>
      <c r="D5241">
        <v>2</v>
      </c>
      <c r="E5241" t="s">
        <v>1059</v>
      </c>
      <c r="F5241" t="s">
        <v>9</v>
      </c>
    </row>
    <row r="5242" spans="1:6" x14ac:dyDescent="0.3">
      <c r="A5242" t="s">
        <v>1046</v>
      </c>
      <c r="B5242" t="s">
        <v>1047</v>
      </c>
      <c r="C5242" t="str">
        <f>HYPERLINK("http://service.sap.com/sap/support/notes/1899900","1899900")</f>
        <v>1899900</v>
      </c>
      <c r="D5242">
        <v>1</v>
      </c>
      <c r="E5242" t="s">
        <v>1060</v>
      </c>
      <c r="F5242" t="s">
        <v>9</v>
      </c>
    </row>
    <row r="5243" spans="1:6" x14ac:dyDescent="0.3">
      <c r="A5243" t="s">
        <v>1046</v>
      </c>
      <c r="B5243" t="s">
        <v>1047</v>
      </c>
      <c r="C5243" t="str">
        <f>HYPERLINK("http://service.sap.com/sap/support/notes/1914789","1914789")</f>
        <v>1914789</v>
      </c>
      <c r="D5243">
        <v>1</v>
      </c>
      <c r="E5243" t="s">
        <v>1061</v>
      </c>
      <c r="F5243" t="s">
        <v>9</v>
      </c>
    </row>
    <row r="5244" spans="1:6" x14ac:dyDescent="0.3">
      <c r="A5244" t="s">
        <v>1046</v>
      </c>
      <c r="B5244" t="s">
        <v>1047</v>
      </c>
      <c r="C5244" t="str">
        <f>HYPERLINK("http://service.sap.com/sap/support/notes/1918334","1918334")</f>
        <v>1918334</v>
      </c>
      <c r="D5244">
        <v>1</v>
      </c>
      <c r="E5244" t="s">
        <v>1062</v>
      </c>
      <c r="F5244" t="s">
        <v>9</v>
      </c>
    </row>
    <row r="5245" spans="1:6" x14ac:dyDescent="0.3">
      <c r="A5245" t="s">
        <v>1046</v>
      </c>
      <c r="B5245" t="s">
        <v>1047</v>
      </c>
      <c r="C5245" t="str">
        <f>HYPERLINK("http://service.sap.com/sap/support/notes/1922179","1922179")</f>
        <v>1922179</v>
      </c>
      <c r="D5245">
        <v>1</v>
      </c>
      <c r="E5245" t="s">
        <v>1063</v>
      </c>
      <c r="F5245" t="s">
        <v>9</v>
      </c>
    </row>
    <row r="5246" spans="1:6" x14ac:dyDescent="0.3">
      <c r="A5246" t="s">
        <v>1046</v>
      </c>
      <c r="B5246" t="s">
        <v>1047</v>
      </c>
      <c r="C5246" t="str">
        <f>HYPERLINK("http://service.sap.com/sap/support/notes/1922458","1922458")</f>
        <v>1922458</v>
      </c>
      <c r="D5246">
        <v>1</v>
      </c>
      <c r="E5246" t="s">
        <v>1064</v>
      </c>
      <c r="F5246" t="s">
        <v>9</v>
      </c>
    </row>
    <row r="5247" spans="1:6" x14ac:dyDescent="0.3">
      <c r="A5247" t="s">
        <v>1046</v>
      </c>
      <c r="B5247" t="s">
        <v>1047</v>
      </c>
      <c r="C5247" t="str">
        <f>HYPERLINK("http://service.sap.com/sap/support/notes/1602596","1602596")</f>
        <v>1602596</v>
      </c>
      <c r="D5247">
        <v>5</v>
      </c>
      <c r="E5247" t="s">
        <v>3938</v>
      </c>
      <c r="F5247" t="s">
        <v>9</v>
      </c>
    </row>
    <row r="5248" spans="1:6" x14ac:dyDescent="0.3">
      <c r="A5248" t="s">
        <v>1046</v>
      </c>
      <c r="B5248" t="s">
        <v>1047</v>
      </c>
      <c r="C5248" t="str">
        <f>HYPERLINK("http://service.sap.com/sap/support/notes/1922878","1922878")</f>
        <v>1922878</v>
      </c>
      <c r="D5248">
        <v>1</v>
      </c>
      <c r="E5248" t="s">
        <v>3939</v>
      </c>
      <c r="F5248" t="s">
        <v>9</v>
      </c>
    </row>
    <row r="5249" spans="1:6" x14ac:dyDescent="0.3">
      <c r="A5249" t="s">
        <v>1046</v>
      </c>
      <c r="B5249" t="s">
        <v>1047</v>
      </c>
      <c r="C5249" t="str">
        <f>HYPERLINK("http://service.sap.com/sap/support/notes/1933489","1933489")</f>
        <v>1933489</v>
      </c>
      <c r="D5249">
        <v>3</v>
      </c>
      <c r="E5249" t="s">
        <v>3940</v>
      </c>
      <c r="F5249" t="s">
        <v>9</v>
      </c>
    </row>
    <row r="5250" spans="1:6" x14ac:dyDescent="0.3">
      <c r="A5250" t="s">
        <v>1046</v>
      </c>
      <c r="B5250" t="s">
        <v>1047</v>
      </c>
      <c r="C5250" t="str">
        <f>HYPERLINK("http://service.sap.com/sap/support/notes/1937702","1937702")</f>
        <v>1937702</v>
      </c>
      <c r="D5250">
        <v>3</v>
      </c>
      <c r="E5250" t="s">
        <v>3941</v>
      </c>
      <c r="F5250" t="s">
        <v>16</v>
      </c>
    </row>
    <row r="5251" spans="1:6" x14ac:dyDescent="0.3">
      <c r="A5251" t="s">
        <v>1046</v>
      </c>
      <c r="B5251" t="s">
        <v>1047</v>
      </c>
      <c r="C5251" t="str">
        <f>HYPERLINK("http://service.sap.com/sap/support/notes/1941996","1941996")</f>
        <v>1941996</v>
      </c>
      <c r="D5251">
        <v>1</v>
      </c>
      <c r="E5251" t="s">
        <v>3942</v>
      </c>
      <c r="F5251" t="s">
        <v>16</v>
      </c>
    </row>
    <row r="5252" spans="1:6" x14ac:dyDescent="0.3">
      <c r="A5252" t="s">
        <v>1046</v>
      </c>
      <c r="B5252" t="s">
        <v>1047</v>
      </c>
      <c r="C5252" t="str">
        <f>HYPERLINK("http://service.sap.com/sap/support/notes/1944530","1944530")</f>
        <v>1944530</v>
      </c>
      <c r="D5252">
        <v>2</v>
      </c>
      <c r="E5252" t="s">
        <v>3943</v>
      </c>
      <c r="F5252" t="s">
        <v>9</v>
      </c>
    </row>
    <row r="5253" spans="1:6" x14ac:dyDescent="0.3">
      <c r="A5253" t="s">
        <v>1046</v>
      </c>
      <c r="B5253" t="s">
        <v>1047</v>
      </c>
      <c r="C5253" t="str">
        <f>HYPERLINK("http://service.sap.com/sap/support/notes/1946627","1946627")</f>
        <v>1946627</v>
      </c>
      <c r="D5253">
        <v>6</v>
      </c>
      <c r="E5253" t="s">
        <v>3944</v>
      </c>
      <c r="F5253" t="s">
        <v>9</v>
      </c>
    </row>
    <row r="5254" spans="1:6" x14ac:dyDescent="0.3">
      <c r="A5254" t="s">
        <v>1046</v>
      </c>
      <c r="B5254" t="s">
        <v>1047</v>
      </c>
      <c r="C5254" t="str">
        <f>HYPERLINK("http://service.sap.com/sap/support/notes/1951859","1951859")</f>
        <v>1951859</v>
      </c>
      <c r="D5254">
        <v>4</v>
      </c>
      <c r="E5254" t="s">
        <v>3945</v>
      </c>
      <c r="F5254" t="s">
        <v>9</v>
      </c>
    </row>
    <row r="5255" spans="1:6" x14ac:dyDescent="0.3">
      <c r="A5255" t="s">
        <v>1046</v>
      </c>
      <c r="B5255" t="s">
        <v>1047</v>
      </c>
      <c r="C5255" t="str">
        <f>HYPERLINK("http://service.sap.com/sap/support/notes/1962060","1962060")</f>
        <v>1962060</v>
      </c>
      <c r="D5255">
        <v>4</v>
      </c>
      <c r="E5255" t="s">
        <v>3946</v>
      </c>
      <c r="F5255" t="s">
        <v>9</v>
      </c>
    </row>
    <row r="5256" spans="1:6" x14ac:dyDescent="0.3">
      <c r="A5256" t="s">
        <v>1046</v>
      </c>
      <c r="B5256" t="s">
        <v>1047</v>
      </c>
      <c r="C5256" t="str">
        <f>HYPERLINK("http://service.sap.com/sap/support/notes/1971951","1971951")</f>
        <v>1971951</v>
      </c>
      <c r="D5256">
        <v>3</v>
      </c>
      <c r="E5256" t="s">
        <v>3947</v>
      </c>
      <c r="F5256" t="s">
        <v>9</v>
      </c>
    </row>
    <row r="5257" spans="1:6" x14ac:dyDescent="0.3">
      <c r="A5257" t="s">
        <v>1046</v>
      </c>
      <c r="B5257" t="s">
        <v>1047</v>
      </c>
      <c r="C5257" t="str">
        <f>HYPERLINK("http://service.sap.com/sap/support/notes/1975951","1975951")</f>
        <v>1975951</v>
      </c>
      <c r="D5257">
        <v>3</v>
      </c>
      <c r="E5257" t="s">
        <v>3948</v>
      </c>
      <c r="F5257" t="s">
        <v>9</v>
      </c>
    </row>
    <row r="5258" spans="1:6" x14ac:dyDescent="0.3">
      <c r="A5258" t="s">
        <v>1046</v>
      </c>
      <c r="B5258" t="s">
        <v>1047</v>
      </c>
      <c r="C5258" t="str">
        <f>HYPERLINK("http://service.sap.com/sap/support/notes/1976647","1976647")</f>
        <v>1976647</v>
      </c>
      <c r="D5258">
        <v>2</v>
      </c>
      <c r="E5258" t="s">
        <v>3949</v>
      </c>
      <c r="F5258" t="s">
        <v>9</v>
      </c>
    </row>
    <row r="5259" spans="1:6" x14ac:dyDescent="0.3">
      <c r="A5259" t="s">
        <v>1046</v>
      </c>
      <c r="B5259" t="s">
        <v>1047</v>
      </c>
      <c r="C5259" t="str">
        <f>HYPERLINK("http://service.sap.com/sap/support/notes/1976857","1976857")</f>
        <v>1976857</v>
      </c>
      <c r="D5259">
        <v>2</v>
      </c>
      <c r="E5259" t="s">
        <v>3950</v>
      </c>
      <c r="F5259" t="s">
        <v>9</v>
      </c>
    </row>
    <row r="5260" spans="1:6" x14ac:dyDescent="0.3">
      <c r="A5260" t="s">
        <v>1046</v>
      </c>
      <c r="B5260" t="s">
        <v>1047</v>
      </c>
      <c r="C5260" t="str">
        <f>HYPERLINK("http://service.sap.com/sap/support/notes/1977958","1977958")</f>
        <v>1977958</v>
      </c>
      <c r="D5260">
        <v>3</v>
      </c>
      <c r="E5260" t="s">
        <v>3951</v>
      </c>
      <c r="F5260" t="s">
        <v>9</v>
      </c>
    </row>
    <row r="5261" spans="1:6" x14ac:dyDescent="0.3">
      <c r="A5261" t="s">
        <v>1046</v>
      </c>
      <c r="B5261" t="s">
        <v>1047</v>
      </c>
      <c r="C5261" t="str">
        <f>HYPERLINK("http://service.sap.com/sap/support/notes/1982170","1982170")</f>
        <v>1982170</v>
      </c>
      <c r="D5261">
        <v>2</v>
      </c>
      <c r="E5261" t="s">
        <v>3952</v>
      </c>
      <c r="F5261" t="s">
        <v>9</v>
      </c>
    </row>
    <row r="5262" spans="1:6" x14ac:dyDescent="0.3">
      <c r="A5262" t="s">
        <v>1046</v>
      </c>
      <c r="B5262" t="s">
        <v>1047</v>
      </c>
      <c r="C5262" t="str">
        <f>HYPERLINK("http://service.sap.com/sap/support/notes/1986633","1986633")</f>
        <v>1986633</v>
      </c>
      <c r="D5262">
        <v>3</v>
      </c>
      <c r="E5262" t="s">
        <v>3953</v>
      </c>
      <c r="F5262" t="s">
        <v>9</v>
      </c>
    </row>
    <row r="5263" spans="1:6" x14ac:dyDescent="0.3">
      <c r="A5263" t="s">
        <v>1046</v>
      </c>
      <c r="B5263" t="s">
        <v>1047</v>
      </c>
      <c r="C5263" t="str">
        <f>HYPERLINK("http://service.sap.com/sap/support/notes/1991965","1991965")</f>
        <v>1991965</v>
      </c>
      <c r="D5263">
        <v>3</v>
      </c>
      <c r="E5263" t="s">
        <v>3954</v>
      </c>
      <c r="F5263" t="s">
        <v>9</v>
      </c>
    </row>
    <row r="5264" spans="1:6" x14ac:dyDescent="0.3">
      <c r="A5264" t="s">
        <v>1046</v>
      </c>
      <c r="B5264" t="s">
        <v>1047</v>
      </c>
      <c r="C5264" t="str">
        <f>HYPERLINK("http://service.sap.com/sap/support/notes/2001373","2001373")</f>
        <v>2001373</v>
      </c>
      <c r="D5264">
        <v>2</v>
      </c>
      <c r="E5264" t="s">
        <v>3955</v>
      </c>
      <c r="F5264" t="s">
        <v>9</v>
      </c>
    </row>
    <row r="5265" spans="1:6" x14ac:dyDescent="0.3">
      <c r="A5265" t="s">
        <v>1046</v>
      </c>
      <c r="B5265" t="s">
        <v>1047</v>
      </c>
      <c r="C5265" t="str">
        <f>HYPERLINK("http://service.sap.com/sap/support/notes/2005797","2005797")</f>
        <v>2005797</v>
      </c>
      <c r="D5265">
        <v>1</v>
      </c>
      <c r="E5265" t="s">
        <v>3956</v>
      </c>
      <c r="F5265" t="s">
        <v>9</v>
      </c>
    </row>
    <row r="5266" spans="1:6" x14ac:dyDescent="0.3">
      <c r="A5266" t="s">
        <v>1046</v>
      </c>
      <c r="B5266" t="s">
        <v>1047</v>
      </c>
      <c r="C5266" t="str">
        <f>HYPERLINK("http://service.sap.com/sap/support/notes/2009305","2009305")</f>
        <v>2009305</v>
      </c>
      <c r="D5266">
        <v>1</v>
      </c>
      <c r="E5266" t="s">
        <v>3957</v>
      </c>
      <c r="F5266" t="s">
        <v>9</v>
      </c>
    </row>
    <row r="5267" spans="1:6" x14ac:dyDescent="0.3">
      <c r="A5267" t="s">
        <v>3958</v>
      </c>
      <c r="B5267" t="s">
        <v>3959</v>
      </c>
      <c r="C5267" t="str">
        <f>HYPERLINK("http://service.sap.com/sap/support/notes/2005689","2005689")</f>
        <v>2005689</v>
      </c>
      <c r="D5267">
        <v>1</v>
      </c>
      <c r="E5267" t="s">
        <v>3960</v>
      </c>
      <c r="F5267" t="s">
        <v>9</v>
      </c>
    </row>
    <row r="5268" spans="1:6" x14ac:dyDescent="0.3">
      <c r="A5268" t="s">
        <v>3961</v>
      </c>
      <c r="B5268" t="s">
        <v>3962</v>
      </c>
      <c r="C5268" t="str">
        <f>HYPERLINK("http://service.sap.com/sap/support/notes/1975710","1975710")</f>
        <v>1975710</v>
      </c>
      <c r="D5268">
        <v>3</v>
      </c>
      <c r="E5268" t="s">
        <v>3963</v>
      </c>
      <c r="F5268" t="s">
        <v>9</v>
      </c>
    </row>
    <row r="5269" spans="1:6" x14ac:dyDescent="0.3">
      <c r="A5269" t="s">
        <v>1065</v>
      </c>
      <c r="B5269" t="s">
        <v>1066</v>
      </c>
      <c r="C5269" t="str">
        <f>HYPERLINK("http://service.sap.com/sap/support/notes/1025296","1025296")</f>
        <v>1025296</v>
      </c>
      <c r="D5269">
        <v>5</v>
      </c>
      <c r="E5269" t="s">
        <v>1067</v>
      </c>
      <c r="F5269" t="s">
        <v>9</v>
      </c>
    </row>
    <row r="5270" spans="1:6" x14ac:dyDescent="0.3">
      <c r="A5270" t="s">
        <v>1065</v>
      </c>
      <c r="B5270" t="s">
        <v>1066</v>
      </c>
      <c r="C5270" t="str">
        <f>HYPERLINK("http://service.sap.com/sap/support/notes/1812675","1812675")</f>
        <v>1812675</v>
      </c>
      <c r="D5270">
        <v>2</v>
      </c>
      <c r="E5270" t="s">
        <v>1068</v>
      </c>
      <c r="F5270" t="s">
        <v>9</v>
      </c>
    </row>
    <row r="5271" spans="1:6" x14ac:dyDescent="0.3">
      <c r="A5271" t="s">
        <v>1065</v>
      </c>
      <c r="B5271" t="s">
        <v>1066</v>
      </c>
      <c r="C5271" t="str">
        <f>HYPERLINK("http://service.sap.com/sap/support/notes/1836949","1836949")</f>
        <v>1836949</v>
      </c>
      <c r="D5271">
        <v>2</v>
      </c>
      <c r="E5271" t="s">
        <v>1069</v>
      </c>
      <c r="F5271" t="s">
        <v>9</v>
      </c>
    </row>
    <row r="5272" spans="1:6" x14ac:dyDescent="0.3">
      <c r="A5272" t="s">
        <v>1065</v>
      </c>
      <c r="B5272" t="s">
        <v>1066</v>
      </c>
      <c r="C5272" t="str">
        <f>HYPERLINK("http://service.sap.com/sap/support/notes/1918222","1918222")</f>
        <v>1918222</v>
      </c>
      <c r="D5272">
        <v>2</v>
      </c>
      <c r="E5272" t="s">
        <v>1070</v>
      </c>
      <c r="F5272" t="s">
        <v>9</v>
      </c>
    </row>
    <row r="5273" spans="1:6" x14ac:dyDescent="0.3">
      <c r="A5273" t="s">
        <v>1065</v>
      </c>
      <c r="B5273" t="s">
        <v>1066</v>
      </c>
      <c r="C5273" t="str">
        <f>HYPERLINK("http://service.sap.com/sap/support/notes/1922315","1922315")</f>
        <v>1922315</v>
      </c>
      <c r="D5273">
        <v>1</v>
      </c>
      <c r="E5273" t="s">
        <v>1071</v>
      </c>
      <c r="F5273" t="s">
        <v>9</v>
      </c>
    </row>
    <row r="5274" spans="1:6" x14ac:dyDescent="0.3">
      <c r="A5274" t="s">
        <v>1065</v>
      </c>
      <c r="B5274" t="s">
        <v>1066</v>
      </c>
      <c r="C5274" t="str">
        <f>HYPERLINK("http://service.sap.com/sap/support/notes/1924308","1924308")</f>
        <v>1924308</v>
      </c>
      <c r="D5274">
        <v>1</v>
      </c>
      <c r="E5274" t="s">
        <v>3964</v>
      </c>
      <c r="F5274" t="s">
        <v>9</v>
      </c>
    </row>
    <row r="5275" spans="1:6" x14ac:dyDescent="0.3">
      <c r="A5275" t="s">
        <v>1065</v>
      </c>
      <c r="B5275" t="s">
        <v>1066</v>
      </c>
      <c r="C5275" t="str">
        <f>HYPERLINK("http://service.sap.com/sap/support/notes/1963971","1963971")</f>
        <v>1963971</v>
      </c>
      <c r="D5275">
        <v>3</v>
      </c>
      <c r="E5275" t="s">
        <v>3965</v>
      </c>
      <c r="F5275" t="s">
        <v>9</v>
      </c>
    </row>
    <row r="5276" spans="1:6" x14ac:dyDescent="0.3">
      <c r="A5276" t="s">
        <v>1065</v>
      </c>
      <c r="B5276" t="s">
        <v>1066</v>
      </c>
      <c r="C5276" t="str">
        <f>HYPERLINK("http://service.sap.com/sap/support/notes/1975771","1975771")</f>
        <v>1975771</v>
      </c>
      <c r="D5276">
        <v>5</v>
      </c>
      <c r="E5276" t="s">
        <v>3966</v>
      </c>
      <c r="F5276" t="s">
        <v>9</v>
      </c>
    </row>
    <row r="5277" spans="1:6" x14ac:dyDescent="0.3">
      <c r="A5277" t="s">
        <v>1065</v>
      </c>
      <c r="B5277" t="s">
        <v>1066</v>
      </c>
      <c r="C5277" t="str">
        <f>HYPERLINK("http://service.sap.com/sap/support/notes/1982550","1982550")</f>
        <v>1982550</v>
      </c>
      <c r="D5277">
        <v>2</v>
      </c>
      <c r="E5277" t="s">
        <v>3967</v>
      </c>
      <c r="F5277" t="s">
        <v>9</v>
      </c>
    </row>
    <row r="5278" spans="1:6" x14ac:dyDescent="0.3">
      <c r="A5278" t="s">
        <v>1065</v>
      </c>
      <c r="B5278" t="s">
        <v>1066</v>
      </c>
      <c r="C5278" t="str">
        <f>HYPERLINK("http://service.sap.com/sap/support/notes/1989763","1989763")</f>
        <v>1989763</v>
      </c>
      <c r="D5278">
        <v>2</v>
      </c>
      <c r="E5278" t="s">
        <v>3968</v>
      </c>
      <c r="F5278" t="s">
        <v>9</v>
      </c>
    </row>
    <row r="5279" spans="1:6" x14ac:dyDescent="0.3">
      <c r="A5279" t="s">
        <v>1065</v>
      </c>
      <c r="B5279" t="s">
        <v>1066</v>
      </c>
      <c r="C5279" t="str">
        <f>HYPERLINK("http://service.sap.com/sap/support/notes/1994222","1994222")</f>
        <v>1994222</v>
      </c>
      <c r="D5279">
        <v>2</v>
      </c>
      <c r="E5279" t="s">
        <v>3969</v>
      </c>
      <c r="F5279" t="s">
        <v>16</v>
      </c>
    </row>
    <row r="5280" spans="1:6" x14ac:dyDescent="0.3">
      <c r="A5280" t="s">
        <v>1065</v>
      </c>
      <c r="B5280" t="s">
        <v>1066</v>
      </c>
      <c r="C5280" t="str">
        <f>HYPERLINK("http://service.sap.com/sap/support/notes/2001709","2001709")</f>
        <v>2001709</v>
      </c>
      <c r="D5280">
        <v>1</v>
      </c>
      <c r="E5280" t="s">
        <v>3970</v>
      </c>
      <c r="F5280" t="s">
        <v>9</v>
      </c>
    </row>
    <row r="5281" spans="1:6" x14ac:dyDescent="0.3">
      <c r="A5281" t="s">
        <v>1072</v>
      </c>
      <c r="B5281" t="s">
        <v>1073</v>
      </c>
      <c r="C5281" t="str">
        <f>HYPERLINK("http://service.sap.com/sap/support/notes/1827236","1827236")</f>
        <v>1827236</v>
      </c>
      <c r="D5281">
        <v>2</v>
      </c>
      <c r="E5281" t="s">
        <v>1074</v>
      </c>
      <c r="F5281" t="s">
        <v>9</v>
      </c>
    </row>
    <row r="5282" spans="1:6" x14ac:dyDescent="0.3">
      <c r="A5282" t="s">
        <v>1075</v>
      </c>
      <c r="B5282" t="s">
        <v>1076</v>
      </c>
      <c r="C5282" t="str">
        <f>HYPERLINK("http://service.sap.com/sap/support/notes/1900513","1900513")</f>
        <v>1900513</v>
      </c>
      <c r="D5282">
        <v>3</v>
      </c>
      <c r="E5282" t="s">
        <v>1077</v>
      </c>
      <c r="F5282" t="s">
        <v>9</v>
      </c>
    </row>
    <row r="5283" spans="1:6" x14ac:dyDescent="0.3">
      <c r="A5283" t="s">
        <v>1078</v>
      </c>
      <c r="B5283" t="s">
        <v>981</v>
      </c>
      <c r="C5283" t="str">
        <f>HYPERLINK("http://service.sap.com/sap/support/notes/1861774","1861774")</f>
        <v>1861774</v>
      </c>
      <c r="D5283">
        <v>2</v>
      </c>
      <c r="E5283" t="s">
        <v>1079</v>
      </c>
      <c r="F5283" t="s">
        <v>9</v>
      </c>
    </row>
    <row r="5284" spans="1:6" x14ac:dyDescent="0.3">
      <c r="A5284" t="s">
        <v>1078</v>
      </c>
      <c r="B5284" t="s">
        <v>981</v>
      </c>
      <c r="C5284" t="str">
        <f>HYPERLINK("http://service.sap.com/sap/support/notes/1889740","1889740")</f>
        <v>1889740</v>
      </c>
      <c r="D5284">
        <v>2</v>
      </c>
      <c r="E5284" t="s">
        <v>1080</v>
      </c>
      <c r="F5284" t="s">
        <v>9</v>
      </c>
    </row>
    <row r="5285" spans="1:6" x14ac:dyDescent="0.3">
      <c r="A5285" t="s">
        <v>1078</v>
      </c>
      <c r="B5285" t="s">
        <v>981</v>
      </c>
      <c r="C5285" t="str">
        <f>HYPERLINK("http://service.sap.com/sap/support/notes/1924633","1924633")</f>
        <v>1924633</v>
      </c>
      <c r="D5285">
        <v>2</v>
      </c>
      <c r="E5285" t="s">
        <v>1081</v>
      </c>
      <c r="F5285" t="s">
        <v>9</v>
      </c>
    </row>
    <row r="5286" spans="1:6" x14ac:dyDescent="0.3">
      <c r="A5286" t="s">
        <v>3971</v>
      </c>
      <c r="B5286" t="s">
        <v>3972</v>
      </c>
      <c r="C5286" t="str">
        <f>HYPERLINK("http://service.sap.com/sap/support/notes/1940173","1940173")</f>
        <v>1940173</v>
      </c>
      <c r="D5286">
        <v>2</v>
      </c>
      <c r="E5286" t="s">
        <v>3973</v>
      </c>
      <c r="F5286" t="s">
        <v>9</v>
      </c>
    </row>
    <row r="5287" spans="1:6" x14ac:dyDescent="0.3">
      <c r="A5287" t="s">
        <v>1082</v>
      </c>
      <c r="B5287" t="s">
        <v>1083</v>
      </c>
      <c r="C5287" t="str">
        <f>HYPERLINK("http://service.sap.com/sap/support/notes/1910155","1910155")</f>
        <v>1910155</v>
      </c>
      <c r="D5287">
        <v>1</v>
      </c>
      <c r="E5287" t="s">
        <v>1084</v>
      </c>
      <c r="F5287" t="s">
        <v>9</v>
      </c>
    </row>
    <row r="5288" spans="1:6" x14ac:dyDescent="0.3">
      <c r="A5288" t="s">
        <v>1082</v>
      </c>
      <c r="B5288" t="s">
        <v>1083</v>
      </c>
      <c r="C5288" t="str">
        <f>HYPERLINK("http://service.sap.com/sap/support/notes/1912964","1912964")</f>
        <v>1912964</v>
      </c>
      <c r="D5288">
        <v>2</v>
      </c>
      <c r="E5288" t="s">
        <v>1085</v>
      </c>
      <c r="F5288" t="s">
        <v>9</v>
      </c>
    </row>
    <row r="5289" spans="1:6" x14ac:dyDescent="0.3">
      <c r="A5289" t="s">
        <v>1086</v>
      </c>
      <c r="B5289" t="s">
        <v>1087</v>
      </c>
      <c r="C5289" t="str">
        <f>HYPERLINK("http://service.sap.com/sap/support/notes/1805700","1805700")</f>
        <v>1805700</v>
      </c>
      <c r="D5289">
        <v>3</v>
      </c>
      <c r="E5289" t="s">
        <v>1088</v>
      </c>
      <c r="F5289" t="s">
        <v>9</v>
      </c>
    </row>
    <row r="5290" spans="1:6" x14ac:dyDescent="0.3">
      <c r="A5290" t="s">
        <v>1086</v>
      </c>
      <c r="B5290" t="s">
        <v>1087</v>
      </c>
      <c r="C5290" t="str">
        <f>HYPERLINK("http://service.sap.com/sap/support/notes/1842043","1842043")</f>
        <v>1842043</v>
      </c>
      <c r="D5290">
        <v>2</v>
      </c>
      <c r="E5290" t="s">
        <v>1089</v>
      </c>
      <c r="F5290" t="s">
        <v>9</v>
      </c>
    </row>
    <row r="5291" spans="1:6" x14ac:dyDescent="0.3">
      <c r="A5291" t="s">
        <v>1086</v>
      </c>
      <c r="B5291" t="s">
        <v>1087</v>
      </c>
      <c r="C5291" t="str">
        <f>HYPERLINK("http://service.sap.com/sap/support/notes/1857611","1857611")</f>
        <v>1857611</v>
      </c>
      <c r="D5291">
        <v>3</v>
      </c>
      <c r="E5291" t="s">
        <v>1090</v>
      </c>
      <c r="F5291" t="s">
        <v>28</v>
      </c>
    </row>
    <row r="5292" spans="1:6" x14ac:dyDescent="0.3">
      <c r="A5292" t="s">
        <v>1086</v>
      </c>
      <c r="B5292" t="s">
        <v>1087</v>
      </c>
      <c r="C5292" t="str">
        <f>HYPERLINK("http://service.sap.com/sap/support/notes/1868756","1868756")</f>
        <v>1868756</v>
      </c>
      <c r="D5292">
        <v>1</v>
      </c>
      <c r="E5292" t="s">
        <v>1091</v>
      </c>
      <c r="F5292" t="s">
        <v>16</v>
      </c>
    </row>
    <row r="5293" spans="1:6" x14ac:dyDescent="0.3">
      <c r="A5293" t="s">
        <v>1086</v>
      </c>
      <c r="B5293" t="s">
        <v>1087</v>
      </c>
      <c r="C5293" t="str">
        <f>HYPERLINK("http://service.sap.com/sap/support/notes/1885861","1885861")</f>
        <v>1885861</v>
      </c>
      <c r="D5293">
        <v>1</v>
      </c>
      <c r="E5293" t="s">
        <v>1092</v>
      </c>
      <c r="F5293" t="s">
        <v>9</v>
      </c>
    </row>
    <row r="5294" spans="1:6" x14ac:dyDescent="0.3">
      <c r="A5294" t="s">
        <v>1086</v>
      </c>
      <c r="B5294" t="s">
        <v>1087</v>
      </c>
      <c r="C5294" t="str">
        <f>HYPERLINK("http://service.sap.com/sap/support/notes/1886109","1886109")</f>
        <v>1886109</v>
      </c>
      <c r="D5294">
        <v>2</v>
      </c>
      <c r="E5294" t="s">
        <v>1093</v>
      </c>
      <c r="F5294" t="s">
        <v>9</v>
      </c>
    </row>
    <row r="5295" spans="1:6" x14ac:dyDescent="0.3">
      <c r="A5295" t="s">
        <v>1086</v>
      </c>
      <c r="B5295" t="s">
        <v>1087</v>
      </c>
      <c r="C5295" t="str">
        <f>HYPERLINK("http://service.sap.com/sap/support/notes/1887218","1887218")</f>
        <v>1887218</v>
      </c>
      <c r="D5295">
        <v>2</v>
      </c>
      <c r="E5295" t="s">
        <v>1094</v>
      </c>
      <c r="F5295" t="s">
        <v>9</v>
      </c>
    </row>
    <row r="5296" spans="1:6" x14ac:dyDescent="0.3">
      <c r="A5296" t="s">
        <v>1086</v>
      </c>
      <c r="B5296" t="s">
        <v>1087</v>
      </c>
      <c r="C5296" t="str">
        <f>HYPERLINK("http://service.sap.com/sap/support/notes/1892842","1892842")</f>
        <v>1892842</v>
      </c>
      <c r="D5296">
        <v>5</v>
      </c>
      <c r="E5296" t="s">
        <v>1095</v>
      </c>
      <c r="F5296" t="s">
        <v>9</v>
      </c>
    </row>
    <row r="5297" spans="1:6" x14ac:dyDescent="0.3">
      <c r="A5297" t="s">
        <v>1086</v>
      </c>
      <c r="B5297" t="s">
        <v>1087</v>
      </c>
      <c r="C5297" t="str">
        <f>HYPERLINK("http://service.sap.com/sap/support/notes/1902438","1902438")</f>
        <v>1902438</v>
      </c>
      <c r="D5297">
        <v>3</v>
      </c>
      <c r="E5297" t="s">
        <v>1090</v>
      </c>
      <c r="F5297" t="s">
        <v>9</v>
      </c>
    </row>
    <row r="5298" spans="1:6" x14ac:dyDescent="0.3">
      <c r="A5298" t="s">
        <v>1086</v>
      </c>
      <c r="B5298" t="s">
        <v>1087</v>
      </c>
      <c r="C5298" t="str">
        <f>HYPERLINK("http://service.sap.com/sap/support/notes/1902456","1902456")</f>
        <v>1902456</v>
      </c>
      <c r="D5298">
        <v>3</v>
      </c>
      <c r="E5298" t="s">
        <v>1096</v>
      </c>
      <c r="F5298" t="s">
        <v>9</v>
      </c>
    </row>
    <row r="5299" spans="1:6" x14ac:dyDescent="0.3">
      <c r="A5299" t="s">
        <v>1086</v>
      </c>
      <c r="B5299" t="s">
        <v>1087</v>
      </c>
      <c r="C5299" t="str">
        <f>HYPERLINK("http://service.sap.com/sap/support/notes/1905906","1905906")</f>
        <v>1905906</v>
      </c>
      <c r="D5299">
        <v>2</v>
      </c>
      <c r="E5299" t="s">
        <v>1097</v>
      </c>
      <c r="F5299" t="s">
        <v>9</v>
      </c>
    </row>
    <row r="5300" spans="1:6" x14ac:dyDescent="0.3">
      <c r="A5300" t="s">
        <v>1086</v>
      </c>
      <c r="B5300" t="s">
        <v>1087</v>
      </c>
      <c r="C5300" t="str">
        <f>HYPERLINK("http://service.sap.com/sap/support/notes/1772137","1772137")</f>
        <v>1772137</v>
      </c>
      <c r="D5300">
        <v>2</v>
      </c>
      <c r="E5300" t="s">
        <v>3974</v>
      </c>
      <c r="F5300" t="s">
        <v>16</v>
      </c>
    </row>
    <row r="5301" spans="1:6" x14ac:dyDescent="0.3">
      <c r="A5301" t="s">
        <v>1086</v>
      </c>
      <c r="B5301" t="s">
        <v>1087</v>
      </c>
      <c r="C5301" t="str">
        <f>HYPERLINK("http://service.sap.com/sap/support/notes/1916543","1916543")</f>
        <v>1916543</v>
      </c>
      <c r="D5301">
        <v>3</v>
      </c>
      <c r="E5301" t="s">
        <v>3975</v>
      </c>
      <c r="F5301" t="s">
        <v>9</v>
      </c>
    </row>
    <row r="5302" spans="1:6" x14ac:dyDescent="0.3">
      <c r="A5302" t="s">
        <v>1086</v>
      </c>
      <c r="B5302" t="s">
        <v>1087</v>
      </c>
      <c r="C5302" t="str">
        <f>HYPERLINK("http://service.sap.com/sap/support/notes/1952925","1952925")</f>
        <v>1952925</v>
      </c>
      <c r="D5302">
        <v>3</v>
      </c>
      <c r="E5302" t="s">
        <v>3976</v>
      </c>
      <c r="F5302" t="s">
        <v>16</v>
      </c>
    </row>
    <row r="5303" spans="1:6" x14ac:dyDescent="0.3">
      <c r="A5303" t="s">
        <v>1086</v>
      </c>
      <c r="B5303" t="s">
        <v>1087</v>
      </c>
      <c r="C5303" t="str">
        <f>HYPERLINK("http://service.sap.com/sap/support/notes/1961182","1961182")</f>
        <v>1961182</v>
      </c>
      <c r="D5303">
        <v>7</v>
      </c>
      <c r="E5303" t="s">
        <v>3977</v>
      </c>
      <c r="F5303" t="s">
        <v>9</v>
      </c>
    </row>
    <row r="5304" spans="1:6" x14ac:dyDescent="0.3">
      <c r="A5304" t="s">
        <v>1086</v>
      </c>
      <c r="B5304" t="s">
        <v>1087</v>
      </c>
      <c r="C5304" t="str">
        <f>HYPERLINK("http://service.sap.com/sap/support/notes/1962840","1962840")</f>
        <v>1962840</v>
      </c>
      <c r="D5304">
        <v>1</v>
      </c>
      <c r="E5304" t="s">
        <v>3978</v>
      </c>
      <c r="F5304" t="s">
        <v>9</v>
      </c>
    </row>
    <row r="5305" spans="1:6" x14ac:dyDescent="0.3">
      <c r="A5305" t="s">
        <v>1086</v>
      </c>
      <c r="B5305" t="s">
        <v>1087</v>
      </c>
      <c r="C5305" t="str">
        <f>HYPERLINK("http://service.sap.com/sap/support/notes/1963560","1963560")</f>
        <v>1963560</v>
      </c>
      <c r="D5305">
        <v>3</v>
      </c>
      <c r="E5305" t="s">
        <v>3979</v>
      </c>
      <c r="F5305" t="s">
        <v>9</v>
      </c>
    </row>
    <row r="5306" spans="1:6" x14ac:dyDescent="0.3">
      <c r="A5306" t="s">
        <v>1086</v>
      </c>
      <c r="B5306" t="s">
        <v>1087</v>
      </c>
      <c r="C5306" t="str">
        <f>HYPERLINK("http://service.sap.com/sap/support/notes/1966068","1966068")</f>
        <v>1966068</v>
      </c>
      <c r="D5306">
        <v>2</v>
      </c>
      <c r="E5306" t="s">
        <v>3980</v>
      </c>
      <c r="F5306" t="s">
        <v>9</v>
      </c>
    </row>
    <row r="5307" spans="1:6" x14ac:dyDescent="0.3">
      <c r="A5307" t="s">
        <v>1086</v>
      </c>
      <c r="B5307" t="s">
        <v>1087</v>
      </c>
      <c r="C5307" t="str">
        <f>HYPERLINK("http://service.sap.com/sap/support/notes/1974893","1974893")</f>
        <v>1974893</v>
      </c>
      <c r="D5307">
        <v>2</v>
      </c>
      <c r="E5307" t="s">
        <v>3981</v>
      </c>
      <c r="F5307" t="s">
        <v>9</v>
      </c>
    </row>
    <row r="5308" spans="1:6" x14ac:dyDescent="0.3">
      <c r="A5308" t="s">
        <v>1086</v>
      </c>
      <c r="B5308" t="s">
        <v>1087</v>
      </c>
      <c r="C5308" t="str">
        <f>HYPERLINK("http://service.sap.com/sap/support/notes/1978842","1978842")</f>
        <v>1978842</v>
      </c>
      <c r="D5308">
        <v>1</v>
      </c>
      <c r="E5308" t="s">
        <v>3982</v>
      </c>
      <c r="F5308" t="s">
        <v>9</v>
      </c>
    </row>
    <row r="5309" spans="1:6" x14ac:dyDescent="0.3">
      <c r="A5309" t="s">
        <v>1086</v>
      </c>
      <c r="B5309" t="s">
        <v>1087</v>
      </c>
      <c r="C5309" t="str">
        <f>HYPERLINK("http://service.sap.com/sap/support/notes/1985594","1985594")</f>
        <v>1985594</v>
      </c>
      <c r="D5309">
        <v>2</v>
      </c>
      <c r="E5309" t="s">
        <v>3983</v>
      </c>
      <c r="F5309" t="s">
        <v>9</v>
      </c>
    </row>
    <row r="5310" spans="1:6" x14ac:dyDescent="0.3">
      <c r="A5310" t="s">
        <v>1098</v>
      </c>
      <c r="B5310" t="s">
        <v>1099</v>
      </c>
      <c r="C5310" t="str">
        <f>HYPERLINK("http://service.sap.com/sap/support/notes/1931846","1931846")</f>
        <v>1931846</v>
      </c>
      <c r="D5310">
        <v>1</v>
      </c>
      <c r="E5310" t="s">
        <v>1100</v>
      </c>
      <c r="F5310" t="s">
        <v>9</v>
      </c>
    </row>
    <row r="5311" spans="1:6" x14ac:dyDescent="0.3">
      <c r="A5311" t="s">
        <v>1098</v>
      </c>
      <c r="B5311" t="s">
        <v>2786</v>
      </c>
      <c r="C5311" t="str">
        <f>HYPERLINK("http://service.sap.com/sap/support/notes/1970895","1970895")</f>
        <v>1970895</v>
      </c>
      <c r="D5311">
        <v>1</v>
      </c>
      <c r="E5311" t="s">
        <v>2787</v>
      </c>
      <c r="F5311" t="s">
        <v>9</v>
      </c>
    </row>
    <row r="5312" spans="1:6" x14ac:dyDescent="0.3">
      <c r="A5312" t="s">
        <v>1101</v>
      </c>
      <c r="B5312" t="s">
        <v>1102</v>
      </c>
      <c r="C5312" t="str">
        <f>HYPERLINK("http://service.sap.com/sap/support/notes/1728275","1728275")</f>
        <v>1728275</v>
      </c>
      <c r="D5312">
        <v>1</v>
      </c>
      <c r="E5312" t="s">
        <v>1103</v>
      </c>
      <c r="F5312" t="s">
        <v>16</v>
      </c>
    </row>
    <row r="5313" spans="1:6" x14ac:dyDescent="0.3">
      <c r="A5313" t="s">
        <v>1101</v>
      </c>
      <c r="B5313" t="s">
        <v>1102</v>
      </c>
      <c r="C5313" t="str">
        <f>HYPERLINK("http://service.sap.com/sap/support/notes/1855184","1855184")</f>
        <v>1855184</v>
      </c>
      <c r="D5313">
        <v>2</v>
      </c>
      <c r="E5313" t="s">
        <v>1104</v>
      </c>
      <c r="F5313" t="s">
        <v>16</v>
      </c>
    </row>
    <row r="5314" spans="1:6" x14ac:dyDescent="0.3">
      <c r="A5314" t="s">
        <v>1101</v>
      </c>
      <c r="B5314" t="s">
        <v>1102</v>
      </c>
      <c r="C5314" t="str">
        <f>HYPERLINK("http://service.sap.com/sap/support/notes/1857619","1857619")</f>
        <v>1857619</v>
      </c>
      <c r="D5314">
        <v>6</v>
      </c>
      <c r="E5314" t="s">
        <v>1105</v>
      </c>
      <c r="F5314" t="s">
        <v>9</v>
      </c>
    </row>
    <row r="5315" spans="1:6" x14ac:dyDescent="0.3">
      <c r="A5315" t="s">
        <v>1101</v>
      </c>
      <c r="B5315" t="s">
        <v>1102</v>
      </c>
      <c r="C5315" t="str">
        <f>HYPERLINK("http://service.sap.com/sap/support/notes/1874421","1874421")</f>
        <v>1874421</v>
      </c>
      <c r="D5315">
        <v>4</v>
      </c>
      <c r="E5315" t="s">
        <v>1106</v>
      </c>
      <c r="F5315" t="s">
        <v>9</v>
      </c>
    </row>
    <row r="5316" spans="1:6" x14ac:dyDescent="0.3">
      <c r="A5316" t="s">
        <v>1101</v>
      </c>
      <c r="B5316" t="s">
        <v>1102</v>
      </c>
      <c r="C5316" t="str">
        <f>HYPERLINK("http://service.sap.com/sap/support/notes/1886150","1886150")</f>
        <v>1886150</v>
      </c>
      <c r="D5316">
        <v>2</v>
      </c>
      <c r="E5316" t="s">
        <v>1107</v>
      </c>
      <c r="F5316" t="s">
        <v>9</v>
      </c>
    </row>
    <row r="5317" spans="1:6" x14ac:dyDescent="0.3">
      <c r="A5317" t="s">
        <v>1101</v>
      </c>
      <c r="B5317" t="s">
        <v>1102</v>
      </c>
      <c r="C5317" t="str">
        <f>HYPERLINK("http://service.sap.com/sap/support/notes/1887545","1887545")</f>
        <v>1887545</v>
      </c>
      <c r="D5317">
        <v>1</v>
      </c>
      <c r="E5317" t="s">
        <v>1108</v>
      </c>
      <c r="F5317" t="s">
        <v>9</v>
      </c>
    </row>
    <row r="5318" spans="1:6" x14ac:dyDescent="0.3">
      <c r="A5318" t="s">
        <v>1101</v>
      </c>
      <c r="B5318" t="s">
        <v>1102</v>
      </c>
      <c r="C5318" t="str">
        <f>HYPERLINK("http://service.sap.com/sap/support/notes/1895410","1895410")</f>
        <v>1895410</v>
      </c>
      <c r="D5318">
        <v>2</v>
      </c>
      <c r="E5318" t="s">
        <v>1109</v>
      </c>
      <c r="F5318" t="s">
        <v>16</v>
      </c>
    </row>
    <row r="5319" spans="1:6" x14ac:dyDescent="0.3">
      <c r="A5319" t="s">
        <v>1101</v>
      </c>
      <c r="B5319" t="s">
        <v>1102</v>
      </c>
      <c r="C5319" t="str">
        <f>HYPERLINK("http://service.sap.com/sap/support/notes/1909319","1909319")</f>
        <v>1909319</v>
      </c>
      <c r="D5319">
        <v>1</v>
      </c>
      <c r="E5319" t="s">
        <v>1110</v>
      </c>
      <c r="F5319" t="s">
        <v>16</v>
      </c>
    </row>
    <row r="5320" spans="1:6" x14ac:dyDescent="0.3">
      <c r="A5320" t="s">
        <v>1101</v>
      </c>
      <c r="B5320" t="s">
        <v>1102</v>
      </c>
      <c r="C5320" t="str">
        <f>HYPERLINK("http://service.sap.com/sap/support/notes/1912780","1912780")</f>
        <v>1912780</v>
      </c>
      <c r="D5320">
        <v>2</v>
      </c>
      <c r="E5320" t="s">
        <v>1111</v>
      </c>
      <c r="F5320" t="s">
        <v>9</v>
      </c>
    </row>
    <row r="5321" spans="1:6" x14ac:dyDescent="0.3">
      <c r="A5321" t="s">
        <v>1101</v>
      </c>
      <c r="B5321" t="s">
        <v>1102</v>
      </c>
      <c r="C5321" t="str">
        <f>HYPERLINK("http://service.sap.com/sap/support/notes/1918321","1918321")</f>
        <v>1918321</v>
      </c>
      <c r="D5321">
        <v>1</v>
      </c>
      <c r="E5321" t="s">
        <v>1112</v>
      </c>
      <c r="F5321" t="s">
        <v>16</v>
      </c>
    </row>
    <row r="5322" spans="1:6" x14ac:dyDescent="0.3">
      <c r="A5322" t="s">
        <v>1101</v>
      </c>
      <c r="B5322" t="s">
        <v>1102</v>
      </c>
      <c r="C5322" t="str">
        <f>HYPERLINK("http://service.sap.com/sap/support/notes/1922035","1922035")</f>
        <v>1922035</v>
      </c>
      <c r="D5322">
        <v>3</v>
      </c>
      <c r="E5322" t="s">
        <v>1113</v>
      </c>
      <c r="F5322" t="s">
        <v>16</v>
      </c>
    </row>
    <row r="5323" spans="1:6" x14ac:dyDescent="0.3">
      <c r="A5323" t="s">
        <v>1101</v>
      </c>
      <c r="B5323" t="s">
        <v>1102</v>
      </c>
      <c r="C5323" t="str">
        <f>HYPERLINK("http://service.sap.com/sap/support/notes/1922502","1922502")</f>
        <v>1922502</v>
      </c>
      <c r="D5323">
        <v>2</v>
      </c>
      <c r="E5323" t="s">
        <v>1114</v>
      </c>
      <c r="F5323" t="s">
        <v>9</v>
      </c>
    </row>
    <row r="5324" spans="1:6" x14ac:dyDescent="0.3">
      <c r="A5324" t="s">
        <v>1101</v>
      </c>
      <c r="B5324" t="s">
        <v>1102</v>
      </c>
      <c r="C5324" t="str">
        <f>HYPERLINK("http://service.sap.com/sap/support/notes/1925180","1925180")</f>
        <v>1925180</v>
      </c>
      <c r="D5324">
        <v>2</v>
      </c>
      <c r="E5324" t="s">
        <v>1115</v>
      </c>
      <c r="F5324" t="s">
        <v>9</v>
      </c>
    </row>
    <row r="5325" spans="1:6" x14ac:dyDescent="0.3">
      <c r="A5325" t="s">
        <v>1101</v>
      </c>
      <c r="B5325" t="s">
        <v>2372</v>
      </c>
      <c r="C5325" t="str">
        <f>HYPERLINK("http://service.sap.com/sap/support/notes/1961529","1961529")</f>
        <v>1961529</v>
      </c>
      <c r="D5325">
        <v>1</v>
      </c>
      <c r="E5325" t="s">
        <v>2373</v>
      </c>
      <c r="F5325" t="s">
        <v>9</v>
      </c>
    </row>
    <row r="5326" spans="1:6" x14ac:dyDescent="0.3">
      <c r="A5326" t="s">
        <v>1101</v>
      </c>
      <c r="B5326" t="s">
        <v>1102</v>
      </c>
      <c r="C5326" t="str">
        <f>HYPERLINK("http://service.sap.com/sap/support/notes/1786721","1786721")</f>
        <v>1786721</v>
      </c>
      <c r="D5326">
        <v>2</v>
      </c>
      <c r="E5326" t="s">
        <v>3984</v>
      </c>
      <c r="F5326" t="s">
        <v>9</v>
      </c>
    </row>
    <row r="5327" spans="1:6" x14ac:dyDescent="0.3">
      <c r="A5327" t="s">
        <v>1101</v>
      </c>
      <c r="B5327" t="s">
        <v>1102</v>
      </c>
      <c r="C5327" t="str">
        <f>HYPERLINK("http://service.sap.com/sap/support/notes/1942916","1942916")</f>
        <v>1942916</v>
      </c>
      <c r="D5327">
        <v>3</v>
      </c>
      <c r="E5327" t="s">
        <v>3985</v>
      </c>
      <c r="F5327" t="s">
        <v>9</v>
      </c>
    </row>
    <row r="5328" spans="1:6" x14ac:dyDescent="0.3">
      <c r="A5328" t="s">
        <v>1101</v>
      </c>
      <c r="B5328" t="s">
        <v>1102</v>
      </c>
      <c r="C5328" t="str">
        <f>HYPERLINK("http://service.sap.com/sap/support/notes/1950094","1950094")</f>
        <v>1950094</v>
      </c>
      <c r="D5328">
        <v>1</v>
      </c>
      <c r="E5328" t="s">
        <v>3986</v>
      </c>
      <c r="F5328" t="s">
        <v>16</v>
      </c>
    </row>
    <row r="5329" spans="1:6" x14ac:dyDescent="0.3">
      <c r="A5329" t="s">
        <v>1101</v>
      </c>
      <c r="B5329" t="s">
        <v>1102</v>
      </c>
      <c r="C5329" t="str">
        <f>HYPERLINK("http://service.sap.com/sap/support/notes/1966723","1966723")</f>
        <v>1966723</v>
      </c>
      <c r="D5329">
        <v>1</v>
      </c>
      <c r="E5329" t="s">
        <v>3987</v>
      </c>
      <c r="F5329" t="s">
        <v>9</v>
      </c>
    </row>
    <row r="5330" spans="1:6" x14ac:dyDescent="0.3">
      <c r="A5330" t="s">
        <v>1101</v>
      </c>
      <c r="B5330" t="s">
        <v>1102</v>
      </c>
      <c r="C5330" t="str">
        <f>HYPERLINK("http://service.sap.com/sap/support/notes/1998172","1998172")</f>
        <v>1998172</v>
      </c>
      <c r="D5330">
        <v>1</v>
      </c>
      <c r="E5330" t="s">
        <v>3988</v>
      </c>
      <c r="F5330" t="s">
        <v>9</v>
      </c>
    </row>
    <row r="5331" spans="1:6" x14ac:dyDescent="0.3">
      <c r="A5331" t="s">
        <v>1101</v>
      </c>
      <c r="B5331" t="s">
        <v>1102</v>
      </c>
      <c r="C5331" t="str">
        <f>HYPERLINK("http://service.sap.com/sap/support/notes/1998513","1998513")</f>
        <v>1998513</v>
      </c>
      <c r="D5331">
        <v>1</v>
      </c>
      <c r="E5331" t="s">
        <v>3989</v>
      </c>
      <c r="F5331" t="s">
        <v>16</v>
      </c>
    </row>
    <row r="5332" spans="1:6" x14ac:dyDescent="0.3">
      <c r="A5332" t="s">
        <v>1101</v>
      </c>
      <c r="B5332" t="s">
        <v>1102</v>
      </c>
      <c r="C5332" t="str">
        <f>HYPERLINK("http://service.sap.com/sap/support/notes/1998741","1998741")</f>
        <v>1998741</v>
      </c>
      <c r="D5332">
        <v>1</v>
      </c>
      <c r="E5332" t="s">
        <v>3990</v>
      </c>
      <c r="F5332" t="s">
        <v>9</v>
      </c>
    </row>
    <row r="5333" spans="1:6" x14ac:dyDescent="0.3">
      <c r="A5333" t="s">
        <v>1101</v>
      </c>
      <c r="B5333" t="s">
        <v>1102</v>
      </c>
      <c r="C5333" t="str">
        <f>HYPERLINK("http://service.sap.com/sap/support/notes/1999284","1999284")</f>
        <v>1999284</v>
      </c>
      <c r="D5333">
        <v>1</v>
      </c>
      <c r="E5333" t="s">
        <v>3991</v>
      </c>
      <c r="F5333" t="s">
        <v>9</v>
      </c>
    </row>
    <row r="5334" spans="1:6" x14ac:dyDescent="0.3">
      <c r="A5334" t="s">
        <v>1101</v>
      </c>
      <c r="B5334" t="s">
        <v>1102</v>
      </c>
      <c r="C5334" t="str">
        <f>HYPERLINK("http://service.sap.com/sap/support/notes/2003909","2003909")</f>
        <v>2003909</v>
      </c>
      <c r="D5334">
        <v>3</v>
      </c>
      <c r="E5334" t="s">
        <v>3992</v>
      </c>
      <c r="F5334" t="s">
        <v>9</v>
      </c>
    </row>
    <row r="5335" spans="1:6" x14ac:dyDescent="0.3">
      <c r="A5335" t="s">
        <v>1101</v>
      </c>
      <c r="B5335" t="s">
        <v>1102</v>
      </c>
      <c r="C5335" t="str">
        <f>HYPERLINK("http://service.sap.com/sap/support/notes/2004077","2004077")</f>
        <v>2004077</v>
      </c>
      <c r="D5335">
        <v>1</v>
      </c>
      <c r="E5335" t="s">
        <v>3993</v>
      </c>
      <c r="F5335" t="s">
        <v>9</v>
      </c>
    </row>
    <row r="5336" spans="1:6" x14ac:dyDescent="0.3">
      <c r="A5336" t="s">
        <v>1101</v>
      </c>
      <c r="B5336" t="s">
        <v>1102</v>
      </c>
      <c r="C5336" t="str">
        <f>HYPERLINK("http://service.sap.com/sap/support/notes/2006722","2006722")</f>
        <v>2006722</v>
      </c>
      <c r="D5336">
        <v>1</v>
      </c>
      <c r="E5336" t="s">
        <v>3994</v>
      </c>
      <c r="F5336" t="s">
        <v>9</v>
      </c>
    </row>
    <row r="5337" spans="1:6" x14ac:dyDescent="0.3">
      <c r="A5337" t="s">
        <v>1101</v>
      </c>
      <c r="B5337" t="s">
        <v>2372</v>
      </c>
      <c r="C5337" t="str">
        <f>HYPERLINK("http://service.sap.com/sap/support/notes/1998741","1998741")</f>
        <v>1998741</v>
      </c>
      <c r="D5337">
        <v>1</v>
      </c>
      <c r="E5337" t="s">
        <v>3990</v>
      </c>
      <c r="F5337" t="s">
        <v>9</v>
      </c>
    </row>
    <row r="5338" spans="1:6" x14ac:dyDescent="0.3">
      <c r="A5338" t="s">
        <v>1101</v>
      </c>
      <c r="B5338" t="s">
        <v>2372</v>
      </c>
      <c r="C5338" t="str">
        <f>HYPERLINK("http://service.sap.com/sap/support/notes/2019188","2019188")</f>
        <v>2019188</v>
      </c>
      <c r="D5338">
        <v>1</v>
      </c>
      <c r="E5338" t="s">
        <v>4372</v>
      </c>
      <c r="F5338" t="s">
        <v>9</v>
      </c>
    </row>
    <row r="5339" spans="1:6" x14ac:dyDescent="0.3">
      <c r="A5339" t="s">
        <v>1101</v>
      </c>
      <c r="B5339" t="s">
        <v>2372</v>
      </c>
      <c r="C5339" t="str">
        <f>HYPERLINK("http://service.sap.com/sap/support/notes/2061882","2061882")</f>
        <v>2061882</v>
      </c>
      <c r="D5339">
        <v>1</v>
      </c>
      <c r="E5339" t="s">
        <v>5709</v>
      </c>
      <c r="F5339" t="s">
        <v>28</v>
      </c>
    </row>
    <row r="5340" spans="1:6" x14ac:dyDescent="0.3">
      <c r="A5340" t="s">
        <v>1116</v>
      </c>
      <c r="B5340" t="s">
        <v>315</v>
      </c>
      <c r="C5340" t="str">
        <f>HYPERLINK("http://service.sap.com/sap/support/notes/1833811","1833811")</f>
        <v>1833811</v>
      </c>
      <c r="D5340">
        <v>4</v>
      </c>
      <c r="E5340" t="s">
        <v>1117</v>
      </c>
      <c r="F5340" t="s">
        <v>16</v>
      </c>
    </row>
    <row r="5341" spans="1:6" x14ac:dyDescent="0.3">
      <c r="A5341" t="s">
        <v>1116</v>
      </c>
      <c r="B5341" t="s">
        <v>315</v>
      </c>
      <c r="C5341" t="str">
        <f>HYPERLINK("http://service.sap.com/sap/support/notes/1871894","1871894")</f>
        <v>1871894</v>
      </c>
      <c r="D5341">
        <v>2</v>
      </c>
      <c r="E5341" t="s">
        <v>1118</v>
      </c>
      <c r="F5341" t="s">
        <v>16</v>
      </c>
    </row>
    <row r="5342" spans="1:6" x14ac:dyDescent="0.3">
      <c r="A5342" t="s">
        <v>1116</v>
      </c>
      <c r="B5342" t="s">
        <v>315</v>
      </c>
      <c r="C5342" t="str">
        <f>HYPERLINK("http://service.sap.com/sap/support/notes/1881906","1881906")</f>
        <v>1881906</v>
      </c>
      <c r="D5342">
        <v>1</v>
      </c>
      <c r="E5342" t="s">
        <v>1119</v>
      </c>
      <c r="F5342" t="s">
        <v>9</v>
      </c>
    </row>
    <row r="5343" spans="1:6" x14ac:dyDescent="0.3">
      <c r="A5343" t="s">
        <v>1116</v>
      </c>
      <c r="B5343" t="s">
        <v>315</v>
      </c>
      <c r="C5343" t="str">
        <f>HYPERLINK("http://service.sap.com/sap/support/notes/1905074","1905074")</f>
        <v>1905074</v>
      </c>
      <c r="D5343">
        <v>1</v>
      </c>
      <c r="E5343" t="s">
        <v>1120</v>
      </c>
      <c r="F5343" t="s">
        <v>9</v>
      </c>
    </row>
    <row r="5344" spans="1:6" x14ac:dyDescent="0.3">
      <c r="A5344" t="s">
        <v>1116</v>
      </c>
      <c r="B5344" t="s">
        <v>315</v>
      </c>
      <c r="C5344" t="str">
        <f>HYPERLINK("http://service.sap.com/sap/support/notes/1923261","1923261")</f>
        <v>1923261</v>
      </c>
      <c r="D5344">
        <v>1</v>
      </c>
      <c r="E5344" t="s">
        <v>1121</v>
      </c>
      <c r="F5344" t="s">
        <v>9</v>
      </c>
    </row>
    <row r="5345" spans="1:6" x14ac:dyDescent="0.3">
      <c r="A5345" t="s">
        <v>1116</v>
      </c>
      <c r="B5345" t="s">
        <v>315</v>
      </c>
      <c r="C5345" t="str">
        <f>HYPERLINK("http://service.sap.com/sap/support/notes/1925709","1925709")</f>
        <v>1925709</v>
      </c>
      <c r="D5345">
        <v>1</v>
      </c>
      <c r="E5345" t="s">
        <v>1122</v>
      </c>
      <c r="F5345" t="s">
        <v>16</v>
      </c>
    </row>
    <row r="5346" spans="1:6" x14ac:dyDescent="0.3">
      <c r="A5346" t="s">
        <v>1116</v>
      </c>
      <c r="B5346" t="s">
        <v>315</v>
      </c>
      <c r="C5346" t="str">
        <f>HYPERLINK("http://service.sap.com/sap/support/notes/1763994","1763994")</f>
        <v>1763994</v>
      </c>
      <c r="D5346">
        <v>2</v>
      </c>
      <c r="E5346" t="s">
        <v>3995</v>
      </c>
      <c r="F5346" t="s">
        <v>16</v>
      </c>
    </row>
    <row r="5347" spans="1:6" x14ac:dyDescent="0.3">
      <c r="A5347" t="s">
        <v>1116</v>
      </c>
      <c r="B5347" t="s">
        <v>315</v>
      </c>
      <c r="C5347" t="str">
        <f>HYPERLINK("http://service.sap.com/sap/support/notes/1769834","1769834")</f>
        <v>1769834</v>
      </c>
      <c r="D5347">
        <v>1</v>
      </c>
      <c r="E5347" t="s">
        <v>3996</v>
      </c>
      <c r="F5347" t="s">
        <v>9</v>
      </c>
    </row>
    <row r="5348" spans="1:6" x14ac:dyDescent="0.3">
      <c r="A5348" t="s">
        <v>1116</v>
      </c>
      <c r="B5348" t="s">
        <v>315</v>
      </c>
      <c r="C5348" t="str">
        <f>HYPERLINK("http://service.sap.com/sap/support/notes/1918020","1918020")</f>
        <v>1918020</v>
      </c>
      <c r="D5348">
        <v>2</v>
      </c>
      <c r="E5348" t="s">
        <v>3997</v>
      </c>
      <c r="F5348" t="s">
        <v>16</v>
      </c>
    </row>
    <row r="5349" spans="1:6" x14ac:dyDescent="0.3">
      <c r="A5349" t="s">
        <v>1116</v>
      </c>
      <c r="B5349" t="s">
        <v>315</v>
      </c>
      <c r="C5349" t="str">
        <f>HYPERLINK("http://service.sap.com/sap/support/notes/1932457","1932457")</f>
        <v>1932457</v>
      </c>
      <c r="D5349">
        <v>11</v>
      </c>
      <c r="E5349" t="s">
        <v>3998</v>
      </c>
      <c r="F5349" t="s">
        <v>9</v>
      </c>
    </row>
    <row r="5350" spans="1:6" x14ac:dyDescent="0.3">
      <c r="A5350" t="s">
        <v>1116</v>
      </c>
      <c r="B5350" t="s">
        <v>315</v>
      </c>
      <c r="C5350" t="str">
        <f>HYPERLINK("http://service.sap.com/sap/support/notes/1941080","1941080")</f>
        <v>1941080</v>
      </c>
      <c r="D5350">
        <v>1</v>
      </c>
      <c r="E5350" t="s">
        <v>3999</v>
      </c>
      <c r="F5350" t="s">
        <v>9</v>
      </c>
    </row>
    <row r="5351" spans="1:6" x14ac:dyDescent="0.3">
      <c r="A5351" t="s">
        <v>1116</v>
      </c>
      <c r="B5351" t="s">
        <v>315</v>
      </c>
      <c r="C5351" t="str">
        <f>HYPERLINK("http://service.sap.com/sap/support/notes/1941377","1941377")</f>
        <v>1941377</v>
      </c>
      <c r="D5351">
        <v>3</v>
      </c>
      <c r="E5351" t="s">
        <v>4000</v>
      </c>
      <c r="F5351" t="s">
        <v>9</v>
      </c>
    </row>
    <row r="5352" spans="1:6" x14ac:dyDescent="0.3">
      <c r="A5352" t="s">
        <v>1116</v>
      </c>
      <c r="B5352" t="s">
        <v>315</v>
      </c>
      <c r="C5352" t="str">
        <f>HYPERLINK("http://service.sap.com/sap/support/notes/1954189","1954189")</f>
        <v>1954189</v>
      </c>
      <c r="D5352">
        <v>1</v>
      </c>
      <c r="E5352" t="s">
        <v>4001</v>
      </c>
      <c r="F5352" t="s">
        <v>9</v>
      </c>
    </row>
    <row r="5353" spans="1:6" x14ac:dyDescent="0.3">
      <c r="A5353" t="s">
        <v>1116</v>
      </c>
      <c r="B5353" t="s">
        <v>315</v>
      </c>
      <c r="C5353" t="str">
        <f>HYPERLINK("http://service.sap.com/sap/support/notes/1971628","1971628")</f>
        <v>1971628</v>
      </c>
      <c r="D5353">
        <v>2</v>
      </c>
      <c r="E5353" t="s">
        <v>4002</v>
      </c>
      <c r="F5353" t="s">
        <v>28</v>
      </c>
    </row>
    <row r="5354" spans="1:6" x14ac:dyDescent="0.3">
      <c r="A5354" t="s">
        <v>1116</v>
      </c>
      <c r="B5354" t="s">
        <v>315</v>
      </c>
      <c r="C5354" t="str">
        <f>HYPERLINK("http://service.sap.com/sap/support/notes/1978963","1978963")</f>
        <v>1978963</v>
      </c>
      <c r="D5354">
        <v>5</v>
      </c>
      <c r="E5354" t="s">
        <v>4003</v>
      </c>
      <c r="F5354" t="s">
        <v>28</v>
      </c>
    </row>
    <row r="5355" spans="1:6" x14ac:dyDescent="0.3">
      <c r="A5355" t="s">
        <v>1116</v>
      </c>
      <c r="B5355" t="s">
        <v>315</v>
      </c>
      <c r="C5355" t="str">
        <f>HYPERLINK("http://service.sap.com/sap/support/notes/1978966","1978966")</f>
        <v>1978966</v>
      </c>
      <c r="D5355">
        <v>1</v>
      </c>
      <c r="E5355" t="s">
        <v>4004</v>
      </c>
      <c r="F5355" t="s">
        <v>9</v>
      </c>
    </row>
    <row r="5356" spans="1:6" x14ac:dyDescent="0.3">
      <c r="A5356" t="s">
        <v>1116</v>
      </c>
      <c r="B5356" t="s">
        <v>315</v>
      </c>
      <c r="C5356" t="str">
        <f>HYPERLINK("http://service.sap.com/sap/support/notes/1979573","1979573")</f>
        <v>1979573</v>
      </c>
      <c r="D5356">
        <v>2</v>
      </c>
      <c r="E5356" t="s">
        <v>4005</v>
      </c>
      <c r="F5356" t="s">
        <v>9</v>
      </c>
    </row>
    <row r="5357" spans="1:6" x14ac:dyDescent="0.3">
      <c r="A5357" t="s">
        <v>1116</v>
      </c>
      <c r="B5357" t="s">
        <v>315</v>
      </c>
      <c r="C5357" t="str">
        <f>HYPERLINK("http://service.sap.com/sap/support/notes/1996030","1996030")</f>
        <v>1996030</v>
      </c>
      <c r="D5357">
        <v>2</v>
      </c>
      <c r="E5357" t="s">
        <v>4006</v>
      </c>
      <c r="F5357" t="s">
        <v>9</v>
      </c>
    </row>
    <row r="5358" spans="1:6" x14ac:dyDescent="0.3">
      <c r="A5358" t="s">
        <v>1123</v>
      </c>
      <c r="B5358" t="s">
        <v>1124</v>
      </c>
      <c r="C5358" t="str">
        <f>HYPERLINK("http://service.sap.com/sap/support/notes/1884359","1884359")</f>
        <v>1884359</v>
      </c>
      <c r="D5358">
        <v>1</v>
      </c>
      <c r="E5358" t="s">
        <v>1125</v>
      </c>
      <c r="F5358" t="s">
        <v>28</v>
      </c>
    </row>
    <row r="5359" spans="1:6" x14ac:dyDescent="0.3">
      <c r="A5359" t="s">
        <v>1123</v>
      </c>
      <c r="B5359" t="s">
        <v>1124</v>
      </c>
      <c r="C5359" t="str">
        <f>HYPERLINK("http://service.sap.com/sap/support/notes/1914079","1914079")</f>
        <v>1914079</v>
      </c>
      <c r="D5359">
        <v>7</v>
      </c>
      <c r="E5359" t="s">
        <v>1126</v>
      </c>
      <c r="F5359" t="s">
        <v>9</v>
      </c>
    </row>
    <row r="5360" spans="1:6" x14ac:dyDescent="0.3">
      <c r="A5360" t="s">
        <v>1123</v>
      </c>
      <c r="B5360" t="s">
        <v>1124</v>
      </c>
      <c r="C5360" t="str">
        <f>HYPERLINK("http://service.sap.com/sap/support/notes/1922876","1922876")</f>
        <v>1922876</v>
      </c>
      <c r="D5360">
        <v>3</v>
      </c>
      <c r="E5360" t="s">
        <v>1127</v>
      </c>
      <c r="F5360" t="s">
        <v>9</v>
      </c>
    </row>
    <row r="5361" spans="1:6" x14ac:dyDescent="0.3">
      <c r="A5361" t="s">
        <v>1123</v>
      </c>
      <c r="B5361" t="s">
        <v>1124</v>
      </c>
      <c r="C5361" t="str">
        <f>HYPERLINK("http://service.sap.com/sap/support/notes/1915273","1915273")</f>
        <v>1915273</v>
      </c>
      <c r="D5361">
        <v>4</v>
      </c>
      <c r="E5361" t="s">
        <v>1402</v>
      </c>
      <c r="F5361" t="s">
        <v>9</v>
      </c>
    </row>
    <row r="5362" spans="1:6" x14ac:dyDescent="0.3">
      <c r="A5362" t="s">
        <v>1123</v>
      </c>
      <c r="B5362" t="s">
        <v>1124</v>
      </c>
      <c r="C5362" t="str">
        <f>HYPERLINK("http://service.sap.com/sap/support/notes/1935694","1935694")</f>
        <v>1935694</v>
      </c>
      <c r="D5362">
        <v>3</v>
      </c>
      <c r="E5362" t="s">
        <v>1403</v>
      </c>
      <c r="F5362" t="s">
        <v>28</v>
      </c>
    </row>
    <row r="5363" spans="1:6" x14ac:dyDescent="0.3">
      <c r="A5363" t="s">
        <v>1123</v>
      </c>
      <c r="B5363" t="s">
        <v>1124</v>
      </c>
      <c r="C5363" t="str">
        <f>HYPERLINK("http://service.sap.com/sap/support/notes/1939506","1939506")</f>
        <v>1939506</v>
      </c>
      <c r="D5363">
        <v>1</v>
      </c>
      <c r="E5363" t="s">
        <v>1404</v>
      </c>
      <c r="F5363" t="s">
        <v>9</v>
      </c>
    </row>
    <row r="5364" spans="1:6" x14ac:dyDescent="0.3">
      <c r="A5364" t="s">
        <v>1123</v>
      </c>
      <c r="B5364" t="s">
        <v>1124</v>
      </c>
      <c r="C5364" t="str">
        <f>HYPERLINK("http://service.sap.com/sap/support/notes/1828039","1828039")</f>
        <v>1828039</v>
      </c>
      <c r="D5364">
        <v>2</v>
      </c>
      <c r="E5364" t="s">
        <v>2043</v>
      </c>
      <c r="F5364" t="s">
        <v>9</v>
      </c>
    </row>
    <row r="5365" spans="1:6" x14ac:dyDescent="0.3">
      <c r="A5365" t="s">
        <v>1123</v>
      </c>
      <c r="B5365" t="s">
        <v>1124</v>
      </c>
      <c r="C5365" t="str">
        <f>HYPERLINK("http://service.sap.com/sap/support/notes/1893247","1893247")</f>
        <v>1893247</v>
      </c>
      <c r="D5365">
        <v>2</v>
      </c>
      <c r="E5365" t="s">
        <v>2044</v>
      </c>
      <c r="F5365" t="s">
        <v>9</v>
      </c>
    </row>
    <row r="5366" spans="1:6" x14ac:dyDescent="0.3">
      <c r="A5366" t="s">
        <v>1123</v>
      </c>
      <c r="B5366" t="s">
        <v>1124</v>
      </c>
      <c r="C5366" t="str">
        <f>HYPERLINK("http://service.sap.com/sap/support/notes/1896128","1896128")</f>
        <v>1896128</v>
      </c>
      <c r="D5366">
        <v>2</v>
      </c>
      <c r="E5366" t="s">
        <v>2045</v>
      </c>
      <c r="F5366" t="s">
        <v>9</v>
      </c>
    </row>
    <row r="5367" spans="1:6" x14ac:dyDescent="0.3">
      <c r="A5367" t="s">
        <v>1123</v>
      </c>
      <c r="B5367" t="s">
        <v>1124</v>
      </c>
      <c r="C5367" t="str">
        <f>HYPERLINK("http://service.sap.com/sap/support/notes/1914575","1914575")</f>
        <v>1914575</v>
      </c>
      <c r="D5367">
        <v>2</v>
      </c>
      <c r="E5367" t="s">
        <v>2046</v>
      </c>
      <c r="F5367" t="s">
        <v>9</v>
      </c>
    </row>
    <row r="5368" spans="1:6" x14ac:dyDescent="0.3">
      <c r="A5368" t="s">
        <v>1123</v>
      </c>
      <c r="B5368" t="s">
        <v>1124</v>
      </c>
      <c r="C5368" t="str">
        <f>HYPERLINK("http://service.sap.com/sap/support/notes/1941665","1941665")</f>
        <v>1941665</v>
      </c>
      <c r="D5368">
        <v>2</v>
      </c>
      <c r="E5368" t="s">
        <v>2047</v>
      </c>
      <c r="F5368" t="s">
        <v>9</v>
      </c>
    </row>
    <row r="5369" spans="1:6" x14ac:dyDescent="0.3">
      <c r="A5369" t="s">
        <v>1123</v>
      </c>
      <c r="B5369" t="s">
        <v>1124</v>
      </c>
      <c r="C5369" t="str">
        <f>HYPERLINK("http://service.sap.com/sap/support/notes/1941885","1941885")</f>
        <v>1941885</v>
      </c>
      <c r="D5369">
        <v>5</v>
      </c>
      <c r="E5369" t="s">
        <v>2048</v>
      </c>
      <c r="F5369" t="s">
        <v>9</v>
      </c>
    </row>
    <row r="5370" spans="1:6" x14ac:dyDescent="0.3">
      <c r="A5370" t="s">
        <v>1123</v>
      </c>
      <c r="B5370" t="s">
        <v>1124</v>
      </c>
      <c r="C5370" t="str">
        <f>HYPERLINK("http://service.sap.com/sap/support/notes/1942329","1942329")</f>
        <v>1942329</v>
      </c>
      <c r="D5370">
        <v>2</v>
      </c>
      <c r="E5370" t="s">
        <v>2049</v>
      </c>
      <c r="F5370" t="s">
        <v>9</v>
      </c>
    </row>
    <row r="5371" spans="1:6" x14ac:dyDescent="0.3">
      <c r="A5371" t="s">
        <v>1123</v>
      </c>
      <c r="B5371" t="s">
        <v>1124</v>
      </c>
      <c r="C5371" t="str">
        <f>HYPERLINK("http://service.sap.com/sap/support/notes/1946556","1946556")</f>
        <v>1946556</v>
      </c>
      <c r="D5371">
        <v>4</v>
      </c>
      <c r="E5371" t="s">
        <v>2050</v>
      </c>
      <c r="F5371" t="s">
        <v>9</v>
      </c>
    </row>
    <row r="5372" spans="1:6" x14ac:dyDescent="0.3">
      <c r="A5372" t="s">
        <v>1123</v>
      </c>
      <c r="B5372" t="s">
        <v>1124</v>
      </c>
      <c r="C5372" t="str">
        <f>HYPERLINK("http://service.sap.com/sap/support/notes/1828039","1828039")</f>
        <v>1828039</v>
      </c>
      <c r="D5372">
        <v>2</v>
      </c>
      <c r="E5372" t="s">
        <v>2043</v>
      </c>
      <c r="F5372" t="s">
        <v>9</v>
      </c>
    </row>
    <row r="5373" spans="1:6" x14ac:dyDescent="0.3">
      <c r="A5373" t="s">
        <v>1123</v>
      </c>
      <c r="B5373" t="s">
        <v>1124</v>
      </c>
      <c r="C5373" t="str">
        <f>HYPERLINK("http://service.sap.com/sap/support/notes/1960845","1960845")</f>
        <v>1960845</v>
      </c>
      <c r="D5373">
        <v>2</v>
      </c>
      <c r="E5373" t="s">
        <v>2374</v>
      </c>
      <c r="F5373" t="s">
        <v>9</v>
      </c>
    </row>
    <row r="5374" spans="1:6" x14ac:dyDescent="0.3">
      <c r="A5374" t="s">
        <v>1123</v>
      </c>
      <c r="B5374" t="s">
        <v>1124</v>
      </c>
      <c r="C5374" t="str">
        <f>HYPERLINK("http://service.sap.com/sap/support/notes/1964908","1964908")</f>
        <v>1964908</v>
      </c>
      <c r="D5374">
        <v>1</v>
      </c>
      <c r="E5374" t="s">
        <v>2375</v>
      </c>
      <c r="F5374" t="s">
        <v>9</v>
      </c>
    </row>
    <row r="5375" spans="1:6" x14ac:dyDescent="0.3">
      <c r="A5375" t="s">
        <v>1123</v>
      </c>
      <c r="B5375" t="s">
        <v>1124</v>
      </c>
      <c r="C5375" t="str">
        <f>HYPERLINK("http://service.sap.com/sap/support/notes/1968124","1968124")</f>
        <v>1968124</v>
      </c>
      <c r="D5375">
        <v>7</v>
      </c>
      <c r="E5375" t="s">
        <v>2376</v>
      </c>
      <c r="F5375" t="s">
        <v>9</v>
      </c>
    </row>
    <row r="5376" spans="1:6" x14ac:dyDescent="0.3">
      <c r="A5376" t="s">
        <v>1123</v>
      </c>
      <c r="B5376" t="s">
        <v>1124</v>
      </c>
      <c r="C5376" t="str">
        <f>HYPERLINK("http://service.sap.com/sap/support/notes/1846909","1846909")</f>
        <v>1846909</v>
      </c>
      <c r="D5376">
        <v>3</v>
      </c>
      <c r="E5376" t="s">
        <v>2788</v>
      </c>
      <c r="F5376" t="s">
        <v>9</v>
      </c>
    </row>
    <row r="5377" spans="1:6" x14ac:dyDescent="0.3">
      <c r="A5377" t="s">
        <v>1123</v>
      </c>
      <c r="B5377" t="s">
        <v>1124</v>
      </c>
      <c r="C5377" t="str">
        <f>HYPERLINK("http://service.sap.com/sap/support/notes/1916705","1916705")</f>
        <v>1916705</v>
      </c>
      <c r="D5377">
        <v>3</v>
      </c>
      <c r="E5377" t="s">
        <v>2789</v>
      </c>
      <c r="F5377" t="s">
        <v>9</v>
      </c>
    </row>
    <row r="5378" spans="1:6" x14ac:dyDescent="0.3">
      <c r="A5378" t="s">
        <v>1123</v>
      </c>
      <c r="B5378" t="s">
        <v>1124</v>
      </c>
      <c r="C5378" t="str">
        <f>HYPERLINK("http://service.sap.com/sap/support/notes/1971250","1971250")</f>
        <v>1971250</v>
      </c>
      <c r="D5378">
        <v>6</v>
      </c>
      <c r="E5378" t="s">
        <v>2790</v>
      </c>
      <c r="F5378" t="s">
        <v>9</v>
      </c>
    </row>
    <row r="5379" spans="1:6" x14ac:dyDescent="0.3">
      <c r="A5379" t="s">
        <v>1123</v>
      </c>
      <c r="B5379" t="s">
        <v>1124</v>
      </c>
      <c r="C5379" t="str">
        <f>HYPERLINK("http://service.sap.com/sap/support/notes/1973123","1973123")</f>
        <v>1973123</v>
      </c>
      <c r="D5379">
        <v>4</v>
      </c>
      <c r="E5379" t="s">
        <v>2791</v>
      </c>
      <c r="F5379" t="s">
        <v>9</v>
      </c>
    </row>
    <row r="5380" spans="1:6" x14ac:dyDescent="0.3">
      <c r="A5380" t="s">
        <v>1123</v>
      </c>
      <c r="B5380" t="s">
        <v>1124</v>
      </c>
      <c r="C5380" t="str">
        <f>HYPERLINK("http://service.sap.com/sap/support/notes/1973614","1973614")</f>
        <v>1973614</v>
      </c>
      <c r="D5380">
        <v>7</v>
      </c>
      <c r="E5380" t="s">
        <v>2792</v>
      </c>
      <c r="F5380" t="s">
        <v>9</v>
      </c>
    </row>
    <row r="5381" spans="1:6" x14ac:dyDescent="0.3">
      <c r="A5381" t="s">
        <v>1123</v>
      </c>
      <c r="B5381" t="s">
        <v>1124</v>
      </c>
      <c r="C5381" t="str">
        <f>HYPERLINK("http://service.sap.com/sap/support/notes/1981096","1981096")</f>
        <v>1981096</v>
      </c>
      <c r="D5381">
        <v>2</v>
      </c>
      <c r="E5381" t="s">
        <v>2793</v>
      </c>
      <c r="F5381" t="s">
        <v>9</v>
      </c>
    </row>
    <row r="5382" spans="1:6" x14ac:dyDescent="0.3">
      <c r="A5382" t="s">
        <v>1123</v>
      </c>
      <c r="B5382" t="s">
        <v>1124</v>
      </c>
      <c r="C5382" t="str">
        <f>HYPERLINK("http://service.sap.com/sap/support/notes/1175233","1175233")</f>
        <v>1175233</v>
      </c>
      <c r="D5382">
        <v>1</v>
      </c>
      <c r="E5382" t="s">
        <v>3274</v>
      </c>
      <c r="F5382" t="s">
        <v>9</v>
      </c>
    </row>
    <row r="5383" spans="1:6" x14ac:dyDescent="0.3">
      <c r="A5383" t="s">
        <v>1123</v>
      </c>
      <c r="B5383" t="s">
        <v>1124</v>
      </c>
      <c r="C5383" t="str">
        <f>HYPERLINK("http://service.sap.com/sap/support/notes/1962972","1962972")</f>
        <v>1962972</v>
      </c>
      <c r="D5383">
        <v>11</v>
      </c>
      <c r="E5383" t="s">
        <v>3275</v>
      </c>
      <c r="F5383" t="s">
        <v>9</v>
      </c>
    </row>
    <row r="5384" spans="1:6" x14ac:dyDescent="0.3">
      <c r="A5384" t="s">
        <v>1123</v>
      </c>
      <c r="B5384" t="s">
        <v>1124</v>
      </c>
      <c r="C5384" t="str">
        <f>HYPERLINK("http://service.sap.com/sap/support/notes/1983413","1983413")</f>
        <v>1983413</v>
      </c>
      <c r="D5384">
        <v>3</v>
      </c>
      <c r="E5384" t="s">
        <v>3276</v>
      </c>
      <c r="F5384" t="s">
        <v>9</v>
      </c>
    </row>
    <row r="5385" spans="1:6" x14ac:dyDescent="0.3">
      <c r="A5385" t="s">
        <v>1123</v>
      </c>
      <c r="B5385" t="s">
        <v>1124</v>
      </c>
      <c r="C5385" t="str">
        <f>HYPERLINK("http://service.sap.com/sap/support/notes/1986822","1986822")</f>
        <v>1986822</v>
      </c>
      <c r="D5385">
        <v>3</v>
      </c>
      <c r="E5385" t="s">
        <v>3277</v>
      </c>
      <c r="F5385" t="s">
        <v>9</v>
      </c>
    </row>
    <row r="5386" spans="1:6" x14ac:dyDescent="0.3">
      <c r="A5386" t="s">
        <v>1123</v>
      </c>
      <c r="B5386" t="s">
        <v>1124</v>
      </c>
      <c r="C5386" t="str">
        <f>HYPERLINK("http://service.sap.com/sap/support/notes/1987584","1987584")</f>
        <v>1987584</v>
      </c>
      <c r="D5386">
        <v>1</v>
      </c>
      <c r="E5386" t="s">
        <v>3278</v>
      </c>
      <c r="F5386" t="s">
        <v>9</v>
      </c>
    </row>
    <row r="5387" spans="1:6" x14ac:dyDescent="0.3">
      <c r="A5387" t="s">
        <v>1123</v>
      </c>
      <c r="B5387" t="s">
        <v>1124</v>
      </c>
      <c r="C5387" t="str">
        <f>HYPERLINK("http://service.sap.com/sap/support/notes/1990781","1990781")</f>
        <v>1990781</v>
      </c>
      <c r="D5387">
        <v>4</v>
      </c>
      <c r="E5387" t="s">
        <v>3279</v>
      </c>
      <c r="F5387" t="s">
        <v>9</v>
      </c>
    </row>
    <row r="5388" spans="1:6" x14ac:dyDescent="0.3">
      <c r="A5388" t="s">
        <v>1123</v>
      </c>
      <c r="B5388" t="s">
        <v>1124</v>
      </c>
      <c r="C5388" t="str">
        <f>HYPERLINK("http://service.sap.com/sap/support/notes/1970635","1970635")</f>
        <v>1970635</v>
      </c>
      <c r="D5388">
        <v>3</v>
      </c>
      <c r="E5388" t="s">
        <v>4007</v>
      </c>
      <c r="F5388" t="s">
        <v>9</v>
      </c>
    </row>
    <row r="5389" spans="1:6" x14ac:dyDescent="0.3">
      <c r="A5389" t="s">
        <v>1123</v>
      </c>
      <c r="B5389" t="s">
        <v>1124</v>
      </c>
      <c r="C5389" t="str">
        <f>HYPERLINK("http://service.sap.com/sap/support/notes/1971220","1971220")</f>
        <v>1971220</v>
      </c>
      <c r="D5389">
        <v>7</v>
      </c>
      <c r="E5389" t="s">
        <v>4008</v>
      </c>
      <c r="F5389" t="s">
        <v>9</v>
      </c>
    </row>
    <row r="5390" spans="1:6" x14ac:dyDescent="0.3">
      <c r="A5390" t="s">
        <v>1123</v>
      </c>
      <c r="B5390" t="s">
        <v>1124</v>
      </c>
      <c r="C5390" t="str">
        <f>HYPERLINK("http://service.sap.com/sap/support/notes/1994172","1994172")</f>
        <v>1994172</v>
      </c>
      <c r="D5390">
        <v>12</v>
      </c>
      <c r="E5390" t="s">
        <v>4009</v>
      </c>
      <c r="F5390" t="s">
        <v>9</v>
      </c>
    </row>
    <row r="5391" spans="1:6" x14ac:dyDescent="0.3">
      <c r="A5391" t="s">
        <v>1123</v>
      </c>
      <c r="B5391" t="s">
        <v>1124</v>
      </c>
      <c r="C5391" t="str">
        <f>HYPERLINK("http://service.sap.com/sap/support/notes/1995618","1995618")</f>
        <v>1995618</v>
      </c>
      <c r="D5391">
        <v>1</v>
      </c>
      <c r="E5391" t="s">
        <v>4010</v>
      </c>
      <c r="F5391" t="s">
        <v>9</v>
      </c>
    </row>
    <row r="5392" spans="1:6" x14ac:dyDescent="0.3">
      <c r="A5392" t="s">
        <v>1123</v>
      </c>
      <c r="B5392" t="s">
        <v>1124</v>
      </c>
      <c r="C5392" t="str">
        <f>HYPERLINK("http://service.sap.com/sap/support/notes/1999958","1999958")</f>
        <v>1999958</v>
      </c>
      <c r="D5392">
        <v>3</v>
      </c>
      <c r="E5392" t="s">
        <v>4373</v>
      </c>
      <c r="F5392" t="s">
        <v>9</v>
      </c>
    </row>
    <row r="5393" spans="1:6" x14ac:dyDescent="0.3">
      <c r="A5393" t="s">
        <v>1123</v>
      </c>
      <c r="B5393" t="s">
        <v>1124</v>
      </c>
      <c r="C5393" t="str">
        <f>HYPERLINK("http://service.sap.com/sap/support/notes/2000730","2000730")</f>
        <v>2000730</v>
      </c>
      <c r="D5393">
        <v>8</v>
      </c>
      <c r="E5393" t="s">
        <v>4374</v>
      </c>
      <c r="F5393" t="s">
        <v>9</v>
      </c>
    </row>
    <row r="5394" spans="1:6" x14ac:dyDescent="0.3">
      <c r="A5394" t="s">
        <v>1123</v>
      </c>
      <c r="B5394" t="s">
        <v>1124</v>
      </c>
      <c r="C5394" t="str">
        <f>HYPERLINK("http://service.sap.com/sap/support/notes/2002356","2002356")</f>
        <v>2002356</v>
      </c>
      <c r="D5394">
        <v>4</v>
      </c>
      <c r="E5394" t="s">
        <v>4375</v>
      </c>
      <c r="F5394" t="s">
        <v>9</v>
      </c>
    </row>
    <row r="5395" spans="1:6" x14ac:dyDescent="0.3">
      <c r="A5395" t="s">
        <v>1123</v>
      </c>
      <c r="B5395" t="s">
        <v>1124</v>
      </c>
      <c r="C5395" t="str">
        <f>HYPERLINK("http://service.sap.com/sap/support/notes/2008990","2008990")</f>
        <v>2008990</v>
      </c>
      <c r="D5395">
        <v>1</v>
      </c>
      <c r="E5395" t="s">
        <v>4376</v>
      </c>
      <c r="F5395" t="s">
        <v>9</v>
      </c>
    </row>
    <row r="5396" spans="1:6" x14ac:dyDescent="0.3">
      <c r="A5396" t="s">
        <v>1123</v>
      </c>
      <c r="B5396" t="s">
        <v>1124</v>
      </c>
      <c r="C5396" t="str">
        <f>HYPERLINK("http://service.sap.com/sap/support/notes/2013951","2013951")</f>
        <v>2013951</v>
      </c>
      <c r="D5396">
        <v>5</v>
      </c>
      <c r="E5396" t="s">
        <v>4377</v>
      </c>
      <c r="F5396" t="s">
        <v>9</v>
      </c>
    </row>
    <row r="5397" spans="1:6" x14ac:dyDescent="0.3">
      <c r="A5397" t="s">
        <v>1123</v>
      </c>
      <c r="B5397" t="s">
        <v>1124</v>
      </c>
      <c r="C5397" t="str">
        <f>HYPERLINK("http://service.sap.com/sap/support/notes/2020926","2020926")</f>
        <v>2020926</v>
      </c>
      <c r="D5397">
        <v>1</v>
      </c>
      <c r="E5397" t="s">
        <v>4378</v>
      </c>
      <c r="F5397" t="s">
        <v>9</v>
      </c>
    </row>
    <row r="5398" spans="1:6" x14ac:dyDescent="0.3">
      <c r="A5398" t="s">
        <v>1123</v>
      </c>
      <c r="B5398" t="s">
        <v>1124</v>
      </c>
      <c r="C5398" t="str">
        <f>HYPERLINK("http://service.sap.com/sap/support/notes/1996085","1996085")</f>
        <v>1996085</v>
      </c>
      <c r="D5398">
        <v>16</v>
      </c>
      <c r="E5398" t="s">
        <v>4678</v>
      </c>
      <c r="F5398" t="s">
        <v>9</v>
      </c>
    </row>
    <row r="5399" spans="1:6" x14ac:dyDescent="0.3">
      <c r="A5399" t="s">
        <v>1123</v>
      </c>
      <c r="B5399" t="s">
        <v>1124</v>
      </c>
      <c r="C5399" t="str">
        <f>HYPERLINK("http://service.sap.com/sap/support/notes/2011455","2011455")</f>
        <v>2011455</v>
      </c>
      <c r="D5399">
        <v>7</v>
      </c>
      <c r="E5399" t="s">
        <v>4679</v>
      </c>
      <c r="F5399" t="s">
        <v>9</v>
      </c>
    </row>
    <row r="5400" spans="1:6" x14ac:dyDescent="0.3">
      <c r="A5400" t="s">
        <v>1123</v>
      </c>
      <c r="B5400" t="s">
        <v>1124</v>
      </c>
      <c r="C5400" t="str">
        <f>HYPERLINK("http://service.sap.com/sap/support/notes/2016506","2016506")</f>
        <v>2016506</v>
      </c>
      <c r="D5400">
        <v>2</v>
      </c>
      <c r="E5400" t="s">
        <v>4680</v>
      </c>
      <c r="F5400" t="s">
        <v>9</v>
      </c>
    </row>
    <row r="5401" spans="1:6" x14ac:dyDescent="0.3">
      <c r="A5401" t="s">
        <v>1123</v>
      </c>
      <c r="B5401" t="s">
        <v>1124</v>
      </c>
      <c r="C5401" t="str">
        <f>HYPERLINK("http://service.sap.com/sap/support/notes/2029553","2029553")</f>
        <v>2029553</v>
      </c>
      <c r="D5401">
        <v>4</v>
      </c>
      <c r="E5401" t="s">
        <v>4681</v>
      </c>
      <c r="F5401" t="s">
        <v>9</v>
      </c>
    </row>
    <row r="5402" spans="1:6" x14ac:dyDescent="0.3">
      <c r="A5402" t="s">
        <v>1123</v>
      </c>
      <c r="B5402" t="s">
        <v>1124</v>
      </c>
      <c r="C5402" t="str">
        <f>HYPERLINK("http://service.sap.com/sap/support/notes/2031213","2031213")</f>
        <v>2031213</v>
      </c>
      <c r="D5402">
        <v>1</v>
      </c>
      <c r="E5402" t="s">
        <v>4682</v>
      </c>
      <c r="F5402" t="s">
        <v>9</v>
      </c>
    </row>
    <row r="5403" spans="1:6" x14ac:dyDescent="0.3">
      <c r="A5403" t="s">
        <v>1123</v>
      </c>
      <c r="B5403" t="s">
        <v>1124</v>
      </c>
      <c r="C5403" t="str">
        <f>HYPERLINK("http://service.sap.com/sap/support/notes/2008990","2008990")</f>
        <v>2008990</v>
      </c>
      <c r="D5403">
        <v>1</v>
      </c>
      <c r="E5403" t="s">
        <v>4376</v>
      </c>
      <c r="F5403" t="s">
        <v>9</v>
      </c>
    </row>
    <row r="5404" spans="1:6" x14ac:dyDescent="0.3">
      <c r="A5404" t="s">
        <v>1123</v>
      </c>
      <c r="B5404" t="s">
        <v>1124</v>
      </c>
      <c r="C5404" t="str">
        <f>HYPERLINK("http://service.sap.com/sap/support/notes/2036198","2036198")</f>
        <v>2036198</v>
      </c>
      <c r="D5404">
        <v>3</v>
      </c>
      <c r="E5404" t="s">
        <v>5054</v>
      </c>
      <c r="F5404" t="s">
        <v>9</v>
      </c>
    </row>
    <row r="5405" spans="1:6" x14ac:dyDescent="0.3">
      <c r="A5405" t="s">
        <v>1123</v>
      </c>
      <c r="B5405" t="s">
        <v>1124</v>
      </c>
      <c r="C5405" t="str">
        <f>HYPERLINK("http://service.sap.com/sap/support/notes/2012561","2012561")</f>
        <v>2012561</v>
      </c>
      <c r="D5405">
        <v>6</v>
      </c>
      <c r="E5405" t="s">
        <v>5379</v>
      </c>
      <c r="F5405" t="s">
        <v>9</v>
      </c>
    </row>
    <row r="5406" spans="1:6" x14ac:dyDescent="0.3">
      <c r="A5406" t="s">
        <v>1123</v>
      </c>
      <c r="B5406" t="s">
        <v>1124</v>
      </c>
      <c r="C5406" t="str">
        <f>HYPERLINK("http://service.sap.com/sap/support/notes/2021569","2021569")</f>
        <v>2021569</v>
      </c>
      <c r="D5406">
        <v>4</v>
      </c>
      <c r="E5406" t="s">
        <v>5380</v>
      </c>
      <c r="F5406" t="s">
        <v>9</v>
      </c>
    </row>
    <row r="5407" spans="1:6" x14ac:dyDescent="0.3">
      <c r="A5407" t="s">
        <v>1123</v>
      </c>
      <c r="B5407" t="s">
        <v>1124</v>
      </c>
      <c r="C5407" t="str">
        <f>HYPERLINK("http://service.sap.com/sap/support/notes/2023419","2023419")</f>
        <v>2023419</v>
      </c>
      <c r="D5407">
        <v>2</v>
      </c>
      <c r="E5407" t="s">
        <v>5381</v>
      </c>
      <c r="F5407" t="s">
        <v>9</v>
      </c>
    </row>
    <row r="5408" spans="1:6" x14ac:dyDescent="0.3">
      <c r="A5408" t="s">
        <v>1123</v>
      </c>
      <c r="B5408" t="s">
        <v>1124</v>
      </c>
      <c r="C5408" t="str">
        <f>HYPERLINK("http://service.sap.com/sap/support/notes/2034010","2034010")</f>
        <v>2034010</v>
      </c>
      <c r="D5408">
        <v>4</v>
      </c>
      <c r="E5408" t="s">
        <v>5382</v>
      </c>
      <c r="F5408" t="s">
        <v>9</v>
      </c>
    </row>
    <row r="5409" spans="1:6" x14ac:dyDescent="0.3">
      <c r="A5409" t="s">
        <v>1123</v>
      </c>
      <c r="B5409" t="s">
        <v>1124</v>
      </c>
      <c r="C5409" t="str">
        <f>HYPERLINK("http://service.sap.com/sap/support/notes/2041594","2041594")</f>
        <v>2041594</v>
      </c>
      <c r="D5409">
        <v>5</v>
      </c>
      <c r="E5409" t="s">
        <v>5383</v>
      </c>
      <c r="F5409" t="s">
        <v>9</v>
      </c>
    </row>
    <row r="5410" spans="1:6" x14ac:dyDescent="0.3">
      <c r="A5410" t="s">
        <v>1123</v>
      </c>
      <c r="B5410" t="s">
        <v>1124</v>
      </c>
      <c r="C5410" t="str">
        <f>HYPERLINK("http://service.sap.com/sap/support/notes/2046142","2046142")</f>
        <v>2046142</v>
      </c>
      <c r="D5410">
        <v>3</v>
      </c>
      <c r="E5410" t="s">
        <v>5384</v>
      </c>
      <c r="F5410" t="s">
        <v>9</v>
      </c>
    </row>
    <row r="5411" spans="1:6" x14ac:dyDescent="0.3">
      <c r="A5411" t="s">
        <v>1123</v>
      </c>
      <c r="B5411" t="s">
        <v>1124</v>
      </c>
      <c r="C5411" t="str">
        <f>HYPERLINK("http://service.sap.com/sap/support/notes/2047149","2047149")</f>
        <v>2047149</v>
      </c>
      <c r="D5411">
        <v>5</v>
      </c>
      <c r="E5411" t="s">
        <v>5385</v>
      </c>
      <c r="F5411" t="s">
        <v>9</v>
      </c>
    </row>
    <row r="5412" spans="1:6" x14ac:dyDescent="0.3">
      <c r="A5412" t="s">
        <v>1123</v>
      </c>
      <c r="B5412" t="s">
        <v>1124</v>
      </c>
      <c r="C5412" t="str">
        <f>HYPERLINK("http://service.sap.com/sap/support/notes/2047173","2047173")</f>
        <v>2047173</v>
      </c>
      <c r="D5412">
        <v>1</v>
      </c>
      <c r="E5412" t="s">
        <v>5386</v>
      </c>
      <c r="F5412" t="s">
        <v>9</v>
      </c>
    </row>
    <row r="5413" spans="1:6" x14ac:dyDescent="0.3">
      <c r="A5413" t="s">
        <v>1123</v>
      </c>
      <c r="B5413" t="s">
        <v>1124</v>
      </c>
      <c r="C5413" t="str">
        <f>HYPERLINK("http://service.sap.com/sap/support/notes/2051609","2051609")</f>
        <v>2051609</v>
      </c>
      <c r="D5413">
        <v>3</v>
      </c>
      <c r="E5413" t="s">
        <v>5387</v>
      </c>
      <c r="F5413" t="s">
        <v>9</v>
      </c>
    </row>
    <row r="5414" spans="1:6" x14ac:dyDescent="0.3">
      <c r="A5414" t="s">
        <v>1123</v>
      </c>
      <c r="B5414" t="s">
        <v>1124</v>
      </c>
      <c r="C5414" t="str">
        <f>HYPERLINK("http://service.sap.com/sap/support/notes/2002356","2002356")</f>
        <v>2002356</v>
      </c>
      <c r="D5414">
        <v>4</v>
      </c>
      <c r="E5414" t="s">
        <v>4375</v>
      </c>
      <c r="F5414" t="s">
        <v>9</v>
      </c>
    </row>
    <row r="5415" spans="1:6" x14ac:dyDescent="0.3">
      <c r="A5415" t="s">
        <v>1123</v>
      </c>
      <c r="B5415" t="s">
        <v>1124</v>
      </c>
      <c r="C5415" t="str">
        <f>HYPERLINK("http://service.sap.com/sap/support/notes/2023419","2023419")</f>
        <v>2023419</v>
      </c>
      <c r="D5415">
        <v>2</v>
      </c>
      <c r="E5415" t="s">
        <v>5381</v>
      </c>
      <c r="F5415" t="s">
        <v>9</v>
      </c>
    </row>
    <row r="5416" spans="1:6" x14ac:dyDescent="0.3">
      <c r="A5416" t="s">
        <v>1123</v>
      </c>
      <c r="B5416" t="s">
        <v>1124</v>
      </c>
      <c r="C5416" t="str">
        <f>HYPERLINK("http://service.sap.com/sap/support/notes/2057057","2057057")</f>
        <v>2057057</v>
      </c>
      <c r="D5416">
        <v>6</v>
      </c>
      <c r="E5416" t="s">
        <v>5710</v>
      </c>
      <c r="F5416" t="s">
        <v>9</v>
      </c>
    </row>
    <row r="5417" spans="1:6" x14ac:dyDescent="0.3">
      <c r="A5417" t="s">
        <v>1123</v>
      </c>
      <c r="B5417" t="s">
        <v>1124</v>
      </c>
      <c r="C5417" t="str">
        <f>HYPERLINK("http://service.sap.com/sap/support/notes/2062412","2062412")</f>
        <v>2062412</v>
      </c>
      <c r="D5417">
        <v>3</v>
      </c>
      <c r="E5417" t="s">
        <v>5711</v>
      </c>
      <c r="F5417" t="s">
        <v>9</v>
      </c>
    </row>
    <row r="5418" spans="1:6" x14ac:dyDescent="0.3">
      <c r="A5418" t="s">
        <v>1123</v>
      </c>
      <c r="B5418" t="s">
        <v>1124</v>
      </c>
      <c r="C5418" t="str">
        <f>HYPERLINK("http://service.sap.com/sap/support/notes/2063880","2063880")</f>
        <v>2063880</v>
      </c>
      <c r="D5418">
        <v>6</v>
      </c>
      <c r="E5418" t="s">
        <v>5712</v>
      </c>
      <c r="F5418" t="s">
        <v>9</v>
      </c>
    </row>
    <row r="5419" spans="1:6" x14ac:dyDescent="0.3">
      <c r="A5419" t="s">
        <v>1123</v>
      </c>
      <c r="B5419" t="s">
        <v>1124</v>
      </c>
      <c r="C5419" t="str">
        <f>HYPERLINK("http://service.sap.com/sap/support/notes/2065292","2065292")</f>
        <v>2065292</v>
      </c>
      <c r="D5419">
        <v>2</v>
      </c>
      <c r="E5419" t="s">
        <v>5713</v>
      </c>
      <c r="F5419" t="s">
        <v>9</v>
      </c>
    </row>
    <row r="5420" spans="1:6" x14ac:dyDescent="0.3">
      <c r="A5420" t="s">
        <v>2051</v>
      </c>
      <c r="B5420" t="s">
        <v>2052</v>
      </c>
      <c r="C5420" t="str">
        <f>HYPERLINK("http://service.sap.com/sap/support/notes/1933562","1933562")</f>
        <v>1933562</v>
      </c>
      <c r="D5420">
        <v>2</v>
      </c>
      <c r="E5420" t="s">
        <v>2053</v>
      </c>
      <c r="F5420" t="s">
        <v>9</v>
      </c>
    </row>
    <row r="5421" spans="1:6" x14ac:dyDescent="0.3">
      <c r="A5421" t="s">
        <v>2051</v>
      </c>
      <c r="B5421" t="s">
        <v>2052</v>
      </c>
      <c r="C5421" t="str">
        <f>HYPERLINK("http://service.sap.com/sap/support/notes/2009499","2009499")</f>
        <v>2009499</v>
      </c>
      <c r="D5421">
        <v>1</v>
      </c>
      <c r="E5421" t="s">
        <v>5055</v>
      </c>
      <c r="F5421" t="s">
        <v>9</v>
      </c>
    </row>
    <row r="5422" spans="1:6" x14ac:dyDescent="0.3">
      <c r="A5422" t="s">
        <v>1128</v>
      </c>
      <c r="B5422" t="s">
        <v>1129</v>
      </c>
      <c r="C5422" t="str">
        <f>HYPERLINK("http://service.sap.com/sap/support/notes/1869003","1869003")</f>
        <v>1869003</v>
      </c>
      <c r="D5422">
        <v>1</v>
      </c>
      <c r="E5422" t="s">
        <v>1130</v>
      </c>
      <c r="F5422" t="s">
        <v>35</v>
      </c>
    </row>
    <row r="5423" spans="1:6" x14ac:dyDescent="0.3">
      <c r="A5423" t="s">
        <v>2377</v>
      </c>
      <c r="B5423" t="s">
        <v>2378</v>
      </c>
      <c r="C5423" t="str">
        <f>HYPERLINK("http://service.sap.com/sap/support/notes/1960423","1960423")</f>
        <v>1960423</v>
      </c>
      <c r="D5423">
        <v>1</v>
      </c>
      <c r="E5423" t="s">
        <v>2379</v>
      </c>
      <c r="F5423" t="s">
        <v>9</v>
      </c>
    </row>
    <row r="5424" spans="1:6" x14ac:dyDescent="0.3">
      <c r="A5424" t="s">
        <v>2377</v>
      </c>
      <c r="B5424" t="s">
        <v>2378</v>
      </c>
      <c r="C5424" t="str">
        <f>HYPERLINK("http://service.sap.com/sap/support/notes/1964733","1964733")</f>
        <v>1964733</v>
      </c>
      <c r="D5424">
        <v>2</v>
      </c>
      <c r="E5424" t="s">
        <v>2794</v>
      </c>
      <c r="F5424" t="s">
        <v>9</v>
      </c>
    </row>
    <row r="5425" spans="1:6" x14ac:dyDescent="0.3">
      <c r="A5425" t="s">
        <v>5056</v>
      </c>
      <c r="B5425" t="s">
        <v>5057</v>
      </c>
      <c r="C5425" t="str">
        <f>HYPERLINK("http://service.sap.com/sap/support/notes/2039205","2039205")</f>
        <v>2039205</v>
      </c>
      <c r="D5425">
        <v>1</v>
      </c>
      <c r="E5425" t="s">
        <v>5058</v>
      </c>
      <c r="F5425" t="s">
        <v>16</v>
      </c>
    </row>
    <row r="5426" spans="1:6" x14ac:dyDescent="0.3">
      <c r="A5426" t="s">
        <v>4011</v>
      </c>
      <c r="B5426" t="s">
        <v>4012</v>
      </c>
      <c r="C5426" t="str">
        <f>HYPERLINK("http://service.sap.com/sap/support/notes/1957290","1957290")</f>
        <v>1957290</v>
      </c>
      <c r="D5426">
        <v>2</v>
      </c>
      <c r="E5426" t="s">
        <v>4013</v>
      </c>
      <c r="F5426" t="s">
        <v>9</v>
      </c>
    </row>
    <row r="5427" spans="1:6" x14ac:dyDescent="0.3">
      <c r="A5427" t="s">
        <v>4014</v>
      </c>
      <c r="B5427" t="s">
        <v>4015</v>
      </c>
      <c r="C5427" t="str">
        <f>HYPERLINK("http://service.sap.com/sap/support/notes/1952913","1952913")</f>
        <v>1952913</v>
      </c>
      <c r="D5427">
        <v>2</v>
      </c>
      <c r="E5427" t="s">
        <v>4016</v>
      </c>
      <c r="F5427" t="s">
        <v>9</v>
      </c>
    </row>
    <row r="5428" spans="1:6" x14ac:dyDescent="0.3">
      <c r="A5428" t="s">
        <v>1131</v>
      </c>
      <c r="B5428" t="s">
        <v>1132</v>
      </c>
      <c r="C5428" t="str">
        <f>HYPERLINK("http://service.sap.com/sap/support/notes/1920292","1920292")</f>
        <v>1920292</v>
      </c>
      <c r="D5428">
        <v>5</v>
      </c>
      <c r="E5428" t="s">
        <v>1133</v>
      </c>
      <c r="F5428" t="s">
        <v>9</v>
      </c>
    </row>
  </sheetData>
  <autoFilter ref="A1:F5448"/>
  <sortState ref="A2:F5715">
    <sortCondition ref="A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SAPKE60467_notes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Desiree Roberts</dc:creator>
  <cp:lastModifiedBy>Desiree Roberts</cp:lastModifiedBy>
  <dcterms:created xsi:type="dcterms:W3CDTF">2014-10-29T13:19:22Z</dcterms:created>
  <dcterms:modified xsi:type="dcterms:W3CDTF">2014-10-29T13:19:22Z</dcterms:modified>
</cp:coreProperties>
</file>