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quern\My Documents\"/>
    </mc:Choice>
  </mc:AlternateContent>
  <bookViews>
    <workbookView xWindow="0" yWindow="0" windowWidth="20490" windowHeight="7155"/>
  </bookViews>
  <sheets>
    <sheet name="ERP_Update_Side-Effects-Report" sheetId="1" r:id="rId1"/>
  </sheets>
  <definedNames>
    <definedName name="_xlnm._FilterDatabase" localSheetId="0" hidden="1">'ERP_Update_Side-Effects-Report'!$A$1:$K$629</definedName>
  </definedNames>
  <calcPr calcId="152511"/>
</workbook>
</file>

<file path=xl/calcChain.xml><?xml version="1.0" encoding="utf-8"?>
<calcChain xmlns="http://schemas.openxmlformats.org/spreadsheetml/2006/main">
  <c r="B2" i="1" l="1"/>
  <c r="H2" i="1"/>
  <c r="B3" i="1"/>
  <c r="H3" i="1"/>
  <c r="B4" i="1"/>
  <c r="H4" i="1"/>
  <c r="B5" i="1"/>
  <c r="H5" i="1"/>
  <c r="B6" i="1"/>
  <c r="H6" i="1"/>
  <c r="B7" i="1"/>
  <c r="H7" i="1"/>
  <c r="B8" i="1"/>
  <c r="H8" i="1"/>
  <c r="B9" i="1"/>
  <c r="H9" i="1"/>
  <c r="B10" i="1"/>
  <c r="H10" i="1"/>
  <c r="B11" i="1"/>
  <c r="H11" i="1"/>
  <c r="B12" i="1"/>
  <c r="H12" i="1"/>
  <c r="B13" i="1"/>
  <c r="H13" i="1"/>
  <c r="B14" i="1"/>
  <c r="H14" i="1"/>
  <c r="B15" i="1"/>
  <c r="H15" i="1"/>
  <c r="B16" i="1"/>
  <c r="H16" i="1"/>
  <c r="B17" i="1"/>
  <c r="H17" i="1"/>
  <c r="B18" i="1"/>
  <c r="H18" i="1"/>
  <c r="B19" i="1"/>
  <c r="H19" i="1"/>
  <c r="B20" i="1"/>
  <c r="H20" i="1"/>
  <c r="B21" i="1"/>
  <c r="H21" i="1"/>
  <c r="B22" i="1"/>
  <c r="H22" i="1"/>
  <c r="B23" i="1"/>
  <c r="H23" i="1"/>
  <c r="B24" i="1"/>
  <c r="H24" i="1"/>
  <c r="B25" i="1"/>
  <c r="H25" i="1"/>
  <c r="B26" i="1"/>
  <c r="H26" i="1"/>
  <c r="B27" i="1"/>
  <c r="H27" i="1"/>
  <c r="B28" i="1"/>
  <c r="H28" i="1"/>
  <c r="B29" i="1"/>
  <c r="H29" i="1"/>
  <c r="B30" i="1"/>
  <c r="H30" i="1"/>
  <c r="B31" i="1"/>
  <c r="H31" i="1"/>
  <c r="B32" i="1"/>
  <c r="H32" i="1"/>
  <c r="B33" i="1"/>
  <c r="H33" i="1"/>
  <c r="B34" i="1"/>
  <c r="H34" i="1"/>
  <c r="B35" i="1"/>
  <c r="H35" i="1"/>
  <c r="B36" i="1"/>
  <c r="H36" i="1"/>
  <c r="B37" i="1"/>
  <c r="H37" i="1"/>
  <c r="B38" i="1"/>
  <c r="H38" i="1"/>
  <c r="B39" i="1"/>
  <c r="H39" i="1"/>
  <c r="B40" i="1"/>
  <c r="H40" i="1"/>
  <c r="B41" i="1"/>
  <c r="H41" i="1"/>
  <c r="B42" i="1"/>
  <c r="H42" i="1"/>
  <c r="B43" i="1"/>
  <c r="H43" i="1"/>
  <c r="B44" i="1"/>
  <c r="H44" i="1"/>
  <c r="B45" i="1"/>
  <c r="H45" i="1"/>
  <c r="B46" i="1"/>
  <c r="H46" i="1"/>
  <c r="B47" i="1"/>
  <c r="H47" i="1"/>
  <c r="B48" i="1"/>
  <c r="H48" i="1"/>
  <c r="B49" i="1"/>
  <c r="H49" i="1"/>
  <c r="B50" i="1"/>
  <c r="H50" i="1"/>
  <c r="B51" i="1"/>
  <c r="H51" i="1"/>
  <c r="B52" i="1"/>
  <c r="H52" i="1"/>
  <c r="B53" i="1"/>
  <c r="H53" i="1"/>
  <c r="B54" i="1"/>
  <c r="H54" i="1"/>
  <c r="B55" i="1"/>
  <c r="H55" i="1"/>
  <c r="B56" i="1"/>
  <c r="H56" i="1"/>
  <c r="B57" i="1"/>
  <c r="H57" i="1"/>
  <c r="B58" i="1"/>
  <c r="H58" i="1"/>
  <c r="B59" i="1"/>
  <c r="H59" i="1"/>
  <c r="B60" i="1"/>
  <c r="H60" i="1"/>
  <c r="B61" i="1"/>
  <c r="H61" i="1"/>
  <c r="B62" i="1"/>
  <c r="H62" i="1"/>
  <c r="B63" i="1"/>
  <c r="H63" i="1"/>
  <c r="B64" i="1"/>
  <c r="H64" i="1"/>
  <c r="B65" i="1"/>
  <c r="H65" i="1"/>
  <c r="B66" i="1"/>
  <c r="H66" i="1"/>
  <c r="B67" i="1"/>
  <c r="H67" i="1"/>
  <c r="B68" i="1"/>
  <c r="H68" i="1"/>
  <c r="B69" i="1"/>
  <c r="H69" i="1"/>
  <c r="B70" i="1"/>
  <c r="H70" i="1"/>
  <c r="B71" i="1"/>
  <c r="H71" i="1"/>
  <c r="B72" i="1"/>
  <c r="H72" i="1"/>
  <c r="B73" i="1"/>
  <c r="H73" i="1"/>
  <c r="B74" i="1"/>
  <c r="H74" i="1"/>
  <c r="B75" i="1"/>
  <c r="H75" i="1"/>
  <c r="B76" i="1"/>
  <c r="H76" i="1"/>
  <c r="B77" i="1"/>
  <c r="H77" i="1"/>
  <c r="B78" i="1"/>
  <c r="H78" i="1"/>
  <c r="B79" i="1"/>
  <c r="H79" i="1"/>
  <c r="B80" i="1"/>
  <c r="H80" i="1"/>
  <c r="B81" i="1"/>
  <c r="H81" i="1"/>
  <c r="B82" i="1"/>
  <c r="H82" i="1"/>
  <c r="B83" i="1"/>
  <c r="H83" i="1"/>
  <c r="B84" i="1"/>
  <c r="H84" i="1"/>
  <c r="B85" i="1"/>
  <c r="H85" i="1"/>
  <c r="B86" i="1"/>
  <c r="H86" i="1"/>
  <c r="B87" i="1"/>
  <c r="H87" i="1"/>
  <c r="B88" i="1"/>
  <c r="H88" i="1"/>
  <c r="B89" i="1"/>
  <c r="H89" i="1"/>
  <c r="B90" i="1"/>
  <c r="H90" i="1"/>
  <c r="B91" i="1"/>
  <c r="H91" i="1"/>
  <c r="B92" i="1"/>
  <c r="H92" i="1"/>
  <c r="B93" i="1"/>
  <c r="H93" i="1"/>
  <c r="B94" i="1"/>
  <c r="H94" i="1"/>
  <c r="B95" i="1"/>
  <c r="H95" i="1"/>
  <c r="B96" i="1"/>
  <c r="H96" i="1"/>
  <c r="B97" i="1"/>
  <c r="H97" i="1"/>
  <c r="B98" i="1"/>
  <c r="H98" i="1"/>
  <c r="B99" i="1"/>
  <c r="H99" i="1"/>
  <c r="B100" i="1"/>
  <c r="H100" i="1"/>
  <c r="B101" i="1"/>
  <c r="H101" i="1"/>
  <c r="B102" i="1"/>
  <c r="H102" i="1"/>
  <c r="B103" i="1"/>
  <c r="H103" i="1"/>
  <c r="B104" i="1"/>
  <c r="H104" i="1"/>
  <c r="B105" i="1"/>
  <c r="H105" i="1"/>
  <c r="B106" i="1"/>
  <c r="H106" i="1"/>
  <c r="B107" i="1"/>
  <c r="H107" i="1"/>
  <c r="B108" i="1"/>
  <c r="H108" i="1"/>
  <c r="B109" i="1"/>
  <c r="H109" i="1"/>
  <c r="B110" i="1"/>
  <c r="H110" i="1"/>
  <c r="B111" i="1"/>
  <c r="H111" i="1"/>
  <c r="B112" i="1"/>
  <c r="H112" i="1"/>
  <c r="B113" i="1"/>
  <c r="H113" i="1"/>
  <c r="B114" i="1"/>
  <c r="H114" i="1"/>
  <c r="B115" i="1"/>
  <c r="H115" i="1"/>
  <c r="B116" i="1"/>
  <c r="H116" i="1"/>
  <c r="B117" i="1"/>
  <c r="H117" i="1"/>
  <c r="B118" i="1"/>
  <c r="H118" i="1"/>
  <c r="B119" i="1"/>
  <c r="H119" i="1"/>
  <c r="B120" i="1"/>
  <c r="H120" i="1"/>
  <c r="B121" i="1"/>
  <c r="H121" i="1"/>
  <c r="B122" i="1"/>
  <c r="H122" i="1"/>
  <c r="B123" i="1"/>
  <c r="H123" i="1"/>
  <c r="B124" i="1"/>
  <c r="H124" i="1"/>
  <c r="B125" i="1"/>
  <c r="H125" i="1"/>
  <c r="B126" i="1"/>
  <c r="H126" i="1"/>
  <c r="B127" i="1"/>
  <c r="H127" i="1"/>
  <c r="B128" i="1"/>
  <c r="H128" i="1"/>
  <c r="B129" i="1"/>
  <c r="H129" i="1"/>
  <c r="B130" i="1"/>
  <c r="H130" i="1"/>
  <c r="B131" i="1"/>
  <c r="H131" i="1"/>
  <c r="B132" i="1"/>
  <c r="H132" i="1"/>
  <c r="B133" i="1"/>
  <c r="H133" i="1"/>
  <c r="B134" i="1"/>
  <c r="H134" i="1"/>
  <c r="B135" i="1"/>
  <c r="H135" i="1"/>
  <c r="B136" i="1"/>
  <c r="H136" i="1"/>
  <c r="B137" i="1"/>
  <c r="H137" i="1"/>
  <c r="B138" i="1"/>
  <c r="H138" i="1"/>
  <c r="B139" i="1"/>
  <c r="H139" i="1"/>
  <c r="B140" i="1"/>
  <c r="H140" i="1"/>
  <c r="B141" i="1"/>
  <c r="H141" i="1"/>
  <c r="B142" i="1"/>
  <c r="H142" i="1"/>
  <c r="B143" i="1"/>
  <c r="H143" i="1"/>
  <c r="B144" i="1"/>
  <c r="H144" i="1"/>
  <c r="B145" i="1"/>
  <c r="H145" i="1"/>
  <c r="B146" i="1"/>
  <c r="H146" i="1"/>
  <c r="B147" i="1"/>
  <c r="H147" i="1"/>
  <c r="B148" i="1"/>
  <c r="H148" i="1"/>
  <c r="B149" i="1"/>
  <c r="H149" i="1"/>
  <c r="B150" i="1"/>
  <c r="H150" i="1"/>
  <c r="B151" i="1"/>
  <c r="H151" i="1"/>
  <c r="B152" i="1"/>
  <c r="H152" i="1"/>
  <c r="B153" i="1"/>
  <c r="H153" i="1"/>
  <c r="B154" i="1"/>
  <c r="H154" i="1"/>
  <c r="B155" i="1"/>
  <c r="H155" i="1"/>
  <c r="B156" i="1"/>
  <c r="H156" i="1"/>
  <c r="B157" i="1"/>
  <c r="H157" i="1"/>
  <c r="B158" i="1"/>
  <c r="H158" i="1"/>
  <c r="B159" i="1"/>
  <c r="H159" i="1"/>
  <c r="B160" i="1"/>
  <c r="H160" i="1"/>
  <c r="B161" i="1"/>
  <c r="H161" i="1"/>
  <c r="B162" i="1"/>
  <c r="H162" i="1"/>
  <c r="B163" i="1"/>
  <c r="H163" i="1"/>
  <c r="B164" i="1"/>
  <c r="H164" i="1"/>
  <c r="B165" i="1"/>
  <c r="H165" i="1"/>
  <c r="B166" i="1"/>
  <c r="H166" i="1"/>
  <c r="B167" i="1"/>
  <c r="H167" i="1"/>
  <c r="B168" i="1"/>
  <c r="H168" i="1"/>
  <c r="B169" i="1"/>
  <c r="H169" i="1"/>
  <c r="B170" i="1"/>
  <c r="H170" i="1"/>
  <c r="B171" i="1"/>
  <c r="H171" i="1"/>
  <c r="B172" i="1"/>
  <c r="H172" i="1"/>
  <c r="B173" i="1"/>
  <c r="H173" i="1"/>
  <c r="B174" i="1"/>
  <c r="H174" i="1"/>
  <c r="B175" i="1"/>
  <c r="H175" i="1"/>
  <c r="B176" i="1"/>
  <c r="H176" i="1"/>
  <c r="B177" i="1"/>
  <c r="H177" i="1"/>
  <c r="B178" i="1"/>
  <c r="H178" i="1"/>
  <c r="B179" i="1"/>
  <c r="H179" i="1"/>
  <c r="B180" i="1"/>
  <c r="H180" i="1"/>
  <c r="B181" i="1"/>
  <c r="H181" i="1"/>
  <c r="B182" i="1"/>
  <c r="H182" i="1"/>
  <c r="B183" i="1"/>
  <c r="H183" i="1"/>
  <c r="B184" i="1"/>
  <c r="H184" i="1"/>
  <c r="B185" i="1"/>
  <c r="H185" i="1"/>
  <c r="B186" i="1"/>
  <c r="H186" i="1"/>
  <c r="B187" i="1"/>
  <c r="H187" i="1"/>
  <c r="B188" i="1"/>
  <c r="H188" i="1"/>
  <c r="B189" i="1"/>
  <c r="H189" i="1"/>
  <c r="B190" i="1"/>
  <c r="H190" i="1"/>
  <c r="B191" i="1"/>
  <c r="H191" i="1"/>
  <c r="B192" i="1"/>
  <c r="H192" i="1"/>
  <c r="B193" i="1"/>
  <c r="H193" i="1"/>
  <c r="B194" i="1"/>
  <c r="H194" i="1"/>
  <c r="B195" i="1"/>
  <c r="H195" i="1"/>
  <c r="B196" i="1"/>
  <c r="H196" i="1"/>
  <c r="B197" i="1"/>
  <c r="H197" i="1"/>
  <c r="B198" i="1"/>
  <c r="H198" i="1"/>
  <c r="B199" i="1"/>
  <c r="H199" i="1"/>
  <c r="B200" i="1"/>
  <c r="H200" i="1"/>
  <c r="B201" i="1"/>
  <c r="H201" i="1"/>
  <c r="B202" i="1"/>
  <c r="H202" i="1"/>
  <c r="B203" i="1"/>
  <c r="H203" i="1"/>
  <c r="B204" i="1"/>
  <c r="H204" i="1"/>
  <c r="B205" i="1"/>
  <c r="H205" i="1"/>
  <c r="B206" i="1"/>
  <c r="H206" i="1"/>
  <c r="B207" i="1"/>
  <c r="H207" i="1"/>
  <c r="B208" i="1"/>
  <c r="H208" i="1"/>
  <c r="B209" i="1"/>
  <c r="H209" i="1"/>
  <c r="B210" i="1"/>
  <c r="H210" i="1"/>
  <c r="B211" i="1"/>
  <c r="H211" i="1"/>
  <c r="B212" i="1"/>
  <c r="H212" i="1"/>
  <c r="B213" i="1"/>
  <c r="H213" i="1"/>
  <c r="B214" i="1"/>
  <c r="H214" i="1"/>
  <c r="B215" i="1"/>
  <c r="H215" i="1"/>
  <c r="B216" i="1"/>
  <c r="H216" i="1"/>
  <c r="B217" i="1"/>
  <c r="H217" i="1"/>
  <c r="B218" i="1"/>
  <c r="H218" i="1"/>
  <c r="B219" i="1"/>
  <c r="H219" i="1"/>
  <c r="B220" i="1"/>
  <c r="H220" i="1"/>
  <c r="B221" i="1"/>
  <c r="H221" i="1"/>
  <c r="B222" i="1"/>
  <c r="H222" i="1"/>
  <c r="B223" i="1"/>
  <c r="H223" i="1"/>
  <c r="B224" i="1"/>
  <c r="H224" i="1"/>
  <c r="B225" i="1"/>
  <c r="H225" i="1"/>
  <c r="B226" i="1"/>
  <c r="H226" i="1"/>
  <c r="B227" i="1"/>
  <c r="H227" i="1"/>
  <c r="B228" i="1"/>
  <c r="H228" i="1"/>
  <c r="B229" i="1"/>
  <c r="H229" i="1"/>
  <c r="B230" i="1"/>
  <c r="H230" i="1"/>
  <c r="B231" i="1"/>
  <c r="H231" i="1"/>
  <c r="B232" i="1"/>
  <c r="H232" i="1"/>
  <c r="B233" i="1"/>
  <c r="H233" i="1"/>
  <c r="B234" i="1"/>
  <c r="H234" i="1"/>
  <c r="B235" i="1"/>
  <c r="H235" i="1"/>
  <c r="B236" i="1"/>
  <c r="H236" i="1"/>
  <c r="B237" i="1"/>
  <c r="H237" i="1"/>
  <c r="B238" i="1"/>
  <c r="H238" i="1"/>
  <c r="B239" i="1"/>
  <c r="H239" i="1"/>
  <c r="B240" i="1"/>
  <c r="H240" i="1"/>
  <c r="B241" i="1"/>
  <c r="H241" i="1"/>
  <c r="B242" i="1"/>
  <c r="H242" i="1"/>
  <c r="B243" i="1"/>
  <c r="H243" i="1"/>
  <c r="B244" i="1"/>
  <c r="H244" i="1"/>
  <c r="B245" i="1"/>
  <c r="H245" i="1"/>
  <c r="B246" i="1"/>
  <c r="H246" i="1"/>
  <c r="B247" i="1"/>
  <c r="H247" i="1"/>
  <c r="B248" i="1"/>
  <c r="H248" i="1"/>
  <c r="B249" i="1"/>
  <c r="H249" i="1"/>
  <c r="B250" i="1"/>
  <c r="H250" i="1"/>
  <c r="B251" i="1"/>
  <c r="H251" i="1"/>
  <c r="B252" i="1"/>
  <c r="H252" i="1"/>
  <c r="B253" i="1"/>
  <c r="H253" i="1"/>
  <c r="B254" i="1"/>
  <c r="H254" i="1"/>
  <c r="B255" i="1"/>
  <c r="H255" i="1"/>
  <c r="B256" i="1"/>
  <c r="H256" i="1"/>
  <c r="B257" i="1"/>
  <c r="H257" i="1"/>
  <c r="B258" i="1"/>
  <c r="H258" i="1"/>
  <c r="B259" i="1"/>
  <c r="H259" i="1"/>
  <c r="B260" i="1"/>
  <c r="H260" i="1"/>
  <c r="B261" i="1"/>
  <c r="H261" i="1"/>
  <c r="B262" i="1"/>
  <c r="H262" i="1"/>
  <c r="B263" i="1"/>
  <c r="H263" i="1"/>
  <c r="B264" i="1"/>
  <c r="H264" i="1"/>
  <c r="B265" i="1"/>
  <c r="H265" i="1"/>
  <c r="B266" i="1"/>
  <c r="H266" i="1"/>
  <c r="B267" i="1"/>
  <c r="H267" i="1"/>
  <c r="B268" i="1"/>
  <c r="H268" i="1"/>
  <c r="B269" i="1"/>
  <c r="H269" i="1"/>
  <c r="B270" i="1"/>
  <c r="H270" i="1"/>
  <c r="B271" i="1"/>
  <c r="H271" i="1"/>
  <c r="B272" i="1"/>
  <c r="H272" i="1"/>
  <c r="B273" i="1"/>
  <c r="H273" i="1"/>
  <c r="B274" i="1"/>
  <c r="H274" i="1"/>
  <c r="B275" i="1"/>
  <c r="H275" i="1"/>
  <c r="B276" i="1"/>
  <c r="H276" i="1"/>
  <c r="B277" i="1"/>
  <c r="H277" i="1"/>
  <c r="B278" i="1"/>
  <c r="H278" i="1"/>
  <c r="B279" i="1"/>
  <c r="H279" i="1"/>
  <c r="B280" i="1"/>
  <c r="H280" i="1"/>
  <c r="B281" i="1"/>
  <c r="H281" i="1"/>
  <c r="B282" i="1"/>
  <c r="H282" i="1"/>
  <c r="B283" i="1"/>
  <c r="H283" i="1"/>
  <c r="B284" i="1"/>
  <c r="H284" i="1"/>
  <c r="B285" i="1"/>
  <c r="H285" i="1"/>
  <c r="B286" i="1"/>
  <c r="H286" i="1"/>
  <c r="B287" i="1"/>
  <c r="H287" i="1"/>
  <c r="B288" i="1"/>
  <c r="H288" i="1"/>
  <c r="B289" i="1"/>
  <c r="H289" i="1"/>
  <c r="B290" i="1"/>
  <c r="H290" i="1"/>
  <c r="B291" i="1"/>
  <c r="H291" i="1"/>
  <c r="B292" i="1"/>
  <c r="H292" i="1"/>
  <c r="B293" i="1"/>
  <c r="H293" i="1"/>
  <c r="B294" i="1"/>
  <c r="H294" i="1"/>
  <c r="B295" i="1"/>
  <c r="H295" i="1"/>
  <c r="B296" i="1"/>
  <c r="H296" i="1"/>
  <c r="B297" i="1"/>
  <c r="H297" i="1"/>
  <c r="B298" i="1"/>
  <c r="H298" i="1"/>
  <c r="B299" i="1"/>
  <c r="H299" i="1"/>
  <c r="B300" i="1"/>
  <c r="H300" i="1"/>
  <c r="B301" i="1"/>
  <c r="H301" i="1"/>
  <c r="B302" i="1"/>
  <c r="H302" i="1"/>
  <c r="B303" i="1"/>
  <c r="H303" i="1"/>
  <c r="B304" i="1"/>
  <c r="H304" i="1"/>
  <c r="B305" i="1"/>
  <c r="H305" i="1"/>
  <c r="B306" i="1"/>
  <c r="H306" i="1"/>
  <c r="B307" i="1"/>
  <c r="H307" i="1"/>
  <c r="B308" i="1"/>
  <c r="H308" i="1"/>
  <c r="B309" i="1"/>
  <c r="H309" i="1"/>
  <c r="B310" i="1"/>
  <c r="H310" i="1"/>
  <c r="B311" i="1"/>
  <c r="H311" i="1"/>
  <c r="B312" i="1"/>
  <c r="H312" i="1"/>
  <c r="B313" i="1"/>
  <c r="H313" i="1"/>
  <c r="B314" i="1"/>
  <c r="H314" i="1"/>
  <c r="B315" i="1"/>
  <c r="H315" i="1"/>
  <c r="B316" i="1"/>
  <c r="H316" i="1"/>
  <c r="B317" i="1"/>
  <c r="H317" i="1"/>
  <c r="B318" i="1"/>
  <c r="H318" i="1"/>
  <c r="B319" i="1"/>
  <c r="H319" i="1"/>
  <c r="B320" i="1"/>
  <c r="H320" i="1"/>
  <c r="B321" i="1"/>
  <c r="H321" i="1"/>
  <c r="B322" i="1"/>
  <c r="H322" i="1"/>
  <c r="B323" i="1"/>
  <c r="H323" i="1"/>
  <c r="B324" i="1"/>
  <c r="H324" i="1"/>
  <c r="B325" i="1"/>
  <c r="H325" i="1"/>
  <c r="B326" i="1"/>
  <c r="H326" i="1"/>
  <c r="B327" i="1"/>
  <c r="H327" i="1"/>
  <c r="B328" i="1"/>
  <c r="H328" i="1"/>
  <c r="B329" i="1"/>
  <c r="H329" i="1"/>
  <c r="B330" i="1"/>
  <c r="H330" i="1"/>
  <c r="B331" i="1"/>
  <c r="H331" i="1"/>
  <c r="B332" i="1"/>
  <c r="H332" i="1"/>
  <c r="B333" i="1"/>
  <c r="H333" i="1"/>
  <c r="B334" i="1"/>
  <c r="H334" i="1"/>
  <c r="B335" i="1"/>
  <c r="H335" i="1"/>
  <c r="B336" i="1"/>
  <c r="H336" i="1"/>
  <c r="B337" i="1"/>
  <c r="H337" i="1"/>
  <c r="B338" i="1"/>
  <c r="H338" i="1"/>
  <c r="B339" i="1"/>
  <c r="H339" i="1"/>
  <c r="B340" i="1"/>
  <c r="H340" i="1"/>
  <c r="B341" i="1"/>
  <c r="H341" i="1"/>
  <c r="B342" i="1"/>
  <c r="H342" i="1"/>
  <c r="B343" i="1"/>
  <c r="H343" i="1"/>
  <c r="B344" i="1"/>
  <c r="H344" i="1"/>
  <c r="B345" i="1"/>
  <c r="H345" i="1"/>
  <c r="B346" i="1"/>
  <c r="H346" i="1"/>
  <c r="B347" i="1"/>
  <c r="H347" i="1"/>
  <c r="B348" i="1"/>
  <c r="H348" i="1"/>
  <c r="B349" i="1"/>
  <c r="H349" i="1"/>
  <c r="B350" i="1"/>
  <c r="H350" i="1"/>
  <c r="B351" i="1"/>
  <c r="H351" i="1"/>
  <c r="B352" i="1"/>
  <c r="H352" i="1"/>
  <c r="B353" i="1"/>
  <c r="H353" i="1"/>
  <c r="B354" i="1"/>
  <c r="H354" i="1"/>
  <c r="B355" i="1"/>
  <c r="H355" i="1"/>
  <c r="B356" i="1"/>
  <c r="H356" i="1"/>
  <c r="B357" i="1"/>
  <c r="H357" i="1"/>
  <c r="B358" i="1"/>
  <c r="H358" i="1"/>
  <c r="B359" i="1"/>
  <c r="H359" i="1"/>
  <c r="B360" i="1"/>
  <c r="H360" i="1"/>
  <c r="B361" i="1"/>
  <c r="H361" i="1"/>
  <c r="B362" i="1"/>
  <c r="H362" i="1"/>
  <c r="B363" i="1"/>
  <c r="H363" i="1"/>
  <c r="B364" i="1"/>
  <c r="H364" i="1"/>
  <c r="B365" i="1"/>
  <c r="H365" i="1"/>
  <c r="B366" i="1"/>
  <c r="H366" i="1"/>
  <c r="B367" i="1"/>
  <c r="H367" i="1"/>
  <c r="B368" i="1"/>
  <c r="H368" i="1"/>
  <c r="B369" i="1"/>
  <c r="H369" i="1"/>
  <c r="B370" i="1"/>
  <c r="H370" i="1"/>
  <c r="B371" i="1"/>
  <c r="H371" i="1"/>
  <c r="B372" i="1"/>
  <c r="H372" i="1"/>
  <c r="B373" i="1"/>
  <c r="H373" i="1"/>
  <c r="B374" i="1"/>
  <c r="H374" i="1"/>
  <c r="B375" i="1"/>
  <c r="H375" i="1"/>
  <c r="B376" i="1"/>
  <c r="H376" i="1"/>
  <c r="B377" i="1"/>
  <c r="H377" i="1"/>
  <c r="B378" i="1"/>
  <c r="H378" i="1"/>
  <c r="B379" i="1"/>
  <c r="H379" i="1"/>
  <c r="B380" i="1"/>
  <c r="H380" i="1"/>
  <c r="B381" i="1"/>
  <c r="H381" i="1"/>
  <c r="B382" i="1"/>
  <c r="H382" i="1"/>
  <c r="B383" i="1"/>
  <c r="H383" i="1"/>
  <c r="B384" i="1"/>
  <c r="H384" i="1"/>
  <c r="B385" i="1"/>
  <c r="H385" i="1"/>
  <c r="B386" i="1"/>
  <c r="H386" i="1"/>
  <c r="B387" i="1"/>
  <c r="H387" i="1"/>
  <c r="B388" i="1"/>
  <c r="H388" i="1"/>
  <c r="B389" i="1"/>
  <c r="H389" i="1"/>
  <c r="B390" i="1"/>
  <c r="H390" i="1"/>
  <c r="B391" i="1"/>
  <c r="H391" i="1"/>
  <c r="B392" i="1"/>
  <c r="H392" i="1"/>
  <c r="B393" i="1"/>
  <c r="H393" i="1"/>
  <c r="B394" i="1"/>
  <c r="H394" i="1"/>
  <c r="B395" i="1"/>
  <c r="H395" i="1"/>
  <c r="B396" i="1"/>
  <c r="H396" i="1"/>
  <c r="B397" i="1"/>
  <c r="H397" i="1"/>
  <c r="B398" i="1"/>
  <c r="H398" i="1"/>
  <c r="B399" i="1"/>
  <c r="H399" i="1"/>
  <c r="B400" i="1"/>
  <c r="H400" i="1"/>
  <c r="B401" i="1"/>
  <c r="H401" i="1"/>
  <c r="B402" i="1"/>
  <c r="H402" i="1"/>
  <c r="B403" i="1"/>
  <c r="H403" i="1"/>
  <c r="B404" i="1"/>
  <c r="H404" i="1"/>
  <c r="B405" i="1"/>
  <c r="H405" i="1"/>
  <c r="B406" i="1"/>
  <c r="H406" i="1"/>
  <c r="B407" i="1"/>
  <c r="H407" i="1"/>
  <c r="B408" i="1"/>
  <c r="H408" i="1"/>
  <c r="B409" i="1"/>
  <c r="H409" i="1"/>
  <c r="B410" i="1"/>
  <c r="H410" i="1"/>
  <c r="B411" i="1"/>
  <c r="H411" i="1"/>
  <c r="B412" i="1"/>
  <c r="H412" i="1"/>
  <c r="B413" i="1"/>
  <c r="H413" i="1"/>
  <c r="B414" i="1"/>
  <c r="H414" i="1"/>
  <c r="B415" i="1"/>
  <c r="H415" i="1"/>
  <c r="B416" i="1"/>
  <c r="H416" i="1"/>
  <c r="B417" i="1"/>
  <c r="H417" i="1"/>
  <c r="B418" i="1"/>
  <c r="H418" i="1"/>
  <c r="B419" i="1"/>
  <c r="H419" i="1"/>
  <c r="B420" i="1"/>
  <c r="H420" i="1"/>
  <c r="B421" i="1"/>
  <c r="H421" i="1"/>
  <c r="B422" i="1"/>
  <c r="H422" i="1"/>
  <c r="B423" i="1"/>
  <c r="H423" i="1"/>
  <c r="B424" i="1"/>
  <c r="H424" i="1"/>
  <c r="B425" i="1"/>
  <c r="H425" i="1"/>
  <c r="B426" i="1"/>
  <c r="H426" i="1"/>
  <c r="B427" i="1"/>
  <c r="H427" i="1"/>
  <c r="B428" i="1"/>
  <c r="H428" i="1"/>
  <c r="B429" i="1"/>
  <c r="H429" i="1"/>
  <c r="B430" i="1"/>
  <c r="H430" i="1"/>
  <c r="B431" i="1"/>
  <c r="H431" i="1"/>
  <c r="B432" i="1"/>
  <c r="H432" i="1"/>
  <c r="B433" i="1"/>
  <c r="H433" i="1"/>
  <c r="B434" i="1"/>
  <c r="H434" i="1"/>
  <c r="B435" i="1"/>
  <c r="H435" i="1"/>
  <c r="B436" i="1"/>
  <c r="H436" i="1"/>
  <c r="B437" i="1"/>
  <c r="H437" i="1"/>
  <c r="B438" i="1"/>
  <c r="H438" i="1"/>
  <c r="B439" i="1"/>
  <c r="H439" i="1"/>
  <c r="B440" i="1"/>
  <c r="H440" i="1"/>
  <c r="B441" i="1"/>
  <c r="H441" i="1"/>
  <c r="B442" i="1"/>
  <c r="H442" i="1"/>
  <c r="B443" i="1"/>
  <c r="H443" i="1"/>
  <c r="B444" i="1"/>
  <c r="H444" i="1"/>
  <c r="B445" i="1"/>
  <c r="H445" i="1"/>
  <c r="B446" i="1"/>
  <c r="H446" i="1"/>
  <c r="B447" i="1"/>
  <c r="H447" i="1"/>
  <c r="B448" i="1"/>
  <c r="H448" i="1"/>
  <c r="B449" i="1"/>
  <c r="H449" i="1"/>
  <c r="B450" i="1"/>
  <c r="H450" i="1"/>
  <c r="B451" i="1"/>
  <c r="H451" i="1"/>
  <c r="B452" i="1"/>
  <c r="H452" i="1"/>
  <c r="B453" i="1"/>
  <c r="H453" i="1"/>
  <c r="B454" i="1"/>
  <c r="H454" i="1"/>
  <c r="B455" i="1"/>
  <c r="H455" i="1"/>
  <c r="B456" i="1"/>
  <c r="H456" i="1"/>
  <c r="B457" i="1"/>
  <c r="H457" i="1"/>
  <c r="B458" i="1"/>
  <c r="H458" i="1"/>
  <c r="B459" i="1"/>
  <c r="H459" i="1"/>
  <c r="B460" i="1"/>
  <c r="H460" i="1"/>
  <c r="B461" i="1"/>
  <c r="H461" i="1"/>
  <c r="B462" i="1"/>
  <c r="H462" i="1"/>
  <c r="B463" i="1"/>
  <c r="H463" i="1"/>
  <c r="B464" i="1"/>
  <c r="H464" i="1"/>
  <c r="B465" i="1"/>
  <c r="H465" i="1"/>
  <c r="B466" i="1"/>
  <c r="H466" i="1"/>
  <c r="B467" i="1"/>
  <c r="H467" i="1"/>
  <c r="B468" i="1"/>
  <c r="H468" i="1"/>
  <c r="B469" i="1"/>
  <c r="H469" i="1"/>
  <c r="B470" i="1"/>
  <c r="H470" i="1"/>
  <c r="B471" i="1"/>
  <c r="H471" i="1"/>
  <c r="B472" i="1"/>
  <c r="H472" i="1"/>
  <c r="B473" i="1"/>
  <c r="H473" i="1"/>
  <c r="B474" i="1"/>
  <c r="H474" i="1"/>
  <c r="B475" i="1"/>
  <c r="H475" i="1"/>
  <c r="B476" i="1"/>
  <c r="H476" i="1"/>
  <c r="B477" i="1"/>
  <c r="H477" i="1"/>
  <c r="B478" i="1"/>
  <c r="H478" i="1"/>
  <c r="B479" i="1"/>
  <c r="H479" i="1"/>
  <c r="B480" i="1"/>
  <c r="H480" i="1"/>
  <c r="B481" i="1"/>
  <c r="H481" i="1"/>
  <c r="B482" i="1"/>
  <c r="H482" i="1"/>
  <c r="B483" i="1"/>
  <c r="H483" i="1"/>
  <c r="B484" i="1"/>
  <c r="H484" i="1"/>
  <c r="B485" i="1"/>
  <c r="H485" i="1"/>
  <c r="B486" i="1"/>
  <c r="H486" i="1"/>
  <c r="B487" i="1"/>
  <c r="H487" i="1"/>
  <c r="B488" i="1"/>
  <c r="H488" i="1"/>
  <c r="B489" i="1"/>
  <c r="H489" i="1"/>
  <c r="B490" i="1"/>
  <c r="H490" i="1"/>
  <c r="B491" i="1"/>
  <c r="H491" i="1"/>
  <c r="B492" i="1"/>
  <c r="H492" i="1"/>
  <c r="B493" i="1"/>
  <c r="H493" i="1"/>
  <c r="B494" i="1"/>
  <c r="H494" i="1"/>
  <c r="B495" i="1"/>
  <c r="H495" i="1"/>
  <c r="B496" i="1"/>
  <c r="H496" i="1"/>
  <c r="B497" i="1"/>
  <c r="H497" i="1"/>
  <c r="B498" i="1"/>
  <c r="H498" i="1"/>
  <c r="B499" i="1"/>
  <c r="H499" i="1"/>
  <c r="B500" i="1"/>
  <c r="H500" i="1"/>
  <c r="B501" i="1"/>
  <c r="H501" i="1"/>
  <c r="B502" i="1"/>
  <c r="H502" i="1"/>
  <c r="B503" i="1"/>
  <c r="H503" i="1"/>
  <c r="B504" i="1"/>
  <c r="H504" i="1"/>
  <c r="B505" i="1"/>
  <c r="H505" i="1"/>
  <c r="B506" i="1"/>
  <c r="H506" i="1"/>
  <c r="B507" i="1"/>
  <c r="H507" i="1"/>
  <c r="B508" i="1"/>
  <c r="H508" i="1"/>
  <c r="B509" i="1"/>
  <c r="H509" i="1"/>
  <c r="B510" i="1"/>
  <c r="H510" i="1"/>
  <c r="B511" i="1"/>
  <c r="H511" i="1"/>
  <c r="B512" i="1"/>
  <c r="H512" i="1"/>
  <c r="B513" i="1"/>
  <c r="H513" i="1"/>
  <c r="B514" i="1"/>
  <c r="H514" i="1"/>
  <c r="B515" i="1"/>
  <c r="H515" i="1"/>
  <c r="B516" i="1"/>
  <c r="H516" i="1"/>
  <c r="B517" i="1"/>
  <c r="H517" i="1"/>
  <c r="B518" i="1"/>
  <c r="H518" i="1"/>
  <c r="B519" i="1"/>
  <c r="H519" i="1"/>
  <c r="B520" i="1"/>
  <c r="H520" i="1"/>
  <c r="B521" i="1"/>
  <c r="H521" i="1"/>
  <c r="B522" i="1"/>
  <c r="H522" i="1"/>
  <c r="B523" i="1"/>
  <c r="H523" i="1"/>
  <c r="B524" i="1"/>
  <c r="H524" i="1"/>
  <c r="B525" i="1"/>
  <c r="H525" i="1"/>
  <c r="B526" i="1"/>
  <c r="H526" i="1"/>
  <c r="B527" i="1"/>
  <c r="H527" i="1"/>
  <c r="B528" i="1"/>
  <c r="H528" i="1"/>
  <c r="B529" i="1"/>
  <c r="H529" i="1"/>
  <c r="B530" i="1"/>
  <c r="H530" i="1"/>
  <c r="B531" i="1"/>
  <c r="H531" i="1"/>
  <c r="B532" i="1"/>
  <c r="H532" i="1"/>
  <c r="B533" i="1"/>
  <c r="H533" i="1"/>
  <c r="B534" i="1"/>
  <c r="H534" i="1"/>
  <c r="B535" i="1"/>
  <c r="H535" i="1"/>
  <c r="B536" i="1"/>
  <c r="H536" i="1"/>
  <c r="B537" i="1"/>
  <c r="H537" i="1"/>
  <c r="B538" i="1"/>
  <c r="H538" i="1"/>
  <c r="B539" i="1"/>
  <c r="H539" i="1"/>
  <c r="B540" i="1"/>
  <c r="H540" i="1"/>
  <c r="B541" i="1"/>
  <c r="H541" i="1"/>
  <c r="B542" i="1"/>
  <c r="H542" i="1"/>
  <c r="B543" i="1"/>
  <c r="H543" i="1"/>
  <c r="B544" i="1"/>
  <c r="H544" i="1"/>
  <c r="B545" i="1"/>
  <c r="H545" i="1"/>
  <c r="B546" i="1"/>
  <c r="H546" i="1"/>
  <c r="B547" i="1"/>
  <c r="H547" i="1"/>
  <c r="B548" i="1"/>
  <c r="H548" i="1"/>
  <c r="B549" i="1"/>
  <c r="H549" i="1"/>
  <c r="B550" i="1"/>
  <c r="H550" i="1"/>
  <c r="B551" i="1"/>
  <c r="H551" i="1"/>
  <c r="B552" i="1"/>
  <c r="H552" i="1"/>
  <c r="B553" i="1"/>
  <c r="H553" i="1"/>
  <c r="B554" i="1"/>
  <c r="H554" i="1"/>
  <c r="B555" i="1"/>
  <c r="H555" i="1"/>
  <c r="B556" i="1"/>
  <c r="H556" i="1"/>
  <c r="B557" i="1"/>
  <c r="H557" i="1"/>
  <c r="B558" i="1"/>
  <c r="H558" i="1"/>
  <c r="B559" i="1"/>
  <c r="H559" i="1"/>
  <c r="B560" i="1"/>
  <c r="H560" i="1"/>
  <c r="B561" i="1"/>
  <c r="H561" i="1"/>
  <c r="B562" i="1"/>
  <c r="H562" i="1"/>
  <c r="B563" i="1"/>
  <c r="H563" i="1"/>
  <c r="B564" i="1"/>
  <c r="H564" i="1"/>
  <c r="B565" i="1"/>
  <c r="H565" i="1"/>
  <c r="B566" i="1"/>
  <c r="H566" i="1"/>
  <c r="B567" i="1"/>
  <c r="H567" i="1"/>
  <c r="B568" i="1"/>
  <c r="H568" i="1"/>
  <c r="B569" i="1"/>
  <c r="H569" i="1"/>
  <c r="B570" i="1"/>
  <c r="H570" i="1"/>
  <c r="B571" i="1"/>
  <c r="H571" i="1"/>
  <c r="B572" i="1"/>
  <c r="H572" i="1"/>
  <c r="B573" i="1"/>
  <c r="H573" i="1"/>
  <c r="B574" i="1"/>
  <c r="H574" i="1"/>
  <c r="B575" i="1"/>
  <c r="H575" i="1"/>
  <c r="B576" i="1"/>
  <c r="H576" i="1"/>
  <c r="B577" i="1"/>
  <c r="H577" i="1"/>
  <c r="B578" i="1"/>
  <c r="H578" i="1"/>
  <c r="B579" i="1"/>
  <c r="H579" i="1"/>
  <c r="B580" i="1"/>
  <c r="H580" i="1"/>
  <c r="B581" i="1"/>
  <c r="H581" i="1"/>
  <c r="B582" i="1"/>
  <c r="H582" i="1"/>
  <c r="B583" i="1"/>
  <c r="H583" i="1"/>
  <c r="B584" i="1"/>
  <c r="H584" i="1"/>
  <c r="B585" i="1"/>
  <c r="H585" i="1"/>
  <c r="B586" i="1"/>
  <c r="H586" i="1"/>
  <c r="B587" i="1"/>
  <c r="H587" i="1"/>
  <c r="B588" i="1"/>
  <c r="H588" i="1"/>
  <c r="B589" i="1"/>
  <c r="H589" i="1"/>
  <c r="B590" i="1"/>
  <c r="H590" i="1"/>
  <c r="B591" i="1"/>
  <c r="H591" i="1"/>
  <c r="B592" i="1"/>
  <c r="H592" i="1"/>
  <c r="B593" i="1"/>
  <c r="H593" i="1"/>
  <c r="B594" i="1"/>
  <c r="H594" i="1"/>
  <c r="B595" i="1"/>
  <c r="H595" i="1"/>
  <c r="B596" i="1"/>
  <c r="H596" i="1"/>
  <c r="B597" i="1"/>
  <c r="H597" i="1"/>
  <c r="B598" i="1"/>
  <c r="H598" i="1"/>
  <c r="B599" i="1"/>
  <c r="H599" i="1"/>
  <c r="B600" i="1"/>
  <c r="H600" i="1"/>
  <c r="B601" i="1"/>
  <c r="H601" i="1"/>
  <c r="B602" i="1"/>
  <c r="H602" i="1"/>
  <c r="B603" i="1"/>
  <c r="H603" i="1"/>
  <c r="B604" i="1"/>
  <c r="H604" i="1"/>
  <c r="B605" i="1"/>
  <c r="H605" i="1"/>
  <c r="B606" i="1"/>
  <c r="H606" i="1"/>
  <c r="B607" i="1"/>
  <c r="H607" i="1"/>
  <c r="B608" i="1"/>
  <c r="H608" i="1"/>
  <c r="B609" i="1"/>
  <c r="H609" i="1"/>
  <c r="B610" i="1"/>
  <c r="H610" i="1"/>
  <c r="B611" i="1"/>
  <c r="H611" i="1"/>
  <c r="B612" i="1"/>
  <c r="H612" i="1"/>
  <c r="B613" i="1"/>
  <c r="H613" i="1"/>
  <c r="B614" i="1"/>
  <c r="H614" i="1"/>
  <c r="B615" i="1"/>
  <c r="H615" i="1"/>
  <c r="B616" i="1"/>
  <c r="H616" i="1"/>
  <c r="B617" i="1"/>
  <c r="H617" i="1"/>
  <c r="B618" i="1"/>
  <c r="H618" i="1"/>
  <c r="B619" i="1"/>
  <c r="H619" i="1"/>
  <c r="B620" i="1"/>
  <c r="H620" i="1"/>
  <c r="B621" i="1"/>
  <c r="H621" i="1"/>
  <c r="B622" i="1"/>
  <c r="H622" i="1"/>
  <c r="B623" i="1"/>
  <c r="H623" i="1"/>
  <c r="B624" i="1"/>
  <c r="H624" i="1"/>
  <c r="B625" i="1"/>
  <c r="H625" i="1"/>
  <c r="B626" i="1"/>
  <c r="H626" i="1"/>
  <c r="B627" i="1"/>
  <c r="H627" i="1"/>
  <c r="B628" i="1"/>
  <c r="H628" i="1"/>
  <c r="B629" i="1"/>
  <c r="H629" i="1"/>
</calcChain>
</file>

<file path=xl/sharedStrings.xml><?xml version="1.0" encoding="utf-8"?>
<sst xmlns="http://schemas.openxmlformats.org/spreadsheetml/2006/main" count="4402" uniqueCount="1690">
  <si>
    <t>Application area</t>
  </si>
  <si>
    <t>Causing note</t>
  </si>
  <si>
    <t>Note text</t>
  </si>
  <si>
    <t>Note version(s)</t>
  </si>
  <si>
    <t>In Support Package</t>
  </si>
  <si>
    <t>Note Version</t>
  </si>
  <si>
    <t>Solving Note</t>
  </si>
  <si>
    <t>Priority</t>
  </si>
  <si>
    <t>AC-CO-AT</t>
  </si>
  <si>
    <t>COAT: Incomplete selection variants</t>
  </si>
  <si>
    <t>0001 to 9999</t>
  </si>
  <si>
    <t>SAPKA74008</t>
  </si>
  <si>
    <t>COAT: Incomplete selection variant - Addition to SAP Note 2023046</t>
  </si>
  <si>
    <t>Correction with medium priority</t>
  </si>
  <si>
    <t>AP-MD-BP</t>
  </si>
  <si>
    <t>BADI for further authorisation checks in BP search help 2.</t>
  </si>
  <si>
    <t>0006 to 9999</t>
  </si>
  <si>
    <t>SAPKB74007</t>
  </si>
  <si>
    <t>Short dump DATA_INCONS_IN_EXIT_MANAGEM in BP search help</t>
  </si>
  <si>
    <t>BADI for further authorisation checks in BP search help 1.</t>
  </si>
  <si>
    <t>0003 to 9999</t>
  </si>
  <si>
    <t>AP-PRC-PR</t>
  </si>
  <si>
    <t>Memory and Runtime Optimization in IPC Pricing Engine</t>
  </si>
  <si>
    <t>SAPKNA7031</t>
  </si>
  <si>
    <t>Condition value calculated wrongly due to wrong condition factor</t>
  </si>
  <si>
    <t>BC-BMT-WFM</t>
  </si>
  <si>
    <t>Workflow report transaction: Authorization default S_PROGRAM</t>
  </si>
  <si>
    <t>BC-BMT-WFM-NOT</t>
  </si>
  <si>
    <t>SUBMIT authorization WF_INTRN for program RSWNWIEX</t>
  </si>
  <si>
    <t>Optimization of work item archiving</t>
  </si>
  <si>
    <t>Workitem-Archivierung: Laufzeitfehler OBJECTS_OBJREF_NOT_ASSIGNED</t>
  </si>
  <si>
    <t>BC-BW-ODP</t>
  </si>
  <si>
    <t>RDA support in the ODP Data Replication API (SP 10)</t>
  </si>
  <si>
    <t>SAPK-74005INPIBASIS</t>
  </si>
  <si>
    <t>RDA support in the ODP Data Replication API (SP 11)</t>
  </si>
  <si>
    <t>Correction with low priority</t>
  </si>
  <si>
    <t>BC-CCM-MON</t>
  </si>
  <si>
    <t>CL_RANDOM_NUMBER does not generate random numbers</t>
  </si>
  <si>
    <t>No real random numbers generated by CL_RANDOM_NUMBER</t>
  </si>
  <si>
    <t>BC-CCM-PRN</t>
  </si>
  <si>
    <t>Unable to change format in SP01</t>
  </si>
  <si>
    <t>Spool requests cannot be printed from SP01</t>
  </si>
  <si>
    <t>UPE: Output of English characters with Asian fonts</t>
  </si>
  <si>
    <t>Unnecessary write accesses to table STXL</t>
  </si>
  <si>
    <t>Not saving ADS spool files as clear text</t>
  </si>
  <si>
    <t>SAPKB74008</t>
  </si>
  <si>
    <t>ADS spool requests larger than 65K cannot be displayed</t>
  </si>
  <si>
    <t>Correction with high priority</t>
  </si>
  <si>
    <t>BC-CST-IC</t>
  </si>
  <si>
    <t>Authorization check in package SICM is too strict</t>
  </si>
  <si>
    <t>SAPKB74006</t>
  </si>
  <si>
    <t>Authorization check in FM ICM_GET_INFO2 is too strict</t>
  </si>
  <si>
    <t>BC-CTS-LAN</t>
  </si>
  <si>
    <t>RSTLAN_EXPORT: Enhancement for SAP internal language exports</t>
  </si>
  <si>
    <t>RSTLAN_EXPORT: Improvement to enhancement for internal SAP language exports</t>
  </si>
  <si>
    <t>BC-CUS-TOL-PAD</t>
  </si>
  <si>
    <t>Check for initial table in LS_IMG_TOOL_5O01</t>
  </si>
  <si>
    <t>BC-CUS-TOL</t>
  </si>
  <si>
    <t>In SPRO: Description of project is missing</t>
  </si>
  <si>
    <t>BC-DB-DBI</t>
  </si>
  <si>
    <t>Method TRF_RGTAB_TO_SQLEXPR and pattern with wildcards</t>
  </si>
  <si>
    <t>SAPKB74005</t>
  </si>
  <si>
    <t>BW-WHM-DST-ARC</t>
  </si>
  <si>
    <t>No items shown im Near-line Partition Monitor for Sybase IQ</t>
  </si>
  <si>
    <t>BC-DWB-TOO-ENH</t>
  </si>
  <si>
    <t>Unable to compare versions between two remote systems for enhancement implementations or spots</t>
  </si>
  <si>
    <t>Syntax errors result from duplicate parameters in version comparison programs</t>
  </si>
  <si>
    <t>BC-DWB-TOO-SFW</t>
  </si>
  <si>
    <t>SFW5: Switches get switched off even though they are assigned to Business Functions which are switch</t>
  </si>
  <si>
    <t>SFW5: Dictionay objects are not getting activated during Switch Framework activation</t>
  </si>
  <si>
    <t>SFW1: Function &amp;quot;Activate Dependent BC-Sets&amp;quot; is available when displaying a version from th</t>
  </si>
  <si>
    <t>SFW1: Dump OBJECTS_OBJREF_NOT_ASSIGNED_NO when activating a switch</t>
  </si>
  <si>
    <t>BC-DWB-TOO-WAB</t>
  </si>
  <si>
    <t>Improvements for the initialization of the graphical editor</t>
  </si>
  <si>
    <t>Correction to SAP Note 1873703</t>
  </si>
  <si>
    <t>Inconsistencies with language-dependent MIME objects</t>
  </si>
  <si>
    <t>Runtime error for local publishing of ITS service with language-dependent MIME objects</t>
  </si>
  <si>
    <t>BC-DWB-WS-ABA</t>
  </si>
  <si>
    <t>Optimizations for inside out web services</t>
  </si>
  <si>
    <t>Inside out web service call fails</t>
  </si>
  <si>
    <t>BC-EIM-ESH</t>
  </si>
  <si>
    <t>ES: Connector creation errors due to VALUE_STRING</t>
  </si>
  <si>
    <t>PLM-RM-SPE</t>
  </si>
  <si>
    <t>Enterprise Search: Too few or no search hits</t>
  </si>
  <si>
    <t>BC-ESI-BOF</t>
  </si>
  <si>
    <t>Exclusive Endless Editing Mode</t>
  </si>
  <si>
    <t>SAPK-74704INSAPBSFND</t>
  </si>
  <si>
    <t>TM-PLN</t>
  </si>
  <si>
    <t>TC: SYNTAX_ERROR when starting the Transportation Cockpit</t>
  </si>
  <si>
    <t>Short dump when doing cleanup in transaction manager</t>
  </si>
  <si>
    <t>SAPK-74705INSAPBSFND</t>
  </si>
  <si>
    <t>BOPF unlocks parent nodes after loading sub nodes</t>
  </si>
  <si>
    <t>BC-FES-BUS-HTM</t>
  </si>
  <si>
    <t>SAP NWBC ABAP Runtime Patch 40</t>
  </si>
  <si>
    <t>SAPK-74010INSAPUI</t>
  </si>
  <si>
    <t>BC-FES-BUS</t>
  </si>
  <si>
    <t>SAP NWBC ABAP Runtime Patch 42</t>
  </si>
  <si>
    <t>BC-FES-ITS</t>
  </si>
  <si>
    <t>RESTGUI: ABAP interface does not work correctly inside RFC calls</t>
  </si>
  <si>
    <t>Restgui: Regression that leads to spontaneous session timeout messages</t>
  </si>
  <si>
    <t>ITSmobile Visual Editor: Prerequisites for switching screens quickly</t>
  </si>
  <si>
    <t>ITSmobile Visual Editor: User changes are not always saved correctly</t>
  </si>
  <si>
    <t>BC-ILM-ACA</t>
  </si>
  <si>
    <t>ILM_TRANS_ADMIN doesn't fully support multiple Data Transfers</t>
  </si>
  <si>
    <t>ILM_TRANS_ADMIN multiple transfer and Status update</t>
  </si>
  <si>
    <t>BC-MID-ALE</t>
  </si>
  <si>
    <t>IDoc archiving performance</t>
  </si>
  <si>
    <t>Lost of IDocs after Support Package SAPKB73112</t>
  </si>
  <si>
    <t>Hot News</t>
  </si>
  <si>
    <t>BC-MID-ICF</t>
  </si>
  <si>
    <t>Performance improvement in module HTTP_READ_DEBUG</t>
  </si>
  <si>
    <t>BC-MID-RFC</t>
  </si>
  <si>
    <t>Terminal debugging for HTTP request</t>
  </si>
  <si>
    <t>Enhancement to virtual host administration</t>
  </si>
  <si>
    <t>Method &amp;quot;get_location&amp;quot; can return incorrect result</t>
  </si>
  <si>
    <t>LOGOFF method: New optional REDIRECT_URL parametet</t>
  </si>
  <si>
    <t>CA-WUI</t>
  </si>
  <si>
    <t>Reacting to IF_HTTP_SERVER-&amp;gt;LOGOFF() signature change</t>
  </si>
  <si>
    <t>Service cannot be reached if external alias contains underscore</t>
  </si>
  <si>
    <t>Handling of alternative ICF service names with fewer than 16 characters</t>
  </si>
  <si>
    <t>Incorrect calculation of URL suffix</t>
  </si>
  <si>
    <t>Secure session cookie issued for SAP NetWeaver Process Integration (XI) requests</t>
  </si>
  <si>
    <t>Retention of URI case sensitivity</t>
  </si>
  <si>
    <t>Positive lists for RFC callback</t>
  </si>
  <si>
    <t>Wrong originally called function in RFC callback check</t>
  </si>
  <si>
    <t>Maintenance of destination authorization with destination API</t>
  </si>
  <si>
    <t>Destination authorization change with RFC_MODIFY_R3_DESTINATION</t>
  </si>
  <si>
    <t>BC-MID-RFC-QT</t>
  </si>
  <si>
    <t>RSTRFCEG does not identify all inconsistencies</t>
  </si>
  <si>
    <t>RSTRFCEG creating DB locks when run in batch mode</t>
  </si>
  <si>
    <t>BC-MUS-LP</t>
  </si>
  <si>
    <t>LPD: Display of further attributes in LPD_CUST</t>
  </si>
  <si>
    <t>SAPK-74007INSAPUI</t>
  </si>
  <si>
    <t>LPD: Original language of launchpad is not determined correctly</t>
  </si>
  <si>
    <t>LPD: Link text in LPD_CUST cannot be edited</t>
  </si>
  <si>
    <t>Transport of local launchpads does not result in error message</t>
  </si>
  <si>
    <t>SAPK-74006INSAPUI</t>
  </si>
  <si>
    <t>LPD: Message &amp;quot;This launchpad belongs to a local package which cannot be transported&amp;quot;</t>
  </si>
  <si>
    <t>LPD: Link text and description text swapped or duplicated in launchpad</t>
  </si>
  <si>
    <t>SAPK-74008INSAPUI</t>
  </si>
  <si>
    <t>LPD: Link texts gets lost during 'save as'</t>
  </si>
  <si>
    <t>BC-MUS-POW</t>
  </si>
  <si>
    <t>POWL Dump on Detail area and Edit row data is not reflected upon lead selection</t>
  </si>
  <si>
    <t>POWL: Lead selection change post toolbar action doesn't update table</t>
  </si>
  <si>
    <t>A finished POWL_WLOAD job still consumes resources from workprocesses</t>
  </si>
  <si>
    <t>POWL: Performance of POWL_WLOAD report</t>
  </si>
  <si>
    <t>POWL: Errors in rendering of various POWL data</t>
  </si>
  <si>
    <t>POWL: Multiple issues with alv views</t>
  </si>
  <si>
    <t>POWL: Table is rendered blank on switching between queries</t>
  </si>
  <si>
    <t>POWL: Column headers not updated on refresh</t>
  </si>
  <si>
    <t>POWL errors on view switch</t>
  </si>
  <si>
    <t>BC-SEC</t>
  </si>
  <si>
    <t>SLDW: Environment for maintaining switchable whitelists</t>
  </si>
  <si>
    <t>SLDW: Transport connection for new whitelists</t>
  </si>
  <si>
    <t>Functional enhancement of SLDW</t>
  </si>
  <si>
    <t>SACF: Incomplete data after import</t>
  </si>
  <si>
    <t>BC-SEC-AUT</t>
  </si>
  <si>
    <t>SACF: Navigation error</t>
  </si>
  <si>
    <t>SACF | SACF_COMPARE error for comparison</t>
  </si>
  <si>
    <t>BC-SEC-AUT-PFC</t>
  </si>
  <si>
    <t>Missing functions in SU22/SU24</t>
  </si>
  <si>
    <t>SU25 expert mode: Search by hash code does not work</t>
  </si>
  <si>
    <t>BC-SEC-SAL</t>
  </si>
  <si>
    <t>SAL|New message definitions in the Security Audit Log</t>
  </si>
  <si>
    <t>SACF: Workbench for switchable authorization scenarios</t>
  </si>
  <si>
    <t>BC-SEC-SSF</t>
  </si>
  <si>
    <t>CL_SEC_SXML_DSIGNATURE: Inclusive C14N</t>
  </si>
  <si>
    <t>0002 to 9999</t>
  </si>
  <si>
    <t>CL_SEC_SXML_DIGNATURE=&amp;gt;embed_signature throws error</t>
  </si>
  <si>
    <t>BC-SEC-USR-ADM</t>
  </si>
  <si>
    <t>Authorization check for logon data not based on passwords</t>
  </si>
  <si>
    <t>Report RSUSREXT creates an error message in test mode</t>
  </si>
  <si>
    <t>Revision of transaction SUCOMP</t>
  </si>
  <si>
    <t>SUCOMP: Versions are not supported for company addresses (2)</t>
  </si>
  <si>
    <t>BC-SRV-ALV</t>
  </si>
  <si>
    <t>ALV RAL: Data is logged in an unspecific manner</t>
  </si>
  <si>
    <t>ALV RAL: Data is logged in an unspecific manner II</t>
  </si>
  <si>
    <t>BC-SRV-BAL</t>
  </si>
  <si>
    <t>Inconsistencies in application log</t>
  </si>
  <si>
    <t>IS-A-WTY</t>
  </si>
  <si>
    <t>Foreign enqueue locks on BALHANDLE results in warranty claim getting locked for long time in read mo</t>
  </si>
  <si>
    <t>IS-A-DBM-ORD</t>
  </si>
  <si>
    <t>Frozen DBM order application because of deadlock</t>
  </si>
  <si>
    <t>SRM-EBP-PD</t>
  </si>
  <si>
    <t>Performance issue while switching between sessions</t>
  </si>
  <si>
    <t>PA-PD-PM</t>
  </si>
  <si>
    <t>Action log is not released</t>
  </si>
  <si>
    <t>Dump on save of application logs</t>
  </si>
  <si>
    <t>CRM-BTX-BF-CAT</t>
  </si>
  <si>
    <t>One Order: Simple search leads to time out</t>
  </si>
  <si>
    <t>SLL-LEG-RSK-PRE</t>
  </si>
  <si>
    <t>Preference: Determination of preference indicators: TIME_OUT in application log</t>
  </si>
  <si>
    <t>Long processing times spent by waiting for an enqueue</t>
  </si>
  <si>
    <t>Application log is locked for a long time</t>
  </si>
  <si>
    <t>Infinite wait in program SAPLSENA</t>
  </si>
  <si>
    <t>BC-SRV-BR</t>
  </si>
  <si>
    <t>DDIC Binding: Change in logic for short text selection</t>
  </si>
  <si>
    <t>Several unit tests for short text fail</t>
  </si>
  <si>
    <t>BRFplus: Some bugfixes in decison table line insertion</t>
  </si>
  <si>
    <t>Copy&amp;amp;Paste for decision table row does not work in case a table cell is edited</t>
  </si>
  <si>
    <t>Value Text of constant used in DT is not displayed</t>
  </si>
  <si>
    <t>Code generation fails for value range expression</t>
  </si>
  <si>
    <t>BC-WD-CMP-FPM</t>
  </si>
  <si>
    <t>FPM error page: Layout improvements</t>
  </si>
  <si>
    <t>FPM Error Page: Incomplete rendering when using Internet Explorer and Quirks mode</t>
  </si>
  <si>
    <t>FPM: Classification API - DYNPRO_SEND_IN_BACKGROUND exception</t>
  </si>
  <si>
    <t>FPM FLUID: Classification - Dump when saving Component Configuration</t>
  </si>
  <si>
    <t>BC-XI-CON-ABA-WS</t>
  </si>
  <si>
    <t>New SOAP feature isConfigured</t>
  </si>
  <si>
    <t>0001 to 0002</t>
  </si>
  <si>
    <t>Property isConfigured unknown</t>
  </si>
  <si>
    <t>BC-XI-IS</t>
  </si>
  <si>
    <t>Inbound proxy transaction guard</t>
  </si>
  <si>
    <t>Short dump during configuring IS_URL parameter</t>
  </si>
  <si>
    <t>XI runtime: Trace for XPATH evaluation</t>
  </si>
  <si>
    <t>BC-XI-IS-UDS</t>
  </si>
  <si>
    <t>UDS: Extracted values visible in trace object</t>
  </si>
  <si>
    <t>BI-RA-AO-XLA</t>
  </si>
  <si>
    <t>AO: BEx Workbook conversion - Variable values do not get converted</t>
  </si>
  <si>
    <t>SAPKW74006</t>
  </si>
  <si>
    <t>AO: BEx Workbook Conversion - Variable value conversion improvements</t>
  </si>
  <si>
    <t>BI-RA-BICS</t>
  </si>
  <si>
    <t>BICS: Optimization for queries with very large selections</t>
  </si>
  <si>
    <t>SAPKW74008</t>
  </si>
  <si>
    <t>BW-BEX-ET-WJR-BICS</t>
  </si>
  <si>
    <t>BICS: Validation of unassigned (#) selection on characteristic fails</t>
  </si>
  <si>
    <t>Reducing RFC calls with hierarchy node selection in fix filter</t>
  </si>
  <si>
    <t>BICS: Query with hierachy and characteristic member selections fails</t>
  </si>
  <si>
    <t>BW-BCT-CO-OM</t>
  </si>
  <si>
    <t>BW-BCT: Performance during COSP/COSS extraction</t>
  </si>
  <si>
    <t>SAPK-61706INSAPFIN</t>
  </si>
  <si>
    <t>CO-OM: External call of total DataSources</t>
  </si>
  <si>
    <t>Objects and program changes for CO totals extraction in delta mode</t>
  </si>
  <si>
    <t>SAPKH61706</t>
  </si>
  <si>
    <t>BW-BCT: CO-OM totals records extractors return too few records</t>
  </si>
  <si>
    <t>BW-BCT-MM-PUR</t>
  </si>
  <si>
    <t>BW/LIS: Created asset values not passed to statistics</t>
  </si>
  <si>
    <t>BW/LIS: PO changes not registering in 2LIS_02_ACC</t>
  </si>
  <si>
    <t>BW-BEX-OT</t>
  </si>
  <si>
    <t>Query mass maintenance does not work for content queries</t>
  </si>
  <si>
    <t>SAPKW74007</t>
  </si>
  <si>
    <t>Query mass maintenance does not work for content queries (2)</t>
  </si>
  <si>
    <t>BW-BEX-OT-BICS-CONS</t>
  </si>
  <si>
    <t>InA 7.40 SP07 - Corrections 11</t>
  </si>
  <si>
    <t>BICS: Values of exit variables remain empty after refresh</t>
  </si>
  <si>
    <t>BW-BEX-OT-F4</t>
  </si>
  <si>
    <t>F4 does not return data for initial '#' entries</t>
  </si>
  <si>
    <t>SAPKW74005</t>
  </si>
  <si>
    <t>F4 does not return data for initial entries</t>
  </si>
  <si>
    <t>BW-BEX-OT-MDX</t>
  </si>
  <si>
    <t>MDX: Termination of MDX statement for unknown hierarchy nodes</t>
  </si>
  <si>
    <t>MDX: Termination of MDX statement for unknown hierarchy nodes - error after you implement SAP Note 2</t>
  </si>
  <si>
    <t>BW-BEX-OT-OLAP</t>
  </si>
  <si>
    <t>Incorrect results for &amp;quot;Calculate Results As CNT/FIR/LAS&amp;quot;</t>
  </si>
  <si>
    <t>BW-PLA-IP</t>
  </si>
  <si>
    <t>Ready-for-input status of formulas and data slices</t>
  </si>
  <si>
    <t>Short Dump ITAB_DUPLICATE_KEY when Cumulating over a Time Characteristic</t>
  </si>
  <si>
    <t>Duplicate rows are shown in the query result when using &amp;quot;Cumulative Value Display&amp;quot;</t>
  </si>
  <si>
    <t>Hierarchy nodes with non-zero children were suppressed</t>
  </si>
  <si>
    <t>Hierarchy leaves with zero values were not suppressed</t>
  </si>
  <si>
    <t>Query terminates with short dump _SET_RQTSS-01-</t>
  </si>
  <si>
    <t>BW-BEX-OT-CCH</t>
  </si>
  <si>
    <t>Short dump '_SET_RQTSS-01-' after drilldown operations</t>
  </si>
  <si>
    <t>Nested exception aggregation and first/last value</t>
  </si>
  <si>
    <t>Nested exception aggregation and first value/last value</t>
  </si>
  <si>
    <t>Incorrect or no data during NHA exception aggregation</t>
  </si>
  <si>
    <t>Falsche Daten bei NHA/NGA Ausnahmeaggregation und konstanter Selektion</t>
  </si>
  <si>
    <t>BW-BEX-OT-OLAP-AUT</t>
  </si>
  <si>
    <t>RSEC: Incorrect link created in Authorization Protocol</t>
  </si>
  <si>
    <t>RSEC: RSECADMIN display logs go to short dump</t>
  </si>
  <si>
    <t>BW-BEX-OT-OLAP-HIER</t>
  </si>
  <si>
    <t>Long runtime for input help for hierarchies</t>
  </si>
  <si>
    <t>No hierarchy texts for transient hierarchies</t>
  </si>
  <si>
    <t>BW-EI-APD</t>
  </si>
  <si>
    <t>Errors while transporting a process chain with APD</t>
  </si>
  <si>
    <t>BW-PLA-IP-PF</t>
  </si>
  <si>
    <t>In-memory : Errors executing FOX formula - reference characteristics</t>
  </si>
  <si>
    <t>In-memory execution of FOX</t>
  </si>
  <si>
    <t>Planning functions (PAK): Using a customer-specific namespace</t>
  </si>
  <si>
    <t>HDB: Distribution with keys</t>
  </si>
  <si>
    <t>BW-WHM-DBA-IOBJ</t>
  </si>
  <si>
    <t>Error: Display other version in RSD1 (HANA view link)</t>
  </si>
  <si>
    <t>Correction of SAP Note 1838299; IOBJ link with SAP HANA field</t>
  </si>
  <si>
    <t>Deactivation of on-the-fly creation of attributes</t>
  </si>
  <si>
    <t>Activation of on-the-fly creation of characteristics</t>
  </si>
  <si>
    <t>CX_RSR_X_MESSAGE in CL_RSD_IOBJ_PROP_CACHE and PREFILL_CACHE-1-</t>
  </si>
  <si>
    <t>CX_RSR_PROPAGATE_X in CL_RSD_INFOPROV_SIMPLE=&amp;gt;INITIALIZE_FROM_DTA</t>
  </si>
  <si>
    <t>BW-WHM-DBA-SPO</t>
  </si>
  <si>
    <t>DTP filter generation from SPO partition criteria for END, START, and EXPERT routines with inverse r</t>
  </si>
  <si>
    <t>DTP - automatic filter generation from SPO no longer works for DataSource</t>
  </si>
  <si>
    <t>BW on SAP HANA: SQL error 464 during archiving of IMOCube</t>
  </si>
  <si>
    <t>BW on HANA: SQL error 464 when archiving an IMOCube (II)</t>
  </si>
  <si>
    <t>BW-WHM-DST-DS</t>
  </si>
  <si>
    <t>730SP12: Missing datapackages during extraction of data from PSA using DTP in HANA DB</t>
  </si>
  <si>
    <t>730SP13:Termination of DTP while extracting data from the PSA of 3.X datasources parallely</t>
  </si>
  <si>
    <t>BW-WHM-DST-DTP</t>
  </si>
  <si>
    <t>P11; DTP; PC: Open hub requests report back to PC too early</t>
  </si>
  <si>
    <t>P10:DTP:Qualok:Quality status process does not work</t>
  </si>
  <si>
    <t>P11: DTP: Last request DTP attempts to load deleted request</t>
  </si>
  <si>
    <t>P13: DTP: FULL: Only last request without data; blank request</t>
  </si>
  <si>
    <t>P12: DTP: Hiding navigation attributes as selection fields</t>
  </si>
  <si>
    <t>P34: DTP: Permitting navigation attributes as selection fields</t>
  </si>
  <si>
    <t>Alingment of DTPs extracting directly in Source System with InfoPackage</t>
  </si>
  <si>
    <t>P10: DTP: Removing LANGU selection field from remote DTPs; 1983771</t>
  </si>
  <si>
    <t>SP34: Errorstack of  DTP is always created</t>
  </si>
  <si>
    <t>SP34:Error DTP doesn't extract data from the errorstack</t>
  </si>
  <si>
    <t>BW-WHM-DST-PC</t>
  </si>
  <si>
    <t>Improper messages in reports RSPC_LOG_DELETE and RSPC_INSTANCE_CLEANUP</t>
  </si>
  <si>
    <t>Dump DYNPRO_SEND_IN_BACKGROUND in report RSPC_LOG_DELETE</t>
  </si>
  <si>
    <t>BW-WHM-DST-TRF</t>
  </si>
  <si>
    <t>Number of Data Records Doubles When Using Rule Type &amp;quot;Time Allocation&amp;quot;</t>
  </si>
  <si>
    <t>SP34: Incorrect group processing in Transformation</t>
  </si>
  <si>
    <t>SP33:Syntax errors in routines of transformations migrated from update/transfer rules</t>
  </si>
  <si>
    <t>SP33:Syntax errors during migration of transfer or update rules to transfromations</t>
  </si>
  <si>
    <t>730SP12:'ASSERTION_FAILED' in Transformation processing during execution of DTP in a process chain</t>
  </si>
  <si>
    <t>730SP13: Default text of the transformation is not available</t>
  </si>
  <si>
    <t>BW-WHM-MTD</t>
  </si>
  <si>
    <t>TRFN / DTP / 7.0 DS loses package assignment during transport</t>
  </si>
  <si>
    <t>RAISE_EXCEPTION 'CANCELLED' for object catalog entry</t>
  </si>
  <si>
    <t>BW-WHM-TC-SCA</t>
  </si>
  <si>
    <t>Parallelization delta queues synchronization and TSPREFIX rename</t>
  </si>
  <si>
    <t>TSPREFIX task uses incorrect TSPREFIX and other changes</t>
  </si>
  <si>
    <t>CA-AUD</t>
  </si>
  <si>
    <t>Lack of Flexibility in Text Types Depending on Type</t>
  </si>
  <si>
    <t>SAPKA74006</t>
  </si>
  <si>
    <t>QM-PT-FA</t>
  </si>
  <si>
    <t>Runtime error during creation with message objects</t>
  </si>
  <si>
    <t>Runtime error MOVE_INTERFACE_NOT_SUPPORTED when executing the function BAPI_BUS20300_CREATE</t>
  </si>
  <si>
    <t>BAdI PLM_AUDIT_AUO_UPDATE is not executed when you enter the partner</t>
  </si>
  <si>
    <t>Role is not added</t>
  </si>
  <si>
    <t>Runtime error OBJECTS_OBJREF_NOT_ASSIGNED_NO in BAPI_BUS20350_CREATE</t>
  </si>
  <si>
    <t>CA-BK</t>
  </si>
  <si>
    <t>BIC2: Accuity's Global Payment File ERP</t>
  </si>
  <si>
    <t>SAPKA74007</t>
  </si>
  <si>
    <t>BIC2: Accuity's Global Payment File with empty BICKY</t>
  </si>
  <si>
    <t>SEPA mandates: Mass processing - API modules</t>
  </si>
  <si>
    <t>SAPKA74005</t>
  </si>
  <si>
    <t>IS-M</t>
  </si>
  <si>
    <t>SEPA: Problems when generating mandates for new bank details</t>
  </si>
  <si>
    <t>SEPA mandate: mass processing - addition</t>
  </si>
  <si>
    <t>SEPA_MANDATES_API_GET: Not all or Incorrect Mandates Are Read</t>
  </si>
  <si>
    <t>SEPA_MANDATES_API_GET: Not all Mandates Read II</t>
  </si>
  <si>
    <t>SEPA mandates: Data buffering error</t>
  </si>
  <si>
    <t>Termination GETWA_NOT_ASSIGNED in SAPLSEPA_MANDATE_PER_SERVICES</t>
  </si>
  <si>
    <t>Search help missing for mandates</t>
  </si>
  <si>
    <t>SEPA mandates: Input help for BIC/SWIFT</t>
  </si>
  <si>
    <t>Basis for extended IBAN maintenance - part 2 - settings and troubleshooting</t>
  </si>
  <si>
    <t>Error in IBAN processing</t>
  </si>
  <si>
    <t>SEPA mandates: Manually add where-used data</t>
  </si>
  <si>
    <t>XX-PROJ-FI-CA</t>
  </si>
  <si>
    <t>Mandate management: Manually adding FI-CA usage data</t>
  </si>
  <si>
    <t>Basis for extended IBAN maintenance - part 3 - batch input and settings for IBAN modifiability</t>
  </si>
  <si>
    <t>Change of IBAN is not transferred</t>
  </si>
  <si>
    <t>Basis for extended IBAN maintenance - part 4 - where-used list and deletion</t>
  </si>
  <si>
    <t>The program RFIBAN_DEL does not delete the IBAN</t>
  </si>
  <si>
    <t>RSEPALIST: Technical note</t>
  </si>
  <si>
    <t>Termination in program RSEPALIST - EXPRESSION_NOT_SUPPORTED</t>
  </si>
  <si>
    <t>SEPA mandate: Check for 36 months of non-use</t>
  </si>
  <si>
    <t>SEPA mandate: Check for 36 months of non-use II</t>
  </si>
  <si>
    <t>CA-CAD-SRV</t>
  </si>
  <si>
    <t>CAD services: Improvements in error handling</t>
  </si>
  <si>
    <t>SAPK-61705INEAAPPL</t>
  </si>
  <si>
    <t>CA-DMS-CNV</t>
  </si>
  <si>
    <t>Dump in Conversion</t>
  </si>
  <si>
    <t>Stop Rules Enhancement for CAD Service: Get Document Structure</t>
  </si>
  <si>
    <t>CDESK: Issue with BOD Explosion for Explosion Behavior '1A' (Return Child DIR , Version Replacement</t>
  </si>
  <si>
    <t>CA-CL</t>
  </si>
  <si>
    <t>Runtime error LOAD_PROGRAM_NOT_FOUND after F1 help call for characteristic</t>
  </si>
  <si>
    <t>CA-CL-CHR</t>
  </si>
  <si>
    <t>Characteristics management is called in display mode instead of change mode</t>
  </si>
  <si>
    <t>Where-Used List for Characteristics Incomplete</t>
  </si>
  <si>
    <t>Where-Used List for Characteristics in Variant Tables and Variant Functions</t>
  </si>
  <si>
    <t>CCUNDO does not completely undo characteristic overwrite</t>
  </si>
  <si>
    <t>LO-VC-DEP</t>
  </si>
  <si>
    <t>CCUNDO: Object dependency deleted during simulation</t>
  </si>
  <si>
    <t>Internal formal adjustment</t>
  </si>
  <si>
    <t>Runtime error CALL_TRANSACTION_FAILED with exception CX_SY_AUTHORIZATION_ERROR</t>
  </si>
  <si>
    <t>Input help: Documentation for the characteristic value or characteristic is displayed with control c</t>
  </si>
  <si>
    <t>Input help: Documentation for characteristic value or characteristic not displayed correctly</t>
  </si>
  <si>
    <t>CA-CL-CL</t>
  </si>
  <si>
    <t>CLMM: Data from the clipboard converted incorrectly</t>
  </si>
  <si>
    <t>Not all values transferred from clipboard in classification during mass change of value assignments</t>
  </si>
  <si>
    <t>Copying the classification of an object classified with several class types</t>
  </si>
  <si>
    <t>CA-CL-SEL</t>
  </si>
  <si>
    <t>CL30N: Value descriptions for characteristics with external value check function module</t>
  </si>
  <si>
    <t>CA-DMF-FCT</t>
  </si>
  <si>
    <t>DRFOUT: Extension of product attributes for data replication</t>
  </si>
  <si>
    <t>LO-MD-PR</t>
  </si>
  <si>
    <t>EA-RETAIL: Enhance product characteristics to include Fashion Grade for replication</t>
  </si>
  <si>
    <t>CA-EMA</t>
  </si>
  <si>
    <t>FPEMMAMA performance during job preparation</t>
  </si>
  <si>
    <t>SAPK-61706INFICA</t>
  </si>
  <si>
    <t>FPEMMAMA: Creation of clarification cases terminates with EMMA 006</t>
  </si>
  <si>
    <t>CA-EPT-ANL-LST</t>
  </si>
  <si>
    <t>Short Dump in Analytics Modules</t>
  </si>
  <si>
    <t>SAPK-74703INSAPBSFND</t>
  </si>
  <si>
    <t>Dump in classes CL_BS_ANLY_VH_SUIBB_ASSIST and CL_BS_ANLY_VH_ASSISTANCE</t>
  </si>
  <si>
    <t>CA-EPT-BRC-ARC</t>
  </si>
  <si>
    <t>Supplementary SAP Note  for SAP Note  #2038719</t>
  </si>
  <si>
    <t>SAPK-74706INSAPBSFND</t>
  </si>
  <si>
    <t>CA-EPT-BRC</t>
  </si>
  <si>
    <t>Retrieval of non-archived external BO data failed when skipping BO service manager</t>
  </si>
  <si>
    <t>CA-EPT-BRC-BR</t>
  </si>
  <si>
    <t>Enable BRF+ expression type BO retrieve for generation</t>
  </si>
  <si>
    <t>CA-IAM-QIM</t>
  </si>
  <si>
    <t>Syntax error in generated source code of BRFplus functions after implementing SAP Note or importing</t>
  </si>
  <si>
    <t>CA-EPT-BRC-CDO</t>
  </si>
  <si>
    <t>Resolve Assert fail in BOBF object for change documents</t>
  </si>
  <si>
    <t>Short dump in BOBF object for change documents</t>
  </si>
  <si>
    <t>CA-EPT-BRC-FBI</t>
  </si>
  <si>
    <t>READ ONLY PROPERTY NOT WORKING FOR FORMAT TEXT EDIT</t>
  </si>
  <si>
    <t>Correction for note number 1949292 'READ ONLY PROPERTY NOT WORKING FOR FORMAT TEXT EDIT'</t>
  </si>
  <si>
    <t>Save after POWL delete action does not work</t>
  </si>
  <si>
    <t>List - refresh after delete root not works</t>
  </si>
  <si>
    <t>CA-EPT-BRC-PPF</t>
  </si>
  <si>
    <t>Setting synchronous execution as default behavior for Direct Output Agent</t>
  </si>
  <si>
    <t>TM-INT-EM</t>
  </si>
  <si>
    <t>Usage of direct output agent 'SEND_EM_DATA_FROM_TOR_ASYNC' leads to short dump</t>
  </si>
  <si>
    <t>Direct output agent 'SEND_EM_DATA_FROM_TOR' is not working correctly</t>
  </si>
  <si>
    <t>CA-EPT-SMI</t>
  </si>
  <si>
    <t>Report SMIR_SEARCH_QUERY_CONFIG enhancements and bug fixes</t>
  </si>
  <si>
    <t>Report Program for DataSift Stream Creation</t>
  </si>
  <si>
    <t>CA-EPT-SPI</t>
  </si>
  <si>
    <t>SPI: Work protection not set correctly</t>
  </si>
  <si>
    <t>BC-WD-ABA</t>
  </si>
  <si>
    <t>Corrections for unified rendering up to SAP_BASIS 731/12 IV</t>
  </si>
  <si>
    <t>CA-FIM-FCO</t>
  </si>
  <si>
    <t>FiCo check: Date category for settlement and automatic initialization of periodicity parameters</t>
  </si>
  <si>
    <t>FS-AM-OM-AC-PPC</t>
  </si>
  <si>
    <t>Loan Calculation service is failing for annuity calculation when periodicity properties for date cat</t>
  </si>
  <si>
    <t>FiCo: FICO_COND_SAVE requires too much working memory</t>
  </si>
  <si>
    <t>FICO Backdated changes: Change pointers are not created</t>
  </si>
  <si>
    <t>CA-FIM-FMA</t>
  </si>
  <si>
    <t>Interest calculation method act/365P</t>
  </si>
  <si>
    <t>FIN-FSCM-TRM-TM</t>
  </si>
  <si>
    <t>Domain VVSTGBASIS adjusted</t>
  </si>
  <si>
    <t>FS-CML-PO</t>
  </si>
  <si>
    <t>FIM: Data type change of STGBASIS</t>
  </si>
  <si>
    <t>New FiMa: Accrued Interest Calculation</t>
  </si>
  <si>
    <t>New FiMa: Incorrect accrued interest</t>
  </si>
  <si>
    <t>New FIMA: Early repayment</t>
  </si>
  <si>
    <t>MOD: Deactivating SAP Notes for interest calculation method (360/360)</t>
  </si>
  <si>
    <t>FS-CML</t>
  </si>
  <si>
    <t>Syntax error occurs in program SAPLFVD_DOCUMENTS_ARCHIVE</t>
  </si>
  <si>
    <t>FS-AM-EP-ST</t>
  </si>
  <si>
    <t>FIMA program include replaced by function module</t>
  </si>
  <si>
    <t>Module FIMA_SECANT_METHOD - now includes Brent's method</t>
  </si>
  <si>
    <t>Dump in the module FIMA_BRENT_METHOD - COMPUTE_FLOAT_TIMES_OVERFLOW</t>
  </si>
  <si>
    <t>Module 'NEWTON_ITERATION_DURCHFUEHREN' - now includes Brent's method</t>
  </si>
  <si>
    <t>New FiMa: Clean Price Calculation</t>
  </si>
  <si>
    <t>New FiMa: Incorrect clean price for callback or early repayment</t>
  </si>
  <si>
    <t>New FiMa: Clean Price Calculation for Early Repayment</t>
  </si>
  <si>
    <t>Incorrect effective interest rate: Beginning &amp;amp; end on last day in Feb (2)</t>
  </si>
  <si>
    <t>Incorrect effective interest rate: Beginning &amp;amp; end on last day in Feb (3)</t>
  </si>
  <si>
    <t>Securities: Problems with minimum final installment amount - final installment missing</t>
  </si>
  <si>
    <t>FS-CML-NB-FIM</t>
  </si>
  <si>
    <t>FIM: Remaining balance despite installment determination</t>
  </si>
  <si>
    <t>CA-FS-XO</t>
  </si>
  <si>
    <t>XO: Runtime error UNCAUGHT_EXCEPTION in the method GET_SEGMENT_OBJECT</t>
  </si>
  <si>
    <t>FS-AM-OM-AC</t>
  </si>
  <si>
    <t>Individual conditions fails to get created at the contract while executing orders</t>
  </si>
  <si>
    <t>CA-GTF-CPE</t>
  </si>
  <si>
    <t>Half Month CPE calculation calculates wrong end date</t>
  </si>
  <si>
    <t>SAPK-74007INPIBASIS</t>
  </si>
  <si>
    <t>MM-PUR-GF-CPE</t>
  </si>
  <si>
    <t>Rate is copied from the final term instead of from the provisional term</t>
  </si>
  <si>
    <t>CPE: Unit tests for conversion rule (PI_BASIS) and price calculation (SAP_APPL) fail</t>
  </si>
  <si>
    <t>SD-BF-PR</t>
  </si>
  <si>
    <t>Transfer of incorrect conditions possible after SAP Note 2041849 implemented</t>
  </si>
  <si>
    <t>CA-GTF-CSC</t>
  </si>
  <si>
    <t>eDocument Framework</t>
  </si>
  <si>
    <t>eDocument: Error if no implementation of BAdI EDOC_ADAPTOR exists</t>
  </si>
  <si>
    <t>CA-GTF-DOB</t>
  </si>
  <si>
    <t>Added elements in Update Report not ordered properly according to property</t>
  </si>
  <si>
    <t>If linked elements are inconsistent, docb will dump during Update Report</t>
  </si>
  <si>
    <t>CA-GTF-DRT</t>
  </si>
  <si>
    <t>FTW1A: BADI for additional selections from BKPF</t>
  </si>
  <si>
    <t>SAPK-61704INSAPFIN</t>
  </si>
  <si>
    <t>FTW1A: Periods not selceted showing up for France extract</t>
  </si>
  <si>
    <t>FTWH/FTWY: Deletion of duplicates does not work</t>
  </si>
  <si>
    <t>FTWH/FTWY: Deletion of duplicates does not work (2)</t>
  </si>
  <si>
    <t>DART 2.7e: Enhancement of the data catalog</t>
  </si>
  <si>
    <t>SAPK-61705INSAPFIN</t>
  </si>
  <si>
    <t>Add non-character like customer fields to segments TXW_EKKN and TXW_T059Q</t>
  </si>
  <si>
    <t>CA-GTF-GPL</t>
  </si>
  <si>
    <t>Move of Tasks between Root level and Phase level not possible</t>
  </si>
  <si>
    <t>Corrections for CGPL issues in SP9</t>
  </si>
  <si>
    <t>CA-GTF-TRB</t>
  </si>
  <si>
    <t>Commodity Forward Index # Enhancement to SAP Note 1880993</t>
  </si>
  <si>
    <t>This note supplements SAP Note 1898227.</t>
  </si>
  <si>
    <t>Market Data Service for CPE(DDIC)</t>
  </si>
  <si>
    <t>Market Data Service for CPE</t>
  </si>
  <si>
    <t>Excel Upload for Commodity Forward Index - DDIC</t>
  </si>
  <si>
    <t>SAPKH61704</t>
  </si>
  <si>
    <t>Supplement to SAP Note 198731</t>
  </si>
  <si>
    <t>Performance Optimization when Accessing MICs &amp;amp; Commodities</t>
  </si>
  <si>
    <t>Problem with default DCS in transaction FCZZ</t>
  </si>
  <si>
    <t>Enhancement for Pricequot Services CFI (DDIC Objects)</t>
  </si>
  <si>
    <t>Enhancement for Pricequot Services CFI</t>
  </si>
  <si>
    <t>Prompt Date Calendar # Usability</t>
  </si>
  <si>
    <t>DCS based Forward Index</t>
  </si>
  <si>
    <t>Selection of Commodity Future at CPE via wildcard</t>
  </si>
  <si>
    <t>SAPK-74006INPIBASIS</t>
  </si>
  <si>
    <t>Selection of Future in CPE for CP Customers</t>
  </si>
  <si>
    <t>CA-GTF-TS-CD</t>
  </si>
  <si>
    <t>Change document display: Archived objects are not displayed</t>
  </si>
  <si>
    <t>CheckMan error in 'BANK_API_CHDOC_READ '</t>
  </si>
  <si>
    <t>CA-GTF-TS-FAW</t>
  </si>
  <si>
    <t>Long runtime when saving changes in transaction OPUK</t>
  </si>
  <si>
    <t>Missing fields in transaction CAC2</t>
  </si>
  <si>
    <t>CA-GTF-TS-PPO</t>
  </si>
  <si>
    <t>During the resubmission of postprocessing orders, application data is updated even though the &amp;quot;</t>
  </si>
  <si>
    <t>Implementing SAP Note 2003309 results in terminations in the class /SAPPO/CL_PROCESS_FACTORY</t>
  </si>
  <si>
    <t>CA-GTF-TS-SMT</t>
  </si>
  <si>
    <t>Error messages BS 013/BS 014 instead of BS 007</t>
  </si>
  <si>
    <t>Error message BS014 locks posting transactions</t>
  </si>
  <si>
    <t>CA-MDG-AF</t>
  </si>
  <si>
    <t>Check on the primary persistence not called when you delete document assignment</t>
  </si>
  <si>
    <t>SAPK-74705INMDGFND</t>
  </si>
  <si>
    <t>CA-MDG-AF-GF</t>
  </si>
  <si>
    <t>Termination OBJECTS_OBJREF_NOT_ASSIGNED in write_deletion_to_delta_buffer</t>
  </si>
  <si>
    <t>Copy account with company code: Termination MESSAGE_TYPE_X in IF_USMD_MODEL~COPY</t>
  </si>
  <si>
    <t>SAPK-74706INMDGFND</t>
  </si>
  <si>
    <t>Copying an object with more than one key field does not work</t>
  </si>
  <si>
    <t>Authorization check for Mass Changes.</t>
  </si>
  <si>
    <t>CA-MDG-APP-BP</t>
  </si>
  <si>
    <t>MDG-BP/-S/-C: New Functionality: Account Group Change (ECC)</t>
  </si>
  <si>
    <t>CA-MDG-APP-SUP</t>
  </si>
  <si>
    <t>MDG-BP/-S/-C: New function: Account group change (ECC) - Supplementary SAP Note to Note 1941597</t>
  </si>
  <si>
    <t>MDG: Business partner number not copied to change request under external number assignment</t>
  </si>
  <si>
    <t>MDG: No error message when initial data transfer of ERP suppliers fails</t>
  </si>
  <si>
    <t>MDG: Instantiation of CL_SMT_ENGINE during initial data transfer and data exchange</t>
  </si>
  <si>
    <t>SAPK-74704INMDGFND</t>
  </si>
  <si>
    <t>CA-MDG-APP-CUS</t>
  </si>
  <si>
    <t>MDG: Incorrect call of an SMP mapping step</t>
  </si>
  <si>
    <t>CA-MDG-APP-MM</t>
  </si>
  <si>
    <t>Different problems when using app. parameter FPM_IGNORE_WIRE_SOURCE</t>
  </si>
  <si>
    <t>SAPK-61704INMDGAPPL</t>
  </si>
  <si>
    <t>Mark for Deletion: Change of Basic Data is possible</t>
  </si>
  <si>
    <t>Downport Note 1978318 for MPOP (Plant Forecast Parameters)</t>
  </si>
  <si>
    <t>SAPK-61705INMDGAPPL</t>
  </si>
  <si>
    <t>Program termination when plants deleted</t>
  </si>
  <si>
    <t>SEARCH: Enhance value help for chracteristic values</t>
  </si>
  <si>
    <t>SAPK-61706INMDGAPPL</t>
  </si>
  <si>
    <t>SEARCH: Characteristic value help not derived from value table</t>
  </si>
  <si>
    <t>CA-TS-IA-XS</t>
  </si>
  <si>
    <t>CATS application gives runtime error with message, 'Unable to interpret xxxxxx as a number.'</t>
  </si>
  <si>
    <t>SAPK-60725INEAHR</t>
  </si>
  <si>
    <t>Sum of hours is incorrectly calculated</t>
  </si>
  <si>
    <t>Read Access Logging for CRM Web UIF</t>
  </si>
  <si>
    <t>SAPK-74706INWEBCUIF</t>
  </si>
  <si>
    <t>Read Access Logging for CRM Web UIF - Part 2</t>
  </si>
  <si>
    <t>Automatic Save</t>
  </si>
  <si>
    <t>0001 to 0005</t>
  </si>
  <si>
    <t>CA-WUI-APF</t>
  </si>
  <si>
    <t>AutoSave Should work only 1st time Overview page is loaded</t>
  </si>
  <si>
    <t>AutoSave Event Handlers Assignment</t>
  </si>
  <si>
    <t>CA-WUI-UI</t>
  </si>
  <si>
    <t>Remove item with no values</t>
  </si>
  <si>
    <t>Auto-Save: Mandatory fields</t>
  </si>
  <si>
    <t>New ESID to improve Load distribution</t>
  </si>
  <si>
    <t>SAPK-74703INWEBCUIF</t>
  </si>
  <si>
    <t>New SPRO activity for ESID maintenance</t>
  </si>
  <si>
    <t>When enter or F4 help triggers round-trip the old value is populated from the Automatic Save Feature</t>
  </si>
  <si>
    <t>0001 to 0003</t>
  </si>
  <si>
    <t>CA-WUI-SEA</t>
  </si>
  <si>
    <t>Default Values for Advanced Search Pages</t>
  </si>
  <si>
    <t>Attribute DEFAULTFORROLE does not exist (related to Note 2045936)</t>
  </si>
  <si>
    <t>CRM-BTX</t>
  </si>
  <si>
    <t>Exception occurs when Personalization for Default Values popup is called</t>
  </si>
  <si>
    <t>IE 10 - popup size and javascript error when opening popup</t>
  </si>
  <si>
    <t>0001 to 0013</t>
  </si>
  <si>
    <t>resizing popup window when content height changes</t>
  </si>
  <si>
    <t>CA-WUI-UI-TAG</t>
  </si>
  <si>
    <t>Paste in Tables not working for last row</t>
  </si>
  <si>
    <t>Paste in tables adding an empty row</t>
  </si>
  <si>
    <t>CO-OM</t>
  </si>
  <si>
    <t>Buffering in function module K_ACTIVITY_PRICE_PREFETCH does not function</t>
  </si>
  <si>
    <t>Long runtime in function module K_ACTIVITY_PRICE_PREFETCH</t>
  </si>
  <si>
    <t>CO-OM-CCA-B</t>
  </si>
  <si>
    <t>CO-OM Planning: Program Termination with Runtime Error TSV_TNEW_OCCURS_NO_ROLL_MEMORY</t>
  </si>
  <si>
    <t>CO-OM planning: Program terminates with runtime error TSV_TNEW_OCCURS_NO_ROLL_MEMORY: Continuation</t>
  </si>
  <si>
    <t>CO-OM-CCA-F</t>
  </si>
  <si>
    <t>RKAZKSA8: Schedule Manager does not execute job/workflow</t>
  </si>
  <si>
    <t>IS-A</t>
  </si>
  <si>
    <t>DIMP: Follow up notes 2003388 &amp;amp; 1861173</t>
  </si>
  <si>
    <t>CO-OM-OPA-B</t>
  </si>
  <si>
    <t>IM reporting / IMCCP3, IMCOC3, IMCRC3: Incorrect measure planning values</t>
  </si>
  <si>
    <t>PS-COS-BUD</t>
  </si>
  <si>
    <t>IMCCP3 updates excessively high overall budgets</t>
  </si>
  <si>
    <t>CO-OM-OPA-F</t>
  </si>
  <si>
    <t>Commitment overhead rates: Schedule Manager integration</t>
  </si>
  <si>
    <t>CO-PC-ACT</t>
  </si>
  <si>
    <t>Authority checks in Material ledger Drilldown Reporting</t>
  </si>
  <si>
    <t>ML Drilldown Reporting - Performance enhancement when selecting via Valuation Area (BWKEY)</t>
  </si>
  <si>
    <t>CRM-ANA-PS</t>
  </si>
  <si>
    <t>Unnecessary data loss popup in Trade Promotions</t>
  </si>
  <si>
    <t>Potential field-symbol not assigned error message in CRM Planning when the note 2012389 is implement</t>
  </si>
  <si>
    <t>Use decimals settings from BPS when Enh Layout is set to 0</t>
  </si>
  <si>
    <t>Incorrect error message for UPX key figure decimal settings</t>
  </si>
  <si>
    <t>CRM-BTX-SLO</t>
  </si>
  <si>
    <t>SPM/DDS Serialization of changes to SD documents</t>
  </si>
  <si>
    <t>SAPKH61705</t>
  </si>
  <si>
    <t>Unexpected message 'Object &amp;amp;1 &amp;amp;2 from system &amp;amp;3 has not been replicated to SCM'</t>
  </si>
  <si>
    <t>CRM-IC-ACO</t>
  </si>
  <si>
    <t>Currencies with incorrect decimal places in fact sheet (Financial Shared Service Center)</t>
  </si>
  <si>
    <t>FS-RI-AC</t>
  </si>
  <si>
    <t>CORR: Syntax errors in account BAPI following implementation of SAP Note 1968346</t>
  </si>
  <si>
    <t>CRM-IC-FCA</t>
  </si>
  <si>
    <t>FCC: Long runtime when selecting credit management data</t>
  </si>
  <si>
    <t>FCC: Determination of credit management data for main credit segment</t>
  </si>
  <si>
    <t>CRM-IC-MUL</t>
  </si>
  <si>
    <t>CRM-IC: session timeout issue with CRM 7 EHP1 and higher</t>
  </si>
  <si>
    <t>SAPK-74705INWEBCUIF</t>
  </si>
  <si>
    <t>follow up note to 1877120</t>
  </si>
  <si>
    <t>EHS-BD-SPE</t>
  </si>
  <si>
    <t>Instance saved with empty mandatory characteristics</t>
  </si>
  <si>
    <t>SAPK-61704INEAAPPL</t>
  </si>
  <si>
    <t>Deletion of value assignment instance is not possible due to incorrect required entry field check</t>
  </si>
  <si>
    <t>Message &amp;quot;Object '...' already exists&amp;quot; for value assignments</t>
  </si>
  <si>
    <t>EHS-BD-TLS</t>
  </si>
  <si>
    <t>ALE with inheritance, error message &amp;quot;No values are available for the key specified&amp;quot;</t>
  </si>
  <si>
    <t>Migration of risk mitigation measures (RMM) to new value assignment types</t>
  </si>
  <si>
    <t>SAPK-61706INEAAPPL</t>
  </si>
  <si>
    <t>EHS-DGP-DOC</t>
  </si>
  <si>
    <t>When processing several deliveries, dangerous goods data is output on the first delivery note only</t>
  </si>
  <si>
    <t>EHS-BD-PHR</t>
  </si>
  <si>
    <t>No output of phrase texts</t>
  </si>
  <si>
    <t>EHS-SAF-RCK</t>
  </si>
  <si>
    <t>Performance improvement when accessing sales and distribution documents during substance volume trac</t>
  </si>
  <si>
    <t>Tracking: Sales documents are not filtered by VBAK selection criteria</t>
  </si>
  <si>
    <t>FI-AA</t>
  </si>
  <si>
    <t>S2I: Changes in simulated line items are not transferred</t>
  </si>
  <si>
    <t>S2I: Reversal of integrated asset documents is incomplete</t>
  </si>
  <si>
    <t>FI-AA-AA-A</t>
  </si>
  <si>
    <t>Change of vendor when saving an asset master record</t>
  </si>
  <si>
    <t>Incorrect validation of vendor name</t>
  </si>
  <si>
    <t>FI-AA-AA-B</t>
  </si>
  <si>
    <t>H1973140: AU390 in value display and DG20/AA624 for acquisition after depreciation</t>
  </si>
  <si>
    <t>SAPK-61704INEAFIN</t>
  </si>
  <si>
    <t>FI-AA-AA-C</t>
  </si>
  <si>
    <t>S2I: Maintaining contents of table TFAA_PC_STEP</t>
  </si>
  <si>
    <t>Investment support separate error message for current acquisitions/prior acquisitions</t>
  </si>
  <si>
    <t>Long text of error messages AA788 and AA789: Incorrect variables</t>
  </si>
  <si>
    <t>SAPK-61706INEAFIN</t>
  </si>
  <si>
    <t>FI-AP-AP-B1</t>
  </si>
  <si>
    <t>Support of Customer Payment Status(Pain.002)</t>
  </si>
  <si>
    <t>FI-BL-PT-BA</t>
  </si>
  <si>
    <t>Incorrect assigment of application with format X</t>
  </si>
  <si>
    <t>CGI_XML_CT: DMEE XML Format changes after note 1857318</t>
  </si>
  <si>
    <t>0004 to 0005</t>
  </si>
  <si>
    <t>Corrections to the note 1961687</t>
  </si>
  <si>
    <t>RFFOJP_T: Bank to Bank Transfer through Payment Request - Additional corrections to note 1636111</t>
  </si>
  <si>
    <t>RFFOJP_T: Bank to Bank Transfer through Payment Request</t>
  </si>
  <si>
    <t>FI-AP-AP-H</t>
  </si>
  <si>
    <t>FBWD: No bill of exchange liability accounts found for selection</t>
  </si>
  <si>
    <t>FI-AR-AR-A</t>
  </si>
  <si>
    <t>Output of the message F5 216: Calculated rate deviates from document header rate</t>
  </si>
  <si>
    <t>Message F5 216 not issued despite SAP Note 2051329</t>
  </si>
  <si>
    <t>FI-AR-AR-G</t>
  </si>
  <si>
    <t>Termination after displaying the correspondence</t>
  </si>
  <si>
    <t>XX-CSC-UA-FI</t>
  </si>
  <si>
    <t>Tax Invoices. ERPN cross is wrongly defined, Branch not with leading zeroes, Buyers address, Error W</t>
  </si>
  <si>
    <t>FI-AR-AR-N</t>
  </si>
  <si>
    <t>Automatic Update of Address and IBAN for SEPA Mandates</t>
  </si>
  <si>
    <t>Automatic update for SEPA mandates II</t>
  </si>
  <si>
    <t>SEPA: Data transfer when creating mandates in FD01</t>
  </si>
  <si>
    <t>SEPA: Data transfer for mandates in FD01/FD02 (correction)</t>
  </si>
  <si>
    <t>SEPA mandate: Missing data preassignment during creation from business partner</t>
  </si>
  <si>
    <t>FI-BL-MD</t>
  </si>
  <si>
    <t>FI12: Transport of IBAN and cross-client objects</t>
  </si>
  <si>
    <t>FI12: IBAN of house bank is not transported</t>
  </si>
  <si>
    <t>FEB_BSPROC: No items selected for payment order</t>
  </si>
  <si>
    <t>FEB_BSPROC: Problems with item selection in connection with withholding tax or payment order</t>
  </si>
  <si>
    <t>FEBCL filled in the BAdI or transformation (II)</t>
  </si>
  <si>
    <t>FEBCL filled in the BAdI or transformation (III)</t>
  </si>
  <si>
    <t>FI-BL-PT-CJ</t>
  </si>
  <si>
    <t>FBCJ: Posting in special period not possible in CO</t>
  </si>
  <si>
    <t>FBCJ: Message F5 567 (&amp;quot;Period &amp;amp; is not allowed&amp;quot;)</t>
  </si>
  <si>
    <t>FI-BL-PT-FO</t>
  </si>
  <si>
    <t>Personnel payments missing in PMW XML file</t>
  </si>
  <si>
    <t>FIN-FSCM-BNK</t>
  </si>
  <si>
    <t>CPON: No correct mapping for HR payments</t>
  </si>
  <si>
    <t>FI-CAX-FS</t>
  </si>
  <si>
    <t>Decoupling banking industry billing specific structures from core FI-CAX BAPI structures</t>
  </si>
  <si>
    <t>SAPK-61704INFICAX</t>
  </si>
  <si>
    <t>FS-AM-EP-BL</t>
  </si>
  <si>
    <t>Billdoc creation fails and RFC stuck in SM58</t>
  </si>
  <si>
    <t>FI-FM</t>
  </si>
  <si>
    <t>Prerequisite note for 1865662</t>
  </si>
  <si>
    <t>PSM-FM-UP-FI</t>
  </si>
  <si>
    <t>Enhance BSEG, FMIFIIT with FM reference document (FI part)</t>
  </si>
  <si>
    <t>FI-GL-GL-F</t>
  </si>
  <si>
    <t>VF01: Take into account own exchange rate type for tax items also</t>
  </si>
  <si>
    <t>VF02: Inconsistent rates F5 701 for transfer to accounting</t>
  </si>
  <si>
    <t>Invoice lists: Dump GETWA_NOT_ASSIGNED, XVBRP unknown</t>
  </si>
  <si>
    <t>Wrong BSEG-TXGRP in downpayment created as clearing of other downpayments</t>
  </si>
  <si>
    <t>FF 716 for down payment clearing F-54/F-39</t>
  </si>
  <si>
    <t>FI-GL-GL-F1</t>
  </si>
  <si>
    <t>RPFIEU_SAFT : SAF-T Framework Corrections (13_F)</t>
  </si>
  <si>
    <t>RPFIEU_SAFT : SAF-T Framework Corrections (14_F)</t>
  </si>
  <si>
    <t>FI-GL-IS</t>
  </si>
  <si>
    <t>Improvement to view generation for SAP HANA database (HDB) views</t>
  </si>
  <si>
    <t>Error in the function module HDB_EXVIEW_CREATE</t>
  </si>
  <si>
    <t>Electronic financial statement (EFS) GCD: Support for taxonomy Version 5.2</t>
  </si>
  <si>
    <t>EFS: Serial number of determination of basis of tax assessment is not saved</t>
  </si>
  <si>
    <t>FI-GL-REO</t>
  </si>
  <si>
    <t>Changing a purchase order after profit center reorganization</t>
  </si>
  <si>
    <t>Error when implementing SAP Note 1878955 (SAP_FIN 617)</t>
  </si>
  <si>
    <t>FI-GL-REO-GL</t>
  </si>
  <si>
    <t>PRCTR/SEG: AP/AR reassignment - reading of split information</t>
  </si>
  <si>
    <t>PRCTR/SEG: Dump with error ITAB_DUPLICATE_KEY</t>
  </si>
  <si>
    <t>FI-TV</t>
  </si>
  <si>
    <t>Perfomance in FTBW_FI_TV_01_BW_GET_TD is poor</t>
  </si>
  <si>
    <t>BW Extractor 0fi_tv_01 returns more records than selected.</t>
  </si>
  <si>
    <t>Travel Request: Concurrent Employment in the future not possible</t>
  </si>
  <si>
    <t>SAPK-60730INEAHR</t>
  </si>
  <si>
    <t>FI-TV-COS</t>
  </si>
  <si>
    <t>Future concurrent employment: Cannot create request</t>
  </si>
  <si>
    <t>Recurring destinations, new architecture + German 3MR (Dreimonatsregel)</t>
  </si>
  <si>
    <t>SAPK-60726INEAHR</t>
  </si>
  <si>
    <t>Syntax error causes short dump in the RD process</t>
  </si>
  <si>
    <t>Correct syntax error from note 1960009</t>
  </si>
  <si>
    <t>SAPKE60471</t>
  </si>
  <si>
    <t>Interface SAP_HR / EH-HR broken due to added parameter (2)</t>
  </si>
  <si>
    <t>SAPK-60722INEAHR</t>
  </si>
  <si>
    <t>Interface broken due to added parameter: RPRSREFM FORM statuswechsel_work.</t>
  </si>
  <si>
    <t>SAPKE60472</t>
  </si>
  <si>
    <t>SAPK-60723INEAHR</t>
  </si>
  <si>
    <t>A trip can be saved without entries in table T706A for deductions</t>
  </si>
  <si>
    <t>PR05/TRIP: changes of trip header data are not saved if error message has been issued before</t>
  </si>
  <si>
    <t>FI-TV-COS-FM</t>
  </si>
  <si>
    <t>Incorrect Funds Management commitments in carried forward/transferred trips</t>
  </si>
  <si>
    <t>SAPK-60728INEAHR</t>
  </si>
  <si>
    <t>Changes to travel requests and expense reports are not saved in ABAP Web Dynpro</t>
  </si>
  <si>
    <t>FI-TV-COS-PS</t>
  </si>
  <si>
    <t>TG Steuerfreibetrag bei Abwesenheit ohne Aufenthalt Wohnung</t>
  </si>
  <si>
    <t>Nachricht 420 der Nachrichtenkl. FITVPS nicht ausgeliefert</t>
  </si>
  <si>
    <t>Trennungsgeld auswÃ¤rtiger Verbleib: Ãœbernachtungsgeld-Anteil im Trennungstagegeld bei Abwesenheit Ã¼b</t>
  </si>
  <si>
    <t>SAPK-60724INEAHR</t>
  </si>
  <si>
    <t>TGV Bayern: TrG AV: Fehlerhaftes Trennungstagegeld bei vorhandenen Abwesenheiten</t>
  </si>
  <si>
    <t>Fehlerhafter Abzug von steuerfreier Unterkunftspauschale bei Mahlzeiten</t>
  </si>
  <si>
    <t>TrG:Keine Generierung Sachbezugsbeleg am ersten Tag der MaÃŸnahme bei ganztÃ¤giger Abwesenheit</t>
  </si>
  <si>
    <t>FIN-FSCM-CM</t>
  </si>
  <si>
    <t>Payment run termination with document split in Cash Management</t>
  </si>
  <si>
    <t>Supplement to SAP Note 2034034: Payment run termination with document split in Cash Management</t>
  </si>
  <si>
    <t>FIN-FSCM-CR</t>
  </si>
  <si>
    <t>Commitment with amount 0.0 remains unchanged</t>
  </si>
  <si>
    <t>SAPK-61706INFSCMCCD</t>
  </si>
  <si>
    <t>Commitment with amount 0.0 remains unchanged II</t>
  </si>
  <si>
    <t>FIN-FSCM-LP</t>
  </si>
  <si>
    <t>Liquidity Planner Extensibility Local Reporting</t>
  </si>
  <si>
    <t>Liquidity Planner Totals List: Two Liquidity Item Columns</t>
  </si>
  <si>
    <t>FLQAF: Document Chains in Transaction Currency</t>
  </si>
  <si>
    <t>LP: Error COMPUTE_FLOAT_ZERODIVIDE in FLQAF</t>
  </si>
  <si>
    <t>1957022: Additional corrections (2)</t>
  </si>
  <si>
    <t>LP: Dump &amp;quot;CALL_FUNCTION_NO_VB&amp;quot;  during online update</t>
  </si>
  <si>
    <t>FIN-FSCM-TRM</t>
  </si>
  <si>
    <t>NC : Details of unassigned correspondence not populated</t>
  </si>
  <si>
    <t>SAPK-61705INEAFINSRV</t>
  </si>
  <si>
    <t>Selection malfunction for FTR_COMONI</t>
  </si>
  <si>
    <t>Portfolio in External Account</t>
  </si>
  <si>
    <t>Errors in execution of report R_TPM_NOTE_2011744</t>
  </si>
  <si>
    <t>FIN-FSCM-TRM-CRM-EM</t>
  </si>
  <si>
    <t>BAPI_TEX_EXPOSURE_CHANGE:'Fixing status' for prices</t>
  </si>
  <si>
    <t>SAPK-61706INEAFINSRV</t>
  </si>
  <si>
    <t>Change of prices via BAPI results in wrong exposure amounts</t>
  </si>
  <si>
    <t>FIN-FSCM-TRM-MR</t>
  </si>
  <si>
    <t>CFaR</t>
  </si>
  <si>
    <t>Program termination when executing a procedure for final results for backtesting key figures</t>
  </si>
  <si>
    <t>Incorrect repayment date in redemptions</t>
  </si>
  <si>
    <t>ABS/MBS: Incorrect repayment date for published redemptions</t>
  </si>
  <si>
    <t>Securities: system logic improvement</t>
  </si>
  <si>
    <t>FIN-FSCM-TRM-TM-AC</t>
  </si>
  <si>
    <t>TRS: correction to note 1999723</t>
  </si>
  <si>
    <t>Entering of timedependent payment details for business partner</t>
  </si>
  <si>
    <t>Short dump when changing financial transaction</t>
  </si>
  <si>
    <t>SAC: valuation reset not considered in Amortization log</t>
  </si>
  <si>
    <t>SAC: valuation reset not considered in Amortization log II</t>
  </si>
  <si>
    <t>FIN-FSCM-TRM-TM-IS</t>
  </si>
  <si>
    <t>REP LDB FTI_TR_PERIODS_1 and FTI_TR_PERIODS_2</t>
  </si>
  <si>
    <t>FIN-FSCM-TRM-TM-TR</t>
  </si>
  <si>
    <t>TARO Monitor function &amp;quot;Complete&amp;quot; for action type &amp;quot;External Trade ID&amp;quot;</t>
  </si>
  <si>
    <t>SAPK-61704INEAFINSRV</t>
  </si>
  <si>
    <t>TARO: Function &amp;quot;Complete&amp;quot; in TARO monitor</t>
  </si>
  <si>
    <t>FTR_EDIT usability: The authorized follow-up actions are not preassigned when you enter the deal num</t>
  </si>
  <si>
    <t>FTR_EDIT: Follow-up note to SAP Note 2026455</t>
  </si>
  <si>
    <t>Authorization check for RFC in FIN-FSCM-TRM-TM-TR</t>
  </si>
  <si>
    <t>Securities: exception KERNEL_TOO_OLD raised</t>
  </si>
  <si>
    <t>FIN-SEM-BCS-CSF-CI-I</t>
  </si>
  <si>
    <t>Execution options during the adjustment of statistical entries</t>
  </si>
  <si>
    <t>SAPK-74704INSEMBW</t>
  </si>
  <si>
    <t>Syntax error in classes CL_UC_COI_EXEC_CUST and CL_UC_TASK_EXECUTION_COI</t>
  </si>
  <si>
    <t>FIN-SEM-BCS-CSF-PC</t>
  </si>
  <si>
    <t>Consolidation group change - performance</t>
  </si>
  <si>
    <t>SAPK-74706INSEMBW</t>
  </si>
  <si>
    <t>KonsolidierungskreisÃ¤nderung - UnvollstÃ¤ndige Buchungen in Restatement</t>
  </si>
  <si>
    <t>FIN-TMF-BR</t>
  </si>
  <si>
    <t>TDF: CIAP - ICMS Credit Control of Fixed Assets 3.3 - Corrections to the RFC</t>
  </si>
  <si>
    <t>TDF: CIAP - ICMS Credit Control of Fixed Assets 3.4 - Corrections to the EFD Fiscal Integration</t>
  </si>
  <si>
    <t>FS-BP</t>
  </si>
  <si>
    <t>BP_LEG: Validation check &amp;quot;GBA Para.18 Relevant filled&amp;quot; for reporting data</t>
  </si>
  <si>
    <t>BP_LEG: Error messages for KWG check can now be customized</t>
  </si>
  <si>
    <t>BP_BCL: Short dump UNCAUGHT_EXCEPTION during parallel processing of the same partner in the dialog</t>
  </si>
  <si>
    <t>BP_SRV: Runtime error GETWA_NOT_ASSIGNED when executing a cleansing case in transaction BP_CLEANSE</t>
  </si>
  <si>
    <t>FS-CD</t>
  </si>
  <si>
    <t>Authorization check 0064 using authorization group in insured object</t>
  </si>
  <si>
    <t>SAPK-61706ININSURANC</t>
  </si>
  <si>
    <t>Authorization check for the event 0064: Access to data still possible in some cases</t>
  </si>
  <si>
    <t>FS-CM</t>
  </si>
  <si>
    <t>Life: Duplicate dynamic annuity adjustment does not work</t>
  </si>
  <si>
    <t>Correction for SAP Note 2044470 II</t>
  </si>
  <si>
    <t>Correction for SAP Note 2044470</t>
  </si>
  <si>
    <t>FS-CM-LB</t>
  </si>
  <si>
    <t>Clearing payment remains in the &amp;quot;Created&amp;quot; status</t>
  </si>
  <si>
    <t>SAPK-61705ININSURANC</t>
  </si>
  <si>
    <t>Error in ICL_RECOVERY_FETCH after implementation of SAP Note 2010580</t>
  </si>
  <si>
    <t>Measurement module adjustment</t>
  </si>
  <si>
    <t>Supplement to SAP Note 2005979</t>
  </si>
  <si>
    <t>FS-CML-AC</t>
  </si>
  <si>
    <t>PPP: Entry of posting date upon release</t>
  </si>
  <si>
    <t>FS-CML-AC-RPM-PP</t>
  </si>
  <si>
    <t>PPP: No output of posting log (release)</t>
  </si>
  <si>
    <t>FS-CML-AC-RPM</t>
  </si>
  <si>
    <t>PPP: Assignment filled incorrectly in residual item</t>
  </si>
  <si>
    <t>PPP: Supplement to SAP Note 1991688</t>
  </si>
  <si>
    <t>FS-CML-NB-ACQ</t>
  </si>
  <si>
    <t>AO: Determining the bank details</t>
  </si>
  <si>
    <t>AO: Supplement to SAP Note 2016759</t>
  </si>
  <si>
    <t>FS-CML-NB-CD</t>
  </si>
  <si>
    <t>STM: Increased table control for conditions and partners</t>
  </si>
  <si>
    <t>FS-CML-PO-PAO</t>
  </si>
  <si>
    <t>Payoff: Change of tab page order in payoff</t>
  </si>
  <si>
    <t>FS-SR</t>
  </si>
  <si>
    <t>FSSR: Missing display financial borrowing 200 for money market trading</t>
  </si>
  <si>
    <t>FS-SR-DE</t>
  </si>
  <si>
    <t>ISSR: Online posting does not work in MM</t>
  </si>
  <si>
    <t>GRC-SAC-BRM</t>
  </si>
  <si>
    <t>User details data is missing on clicking user link in assigned Users tab in BRM.</t>
  </si>
  <si>
    <t>SAPK-10507INGRCPINW</t>
  </si>
  <si>
    <t>GRC-ACP</t>
  </si>
  <si>
    <t>Getting Dump on fetching the user details</t>
  </si>
  <si>
    <t>IM-FA</t>
  </si>
  <si>
    <t>Testing of depreciation simulation/Primary cost planning from maintenance of depreciation simulation</t>
  </si>
  <si>
    <t>Faulty evaluation period when you call RASIMU_ALV01 from the maintenance of depreciation simulation</t>
  </si>
  <si>
    <t>IS-A-LMN</t>
  </si>
  <si>
    <t>BAPI field ALTERNATE not converted to the external LAMA</t>
  </si>
  <si>
    <t>Side effect of Note 1981498</t>
  </si>
  <si>
    <t>IS-ADEC-GPD</t>
  </si>
  <si>
    <t>QM Usage Decision - Attempt to Retrieve Stock - Wrong WBS</t>
  </si>
  <si>
    <t>SAPK-61706INECCDIMP</t>
  </si>
  <si>
    <t>GPD600+: Follow-up to note 1977324</t>
  </si>
  <si>
    <t>IS-ADEC-ROT</t>
  </si>
  <si>
    <t>Follow-up note for note 1935579</t>
  </si>
  <si>
    <t>SAPK-61704INECCDIMP</t>
  </si>
  <si>
    <t>AD_SUBCON240 after implementing note 1987827</t>
  </si>
  <si>
    <t>IS-ADEC-SUB</t>
  </si>
  <si>
    <t>Technical prerequisite for Note 1970939</t>
  </si>
  <si>
    <t>Accounting and other fields changeable during A&amp;amp;D relevant goods issue in MIGO</t>
  </si>
  <si>
    <t>IS-CWM-MM</t>
  </si>
  <si>
    <t>IS-CWM: dump TABLE_INVALID_INDEX in  SAPLEINB</t>
  </si>
  <si>
    <t>SAPK-61706INISCWM</t>
  </si>
  <si>
    <t>GR for inbound delivery: Dump CX_SY-CONVERSION_NO_NUMBER</t>
  </si>
  <si>
    <t>IS-H-BD</t>
  </si>
  <si>
    <t>SAP-BP: Street or house number missing</t>
  </si>
  <si>
    <t>SAPK-61708INISH</t>
  </si>
  <si>
    <t>SAP-BP: House number field blank</t>
  </si>
  <si>
    <t>IS-H-IS-GMS</t>
  </si>
  <si>
    <t>DE: RNAP21F01: Long runtime or memory overflow</t>
  </si>
  <si>
    <t>SAPK-61705INISH</t>
  </si>
  <si>
    <t>DE: RNAP21F01 Termination after implementing SAP Note 1964594</t>
  </si>
  <si>
    <t>KHStatV: No length of stay for PEPP</t>
  </si>
  <si>
    <t>DE: RNSSA9_2007 Program Termination CALL_FUNCTION_PARM_UNKNOWN</t>
  </si>
  <si>
    <t>IS-H-MM-REQ</t>
  </si>
  <si>
    <t>IS-H ONME displays incorrect hierarchy name under node</t>
  </si>
  <si>
    <t>IS-H ONME: Texts not copied after implementation of SAP Note 2064000</t>
  </si>
  <si>
    <t>IS-H-PA-INS</t>
  </si>
  <si>
    <t>Search for debtor in FI from IS-H with uppercase/lowercase</t>
  </si>
  <si>
    <t>Searching for FI customer from IS-H provides too many results</t>
  </si>
  <si>
    <t>DE: House number not created separately in FI Customer when you create third-party payer</t>
  </si>
  <si>
    <t>DE: StraÃŸe und Hausnummer bei Fremdregulierer / abw. Rechnungsadresse in FI Debitor nicht bzw. in fa</t>
  </si>
  <si>
    <t>IS-H-PM</t>
  </si>
  <si>
    <t>Extended and additional fields in the patient master and the patient address</t>
  </si>
  <si>
    <t>SAPK-61706INISH</t>
  </si>
  <si>
    <t>Aufnahme Neugeborenes: Vorname / Nachname falsch vorgeschlagen</t>
  </si>
  <si>
    <t>IS-H-PM-PAT</t>
  </si>
  <si>
    <t>IS-H: BAPI_PATIENT_SEARCH with client-wide patient identification</t>
  </si>
  <si>
    <t>IS-H: Error in BAPI processing for patients - additional fields</t>
  </si>
  <si>
    <t>IS-H-SE</t>
  </si>
  <si>
    <t>IS-H: eSOA - Service PatientERPBasicDataByBasicDataQueryResponse_In does not find any patients</t>
  </si>
  <si>
    <t>IS-H: Vorname, Nachname und Geburtsname werden in GroÃŸbuchstaben umgewandelt</t>
  </si>
  <si>
    <t>IS-H-IS-STA</t>
  </si>
  <si>
    <t>IS-H: Pfarrerliste - Hausnummer wird nicht ausgegeben</t>
  </si>
  <si>
    <t>IS-H: Long and additional fields for SAP BP</t>
  </si>
  <si>
    <t>IS-H: SAP BP - &amp;quot;c/o Name&amp;quot; and &amp;quot;Supplement 2&amp;quot; missing from the temporary address</t>
  </si>
  <si>
    <t>IS-M-SD-PS-SL-C</t>
  </si>
  <si>
    <t>Complaint deleted without warning, although corresponding message sent</t>
  </si>
  <si>
    <t>SAPK-61704INISM</t>
  </si>
  <si>
    <t>LOC_NAST_OBJKY_J3 incompatible with MSG_OBJKY from RV_MESSAGES_GET</t>
  </si>
  <si>
    <t>IS-OIL-DS-TD</t>
  </si>
  <si>
    <t>O4G1: LIPSO2 not getting updated during load confirmation</t>
  </si>
  <si>
    <t>SAPK-61705INISOIL</t>
  </si>
  <si>
    <t>Sales order locked</t>
  </si>
  <si>
    <t>IS-OIL-DS-TPI</t>
  </si>
  <si>
    <t>VA01 Performance issue during sales order creation</t>
  </si>
  <si>
    <t>VA01 Incorrect transportation planning point determined during sales order creation</t>
  </si>
  <si>
    <t>IS-OIL-PRA</t>
  </si>
  <si>
    <t>Negative Payment Suspense  and Escheat reports are empty when viewed in the report viewer</t>
  </si>
  <si>
    <t>SAPK-61705INISPRA</t>
  </si>
  <si>
    <t>IS-OIL-PRA-REV-OW</t>
  </si>
  <si>
    <t>Escheat batch job cancels with BCD_BADDATA</t>
  </si>
  <si>
    <t>IS-OIL-PRA-REP-ROY</t>
  </si>
  <si>
    <t>Roy 2.0 - WY marketing cost xref configuration not used for report generation</t>
  </si>
  <si>
    <t>SAPK-61707INISPRA</t>
  </si>
  <si>
    <t>Roy 2.0 WY - Marketing cost xref not working completely</t>
  </si>
  <si>
    <t>IS-PS-CA</t>
  </si>
  <si>
    <t>FP_BP_BLOCKING PSCD: Handling of blocked business partners for inbound correspondence</t>
  </si>
  <si>
    <t>SAPK-61705INISPSCA</t>
  </si>
  <si>
    <t>FMCAM1: If run for only one contract, nothing will be generated</t>
  </si>
  <si>
    <t>IS-PS-CA-TRM</t>
  </si>
  <si>
    <t>TRM Form bundle in status 'Obsolete' can be edited</t>
  </si>
  <si>
    <t>SAPK-61704INISPSCA</t>
  </si>
  <si>
    <t>TRM Obsoleted Form Bundle can be changed</t>
  </si>
  <si>
    <t>IS-U</t>
  </si>
  <si>
    <t>IS-U audit module for unit IDs 05XX and 18XX (new price list)</t>
  </si>
  <si>
    <t>SAPK-61704INISUT</t>
  </si>
  <si>
    <t>Performance problems in connection with billing documents</t>
  </si>
  <si>
    <t>IS-U-BI</t>
  </si>
  <si>
    <t>Buffering for Settlement Processes EAMASI and EAMACH</t>
  </si>
  <si>
    <t>Buffering for contract accounts does not work in mass billing processes</t>
  </si>
  <si>
    <t>IS-U-CS</t>
  </si>
  <si>
    <t>BCT1: Input check for contact activity incorrect</t>
  </si>
  <si>
    <t>BCT1: Contact class or contact action cannot be changed if AutoCreate is used</t>
  </si>
  <si>
    <t>IS-U-DM-MR</t>
  </si>
  <si>
    <t>Plausibility check: Termination E9 024 &amp;quot;Schedule to-date &amp;amp;1 after from-date &amp;amp;2&amp;quot;</t>
  </si>
  <si>
    <t>SAPK-61705INISUT</t>
  </si>
  <si>
    <t>Syntaxfehler in Include LEPU1F01</t>
  </si>
  <si>
    <t>IS-U-IDE</t>
  </si>
  <si>
    <t>This note concerns MEER: Performance when processing reversals</t>
  </si>
  <si>
    <t>REDISND1/MEER: Runtime error GETWA_NOT_ASSIGNED</t>
  </si>
  <si>
    <t>IS-U-IN</t>
  </si>
  <si>
    <t>ISU_BUPA_BLOCKING: Handling person-related data in invoicing</t>
  </si>
  <si>
    <t>Beim Rechnungsdruck wird unvollstÃ¤ndig gedruckt</t>
  </si>
  <si>
    <t>IS-U-IN-BB</t>
  </si>
  <si>
    <t>PSC: Requests in the future for invoiced period</t>
  </si>
  <si>
    <t>PSC: Doppelte Zahlungsschemaanforderungen nach Zwischenabrechnung mit Abschlagsanpassung</t>
  </si>
  <si>
    <t>IS-U-IN-PC</t>
  </si>
  <si>
    <t>INV: Performance improvements lead to memory overflow</t>
  </si>
  <si>
    <t>SAPK-61706INISUT</t>
  </si>
  <si>
    <t>INV: Error &amp;gt;0 462: Internal error during mass postings in program SAPLE21A</t>
  </si>
  <si>
    <t>IS-U-WA</t>
  </si>
  <si>
    <t>Various corrections, weighing system</t>
  </si>
  <si>
    <t>Posting / SD Transfer / Cash Sales in General Cargo Entry Not Possible</t>
  </si>
  <si>
    <t>LE-MOB</t>
  </si>
  <si>
    <t>Parallel bulk TO confirmation results in error</t>
  </si>
  <si>
    <t>transfer order confirmation for bulk storage fails</t>
  </si>
  <si>
    <t>LE-SHP-DL</t>
  </si>
  <si>
    <t>Incorrect item reference in log of incomplete items</t>
  </si>
  <si>
    <t>Item data disappears after confirming error message that has been displayed during saving</t>
  </si>
  <si>
    <t>Interface note: Protection of person-related data in LE shipping (3)</t>
  </si>
  <si>
    <t>IS-A-GR</t>
  </si>
  <si>
    <t>DIMP: Follow up note 1965005</t>
  </si>
  <si>
    <t>LE-WM-TFM</t>
  </si>
  <si>
    <t>TO cannot be confirmed - Handling unit was not blocked</t>
  </si>
  <si>
    <t>IS-A-HUM</t>
  </si>
  <si>
    <t>DIMP: Follow up note 1988482</t>
  </si>
  <si>
    <t>LT01, LT10 - Movements within warehouse of stock that is waiting for usage decision loses the Inspec</t>
  </si>
  <si>
    <t>Error with picking or removal of partial Handling unit or storage unit quantity</t>
  </si>
  <si>
    <t>LO-AB</t>
  </si>
  <si>
    <t>LIS/BW-Update for parked, one sided settlement requests</t>
  </si>
  <si>
    <t>AB: Duplicated records at item level on Vendor Settlement</t>
  </si>
  <si>
    <t>Blocked vendor for Purchasing is not blocked for agency Business</t>
  </si>
  <si>
    <t>LO-GT-TE</t>
  </si>
  <si>
    <t>Syntax error in FM WLF_INVOICE_PARTY_CHECK</t>
  </si>
  <si>
    <t>LO-AB-RS</t>
  </si>
  <si>
    <t>AB: System displays supplier fields instead of customer fields on the accounting view</t>
  </si>
  <si>
    <t>LO-AB-TC</t>
  </si>
  <si>
    <t>DUMP when accessing to header of a VBD</t>
  </si>
  <si>
    <t>LO-BM-BF</t>
  </si>
  <si>
    <t>MSC2N: Message M7 299 when saving a batch</t>
  </si>
  <si>
    <t>IS-MP-MM</t>
  </si>
  <si>
    <t>DIMP: Follow up note 1997493</t>
  </si>
  <si>
    <t>LO-FSH-CA</t>
  </si>
  <si>
    <t>Segmentation and SAP Fashion Management 1.0: Data Dictionary Objects</t>
  </si>
  <si>
    <t>LO-SGT</t>
  </si>
  <si>
    <t>Segmentation Development under the Package ME - 1</t>
  </si>
  <si>
    <t>LO-GT</t>
  </si>
  <si>
    <t>Wrong Quantity check in Trading contract</t>
  </si>
  <si>
    <t>SAPK-61704INEAGLTRAD</t>
  </si>
  <si>
    <t>LO-GT-TC</t>
  </si>
  <si>
    <t>Incorrect quantity check in the system.</t>
  </si>
  <si>
    <t>Expense is not deleted in T-code WTEW</t>
  </si>
  <si>
    <t>TE: Pro Forma expense cannot be deleted after Note 1991257 is applied</t>
  </si>
  <si>
    <t>Sales person and telephone number becomes inconsistent</t>
  </si>
  <si>
    <t>pretty printer issue in note 1882176</t>
  </si>
  <si>
    <t>Side effect of 1882176</t>
  </si>
  <si>
    <t>LO-MD-BP-CM</t>
  </si>
  <si>
    <t>Business partner replication between CRM and ECC with active CVI</t>
  </si>
  <si>
    <t>Incorrect entries in the table CRMKUNNR</t>
  </si>
  <si>
    <t>LO-MD-BP-DP</t>
  </si>
  <si>
    <t>Customer/vendor Destruction: Interface note - Archiving adaptation</t>
  </si>
  <si>
    <t>Archiving: Runtime error GETWA_NOT_ASSIGNED raised</t>
  </si>
  <si>
    <t>LO-MD-MM</t>
  </si>
  <si>
    <t>Leading zero(s) are lost in your own EAN check</t>
  </si>
  <si>
    <t>Self-assigned EAN in own EAN check is overwritten/initialized, which is incorrect.</t>
  </si>
  <si>
    <t>Authorization Check when Displaying Change Documents Not Sufficient</t>
  </si>
  <si>
    <t>IS-MP-NF</t>
  </si>
  <si>
    <t>DIMP: Follow up note 2022770</t>
  </si>
  <si>
    <t>LO-MD-RES</t>
  </si>
  <si>
    <t>WESOUT parallel listing check doesn't run in parallel</t>
  </si>
  <si>
    <t>SAPK-61706INEARETAIL</t>
  </si>
  <si>
    <t>WESOUT parallel listing check doesn't run correctly</t>
  </si>
  <si>
    <t>LO-MD-RPC</t>
  </si>
  <si>
    <t>Not all items activated for &amp;quot;Select All&amp;quot; are in competitor price entry</t>
  </si>
  <si>
    <t>Runtime error occurs after choosing save in WMB1</t>
  </si>
  <si>
    <t>LO-SGT-MD</t>
  </si>
  <si>
    <t>Segment relevant material / article creation &amp;amp; fixing segmentation strategy to several Plant / D</t>
  </si>
  <si>
    <t>LO-FSH-MD</t>
  </si>
  <si>
    <t>F1 help missing on Segmentation Popup User Interface.</t>
  </si>
  <si>
    <t>LO-SGT-MM</t>
  </si>
  <si>
    <t>Usability Improvements on Retail Stock Overview (RWBE)</t>
  </si>
  <si>
    <t>No Stock display without Batch flag in Retail Stock Overview (RWBE)</t>
  </si>
  <si>
    <t>Short Dump DYNP_TOO_MANY_RADIOBUTTONS_ON in RWBE.</t>
  </si>
  <si>
    <t>Short Dump GETWA_NOT_ASSIGNED in Retail Stock Overview (RWBE)</t>
  </si>
  <si>
    <t>Short Dump DYNP_TOO_MANY_RADIOBUTTONS_ON in Retail Stock Overview (RWBE)</t>
  </si>
  <si>
    <t>In retail stock overview (RWBE) getting error when double click on segment level quantity</t>
  </si>
  <si>
    <t>Incorrect stock related results in retail stock overview(RWBE)</t>
  </si>
  <si>
    <t>LO-SPM-STO</t>
  </si>
  <si>
    <t>TCD Delivery assigned to wrong Predecessor</t>
  </si>
  <si>
    <t>LO-SPM-X</t>
  </si>
  <si>
    <t>TCD Delivery assigned to wrong Predecessor (2)</t>
  </si>
  <si>
    <t>Long runtime when reading object dependencies</t>
  </si>
  <si>
    <t>LO-VC-PME</t>
  </si>
  <si>
    <t>PMEVC: Reloading object dependencies no longer works</t>
  </si>
  <si>
    <t>LO-VC-IAD</t>
  </si>
  <si>
    <t>Missing possibility to set IPC parameters from the ERP side</t>
  </si>
  <si>
    <t>Recording routine change for table COM_IPC_PROP_ERP</t>
  </si>
  <si>
    <t>Reloading the current status for a single object</t>
  </si>
  <si>
    <t>PMEVC: After date change, dependencies are missing at characteristics and values</t>
  </si>
  <si>
    <t>MM-IM-GF-MB</t>
  </si>
  <si>
    <t>VL02N: Error M7 146: Item &amp;amp; Is Not Supported (Check Your Entry.)</t>
  </si>
  <si>
    <t>SD-SLS-RE-SR</t>
  </si>
  <si>
    <t>Sales returns does not function after SAP Note 1919490</t>
  </si>
  <si>
    <t>Sales returns does not function after SAP Note 1919490: Part 2</t>
  </si>
  <si>
    <t>MM-IM-GF-SPV</t>
  </si>
  <si>
    <t>No individual project evaluation for project stock despite relevant project attribute</t>
  </si>
  <si>
    <t>GPD604+: Consumption posting to WBS element validation changed due to SAP Note 1904997</t>
  </si>
  <si>
    <t>MM-IM-GR-SC</t>
  </si>
  <si>
    <t>LOG_MM_OM_1: Component consumption via SNC posted as a receipt</t>
  </si>
  <si>
    <t>DIMP: Follow up note 2053350</t>
  </si>
  <si>
    <t>MM-IM-SOH</t>
  </si>
  <si>
    <t>Fiori: GoodsIssue Factsheet with reference problem of Salesorder</t>
  </si>
  <si>
    <t>Fiori: Goods Issue Factsheet with reference problem to  Sales Order Factsheet</t>
  </si>
  <si>
    <t>MM-IM-ST-PO</t>
  </si>
  <si>
    <t>M7226 SIT for non-valuated materials</t>
  </si>
  <si>
    <t>DIMP: Follow up note 2014887</t>
  </si>
  <si>
    <t>MM-PUR-GF</t>
  </si>
  <si>
    <t>Internal technical adjustments</t>
  </si>
  <si>
    <t>MM-PUR-VM-REC</t>
  </si>
  <si>
    <t>Vendor Material Number in the Info Record is updated incorrectly during Purchase Order.creation</t>
  </si>
  <si>
    <t>MM-PUR-GF-CAT</t>
  </si>
  <si>
    <t>Catalog Checkout: PReq/PO (Evaluation) Price multiplied with 100</t>
  </si>
  <si>
    <t>PO item price not adopted from catalog</t>
  </si>
  <si>
    <t>MM-PUR-GF-CON</t>
  </si>
  <si>
    <t>Error handling missing for tolerance check from confirmation process</t>
  </si>
  <si>
    <t>DIMP: Follow up note 1954496</t>
  </si>
  <si>
    <t>Order acknowledgement could not be deleted using ME_PO_CONFIRM</t>
  </si>
  <si>
    <t>DIMP: Follow up note 1967549</t>
  </si>
  <si>
    <t>MM-PUR-GF-ES</t>
  </si>
  <si>
    <t>PurchasingContractSRMReplicationConfirmation_Out failes and MMPUR_ queue gets locked</t>
  </si>
  <si>
    <t>Dump: CALL_FUNCTION_NO_VB for API OPS_SE_PUR_OA_QRFC_V1</t>
  </si>
  <si>
    <t>Conditions not updated when updating Outline Agreement in parallel mode (RFC, SOA)</t>
  </si>
  <si>
    <t>MM-PUR-GF-EDI</t>
  </si>
  <si>
    <t>Create multiple contracts using IDoc result in update termination</t>
  </si>
  <si>
    <t>Contract creation result in update termination error</t>
  </si>
  <si>
    <t>MM-PUR-GF-GR</t>
  </si>
  <si>
    <t>No Change documents created when ELIKZ/EREKZ is set</t>
  </si>
  <si>
    <t>MM-PUR-GF-IR</t>
  </si>
  <si>
    <t>MIRO/MIR7: Performance when entering an invoice document</t>
  </si>
  <si>
    <t>MM-PUR-PO</t>
  </si>
  <si>
    <t>Change documents not created when MIGO sets final delivery</t>
  </si>
  <si>
    <t>MM-PUR-OA</t>
  </si>
  <si>
    <t>Environment Functions CCM display not available in menu</t>
  </si>
  <si>
    <t>MM-PUR-OA-CON</t>
  </si>
  <si>
    <t>Dump when attempting to view item change documents without selecting an item</t>
  </si>
  <si>
    <t>No change documents are displayed for purchase order items</t>
  </si>
  <si>
    <t>MM-PUR-OA-BAPI</t>
  </si>
  <si>
    <t>OA BAPI does not determine release strategy</t>
  </si>
  <si>
    <t>Header condition changes alone not updated for contract</t>
  </si>
  <si>
    <t>MM-PUR-PO-GUI</t>
  </si>
  <si>
    <t>Required Priority not in display mode for PO Grid display</t>
  </si>
  <si>
    <t>Error MM_PRIO007 when changing storage location in PO</t>
  </si>
  <si>
    <t>No change documents created when MAHNZ is updated</t>
  </si>
  <si>
    <t>MM-PUR-GF-OC</t>
  </si>
  <si>
    <t>ME91F  dump: DATREF_NOT_ASSIGNED when executing program RM06ENMA</t>
  </si>
  <si>
    <t>MM-PUR-REQ-GUI</t>
  </si>
  <si>
    <t>ME52N: Source of supply vanished, wrong BOM exploded</t>
  </si>
  <si>
    <t>IS-ADEC-MPN</t>
  </si>
  <si>
    <t>DIMP: Follow up note 1874041</t>
  </si>
  <si>
    <t>MM-PUR-SQ-SLI</t>
  </si>
  <si>
    <t>Order unit not assigned from fixed source</t>
  </si>
  <si>
    <t>DIMP: Follow up note 1956456</t>
  </si>
  <si>
    <t>MM-SRV-ES</t>
  </si>
  <si>
    <t>CCM: Service item contains wrong condition information</t>
  </si>
  <si>
    <t>CCM: Incorrect condition item index for the supplement conditions</t>
  </si>
  <si>
    <t>MM-SRV-GF</t>
  </si>
  <si>
    <t>ME2* shows incorrect results for service purchase orders</t>
  </si>
  <si>
    <t>MM-SRV</t>
  </si>
  <si>
    <t>ME2J : Incorrect invoice value</t>
  </si>
  <si>
    <t>PA-AS</t>
  </si>
  <si>
    <t>DTT: FPM form configuration must be saved using workbench and customizing request</t>
  </si>
  <si>
    <t>Not able to create FPM forms</t>
  </si>
  <si>
    <t>PA-BN</t>
  </si>
  <si>
    <t>Enrollment Tool using wrong dates when determining eligibility.</t>
  </si>
  <si>
    <t>0002 to 0004</t>
  </si>
  <si>
    <t>SAPKE60474</t>
  </si>
  <si>
    <t>Participation overview is not listing some of the Plan records which are having error.</t>
  </si>
  <si>
    <t>0001 to 0004</t>
  </si>
  <si>
    <t>Participation monitor does not use the key date for determining eligibility and other checks.</t>
  </si>
  <si>
    <t>PA-BN-AD-PY</t>
  </si>
  <si>
    <t>BENTAB Not Created When Infotype 0170 Start Date Moved</t>
  </si>
  <si>
    <t>Issue with OSS Note 1993042</t>
  </si>
  <si>
    <t>PA-CP</t>
  </si>
  <si>
    <t>Det. Planning: Edit Job, Edit Cost Items, Error HRHCP00_PLAN030</t>
  </si>
  <si>
    <t>SAPK-60727INEAHR</t>
  </si>
  <si>
    <t>PHCPDCUI: No Limits for cost items</t>
  </si>
  <si>
    <t>Plan in Account Assignment View:  Cumulate CO_INFO Table</t>
  </si>
  <si>
    <t>Release Plan: Exception CX_SY_ARITHMETIC_OVERFLOW</t>
  </si>
  <si>
    <t>Exception CX_SY_ARITHMETIC_OVERFLOW, or incorrect Account Assignment View</t>
  </si>
  <si>
    <t>PA-ER</t>
  </si>
  <si>
    <t>Multiple assigning of candidates to requisitions</t>
  </si>
  <si>
    <t>SAPK-61704INERECRUIT</t>
  </si>
  <si>
    <t>Assignment to requisition with forwarding option is not available</t>
  </si>
  <si>
    <t>PA-IS</t>
  </si>
  <si>
    <t>Long selection for a high number of single values in the logical database PNP/PNPCE</t>
  </si>
  <si>
    <t>Program termination when selecting personnel number multiple times using the logical database PNP/PN</t>
  </si>
  <si>
    <t>PA-OS</t>
  </si>
  <si>
    <t>System dump for more than 10 000 entries in Pa0105</t>
  </si>
  <si>
    <t>External relationships: Dump CX_SY_OPEN_SQL_DB</t>
  </si>
  <si>
    <t>PA-PA-DE</t>
  </si>
  <si>
    <t>Infotype 0004; reference number, administrative office</t>
  </si>
  <si>
    <t>Infotype &amp;quot;Challenge&amp;quot; (0004): Check for degree of challenge</t>
  </si>
  <si>
    <t>PA-PA-ES</t>
  </si>
  <si>
    <t>SSOCIAL: Issue with P0061-BERKT field search help</t>
  </si>
  <si>
    <t>PY-ES</t>
  </si>
  <si>
    <t>PA-PA-KR</t>
  </si>
  <si>
    <t>KR Usage Enablement of YEA Forms on ESS</t>
  </si>
  <si>
    <t>SAPKE60476</t>
  </si>
  <si>
    <t>Remove KR Usage Measurement of YEA Forms on ESS</t>
  </si>
  <si>
    <t>PA-PA-RU</t>
  </si>
  <si>
    <t>Standard texts are copied with the same identifier</t>
  </si>
  <si>
    <t>Infotype personnel orders does not exit screen</t>
  </si>
  <si>
    <t>ESS: fields output properties for the Address scenario</t>
  </si>
  <si>
    <t>ESS: &amp;quot;Special Birthplace&amp;quot; field is visible on non-birthplace subtype screen</t>
  </si>
  <si>
    <t>PA-PA-SG</t>
  </si>
  <si>
    <t>Child Care Leave Enhancement : CCL taken from previous employment</t>
  </si>
  <si>
    <t>Field 'CCL start from year of birth' in Infotype 0021 should be hidden when subtype is not child</t>
  </si>
  <si>
    <t>Legal Change: Personal Data Protection Act Solution Phase 1 Release</t>
  </si>
  <si>
    <t>PY-SG</t>
  </si>
  <si>
    <t>Ehancements to the Destruction Report HSGPPDP0 for Singapore PDPA Solution</t>
  </si>
  <si>
    <t>PA-PA-US</t>
  </si>
  <si>
    <t>VETS: Read Veteran Status texts from T5UVETT</t>
  </si>
  <si>
    <t>IT0077: Elements touch or overlap on screen MP007700_CE</t>
  </si>
  <si>
    <t>IT0077 - New options for Disability Status</t>
  </si>
  <si>
    <t>0001 to 0007</t>
  </si>
  <si>
    <t>IT0077: New domain and data type for Disability Status</t>
  </si>
  <si>
    <t>PA-PA-XX</t>
  </si>
  <si>
    <t>Error message PG230 when terminate an employee</t>
  </si>
  <si>
    <t>Inconsistency in the PA records after note 1947089 since error message replaced by a warning.</t>
  </si>
  <si>
    <t>Inconsistency with Employee Group/Subgroup Search Helps with Global Employment</t>
  </si>
  <si>
    <t>PA-PM-BM</t>
  </si>
  <si>
    <t>HRPBCM: &amp;quot;Employee Group&amp;quot; search help does not work</t>
  </si>
  <si>
    <t>Function group PARA: Modules for comparing annual salaries cannot be used in a roadmap context</t>
  </si>
  <si>
    <t>Performance and ABAP dump issues after upgrade</t>
  </si>
  <si>
    <t>Error message (PG038) is not displayed in PA41 in certain scenarios</t>
  </si>
  <si>
    <t>PA41: Start date of the A/B209 relationship is changed to 00.00.0000</t>
  </si>
  <si>
    <t>ESS - Bank Key and Bank Account are not getting derived from IBAN when updating another Type of Bank</t>
  </si>
  <si>
    <t>ESS - IBAN not proposed when changing Account Number</t>
  </si>
  <si>
    <t>Employee Group Search Help - Listbox empty</t>
  </si>
  <si>
    <t>Employee Group Search Help</t>
  </si>
  <si>
    <t>HCMDP: Infotype 0003 is filled with a date that is too early for multiple archiving subobjects</t>
  </si>
  <si>
    <t>HCMDP: IT0283 filled with incorrect original status with regard to previous retroactive accounting l</t>
  </si>
  <si>
    <t>CE: Error message 00 058 or PG 301 for hiring action</t>
  </si>
  <si>
    <t>Missing Personnel Subarea text when hiring (PA40)</t>
  </si>
  <si>
    <t>PM: Validity period change is ignored</t>
  </si>
  <si>
    <t>Runtime error ASSERTION_FAILED in appraisal document</t>
  </si>
  <si>
    <t>PHAP_ADMIN: Status change for part appraisals</t>
  </si>
  <si>
    <t>PHAP_ADMIN: Status change for part appraisals (2)</t>
  </si>
  <si>
    <t>Part appraisals are ignored during authorization check of appraisal documents</t>
  </si>
  <si>
    <t>BAdI for authorization check of appraisal documents is not called</t>
  </si>
  <si>
    <t>PM: Adding qualifications</t>
  </si>
  <si>
    <t>PM: Newly added qualification does not appear in appraisal document</t>
  </si>
  <si>
    <t>PA-PM-CP</t>
  </si>
  <si>
    <t>Support of &amp;quot;Business area&amp;quot; and &amp;quot;Segment&amp;quot;</t>
  </si>
  <si>
    <t>'Business area' &amp;amp; 'Segment' filled despite not being active</t>
  </si>
  <si>
    <t>Follow-on note to 1335155 (IV)</t>
  </si>
  <si>
    <t>Business Area and Segment not available in Message log</t>
  </si>
  <si>
    <t>Fields &amp;quot;Business area&amp;quot; and &amp;quot;Segment&amp;quot; no longer filled after upgrade to Enhanceme</t>
  </si>
  <si>
    <t>Wrong contents of fields GSBER and SEGMT of table HRFPM_FPM_POS</t>
  </si>
  <si>
    <t>PA-TM</t>
  </si>
  <si>
    <t>Missing module pools in talent management (IT743*)</t>
  </si>
  <si>
    <t>Title 'TIB' of the interface for program MP743700</t>
  </si>
  <si>
    <t>Talent groups: Configuration of the talent list</t>
  </si>
  <si>
    <t>Talent groups cannot be permitted or rejected</t>
  </si>
  <si>
    <t>Process deletion change pointer of AES documents</t>
  </si>
  <si>
    <t>SAPK-60721INEAHR</t>
  </si>
  <si>
    <t>Program termination when deleting assessment document</t>
  </si>
  <si>
    <t>PE-LSO-LPO</t>
  </si>
  <si>
    <t>Performance issues with learning portal</t>
  </si>
  <si>
    <t>Launching content for WBT in Classroom gives an error in learning portal</t>
  </si>
  <si>
    <t>SAPK-61704INLSOFE</t>
  </si>
  <si>
    <t>PLM-WUI</t>
  </si>
  <si>
    <t>Change Documents Application for Specifications and Recipes in the PLM Recipe Development</t>
  </si>
  <si>
    <t>SAPK-74704INPLMWUI</t>
  </si>
  <si>
    <t>PLM-WUI-RCP-RCP</t>
  </si>
  <si>
    <t>Change Documents: Check if processes are allowed for Rcp.Typ</t>
  </si>
  <si>
    <t>PLM-WUI-OBJ-CL</t>
  </si>
  <si>
    <t>Missing authorization check when assigning/deleting a class to an object</t>
  </si>
  <si>
    <t>Incorrect classification authorization check in document management</t>
  </si>
  <si>
    <t>PLM-WUI-OBJ-DMS</t>
  </si>
  <si>
    <t>PLMWUI: Copy to on checked out file is throwing wrong error in PLMWUI</t>
  </si>
  <si>
    <t>Remove inconsistency generated by the note 1979447</t>
  </si>
  <si>
    <t>Classification data is not saved when DIR is in locked status</t>
  </si>
  <si>
    <t>XX-PART-ISHMED-DOC</t>
  </si>
  <si>
    <t>Klin. Dokumente: Dokument freigeben - Ereignis RELEASE wird nicht mehr ausgelÃ¶st</t>
  </si>
  <si>
    <t>Error Handling for Object Link QM Info Record</t>
  </si>
  <si>
    <t>SAPK-74706INPLMWUI</t>
  </si>
  <si>
    <t>PLMWUI:Object Link QM Info Record and error message.</t>
  </si>
  <si>
    <t>PLM-WUI-OBJ-PSM</t>
  </si>
  <si>
    <t>PSM: Assembly Items disappear on clicking read-only button</t>
  </si>
  <si>
    <t>PSM: Fix tree explosion issue in planning scope</t>
  </si>
  <si>
    <t>PSM warning: Assembly header and assembly item have same name</t>
  </si>
  <si>
    <t>SAPK-74705INPLMWUI</t>
  </si>
  <si>
    <t>Prerequisite report for Advanced RWB development</t>
  </si>
  <si>
    <t>Reconciliation Workbench of GSS R2B for the SP04 development</t>
  </si>
  <si>
    <t>PLM-WUI-RCP-SPE</t>
  </si>
  <si>
    <t>Changing authorization check for specification</t>
  </si>
  <si>
    <t>Specification management initial screen and display mode: Change number and key date are not display</t>
  </si>
  <si>
    <t>PM-EQM-LE</t>
  </si>
  <si>
    <t>IH08 - Incorrect number of equipments is returned</t>
  </si>
  <si>
    <t>DIMP: Follow up note 1963306</t>
  </si>
  <si>
    <t>PM-WOC</t>
  </si>
  <si>
    <t>Status enhancements for BAPI BAPI_ALM_ORDER_MAINTAIN</t>
  </si>
  <si>
    <t>PM-WOC-MO</t>
  </si>
  <si>
    <t>Error in basic order view: Impossible to save</t>
  </si>
  <si>
    <t>PM-WOC-LE</t>
  </si>
  <si>
    <t>IW38: Changing multiple orders does not work</t>
  </si>
  <si>
    <t>Changes to the list transactions IW37N and IW38 - 2</t>
  </si>
  <si>
    <t>Changes to the list transactions IW37N and IW38 - 1</t>
  </si>
  <si>
    <t>IS-ADEC-MEB</t>
  </si>
  <si>
    <t>DIMP: Follow up note 1957961</t>
  </si>
  <si>
    <t>PM-WOC-MN</t>
  </si>
  <si>
    <t>Iw21: Unwanted call to the EXIT_SAPLIQS0_005.</t>
  </si>
  <si>
    <t>Iw21: EXIT_SAPLIQS0_005 not called by BAPI_ALM_NOTIF_CREATE</t>
  </si>
  <si>
    <t>IW32: Menu entry 'Do Not Execute' active even when the current order status does not allow it</t>
  </si>
  <si>
    <t>IW32: Menu entry 'Do Not Execute' inactive</t>
  </si>
  <si>
    <t>IW31: Error KM 189 when creating an order with Locked profit center associated to work center at Hea</t>
  </si>
  <si>
    <t>PM-WOC-MO-ACC</t>
  </si>
  <si>
    <t>IWO10005: Profit center not transferred</t>
  </si>
  <si>
    <t>IW32: Dump MESSAGE_TYPE_X when order opened</t>
  </si>
  <si>
    <t>IW32: Order not executed - transaction canceled</t>
  </si>
  <si>
    <t>PM-WOC-MO-OLC</t>
  </si>
  <si>
    <t>Operation account assignment: Performance</t>
  </si>
  <si>
    <t>Settlement of an activity-assigned PM order: Credit to other activity</t>
  </si>
  <si>
    <t>PP-CRP-LVL</t>
  </si>
  <si>
    <t>Follow-up note for note 2011419</t>
  </si>
  <si>
    <t>PP-CRP-ALY</t>
  </si>
  <si>
    <t>CM01 Error in export of file in SLK format</t>
  </si>
  <si>
    <t>PP-KAB</t>
  </si>
  <si>
    <t>Production Order split leads to incorrect kanban replenishment.</t>
  </si>
  <si>
    <t>PP-MES</t>
  </si>
  <si>
    <t>Production order message LOIPRO created unintentionally</t>
  </si>
  <si>
    <t>Error CO_MES_INT004 via BAPI CO_MES_PRODORDCONF_CREATE_TT</t>
  </si>
  <si>
    <t>PP-MRP</t>
  </si>
  <si>
    <t>Technical corrections in MRP AMDP Read Procedures</t>
  </si>
  <si>
    <t>Incorrect plant stock when MRP areas deactivated</t>
  </si>
  <si>
    <t>MRP: Planning run statistics: Materials counter after implementation of SAP Note 2034796</t>
  </si>
  <si>
    <t>DIMP: Follow up note 2040238</t>
  </si>
  <si>
    <t>PP-SFC</t>
  </si>
  <si>
    <t>Rounding problem while changing assembly production order</t>
  </si>
  <si>
    <t>IS-MP-PP</t>
  </si>
  <si>
    <t>DIMP: Follow up note 1993203</t>
  </si>
  <si>
    <t>PP-SFC-CPL</t>
  </si>
  <si>
    <t>Technically complete mass processing despite open goods movements</t>
  </si>
  <si>
    <t>DIMP: Follow up note 2045334</t>
  </si>
  <si>
    <t>PP-SFC-EXE</t>
  </si>
  <si>
    <t>Rework of EWM Interface in the area of manufacturing - Part 6</t>
  </si>
  <si>
    <t>CO01 Runtime error PERFORM_PARAMETER_MISSING</t>
  </si>
  <si>
    <t>Availability log for order release is inaccurate</t>
  </si>
  <si>
    <t>DIMP: Follow up note 1987216</t>
  </si>
  <si>
    <t>PP-SFC-EXE-OCM</t>
  </si>
  <si>
    <t>VA02 - Change to configuration deletes delivered quantity in PP order</t>
  </si>
  <si>
    <t>DIMP: Follow up note 1982781</t>
  </si>
  <si>
    <t>PP-SFC-PLN</t>
  </si>
  <si>
    <t>Postreading master data (bill of materials) during planned order conversion</t>
  </si>
  <si>
    <t>DIMP: Follow up note 2011198</t>
  </si>
  <si>
    <t>PS-IS-ACC-HIE</t>
  </si>
  <si>
    <t>Long runtime in hierarchy/summarization reports</t>
  </si>
  <si>
    <t>Wrong Overall plan costs in hierarchy reports (2)</t>
  </si>
  <si>
    <t>Wrong Overall plan costs in hierarchy reports</t>
  </si>
  <si>
    <t>PS-REV</t>
  </si>
  <si>
    <t>Dump with PERFORM_PARAMETER_MISSING in the program RDPFLOWREPZ</t>
  </si>
  <si>
    <t>DIMP: Follow up note 1980609</t>
  </si>
  <si>
    <t>PS-ST-PB</t>
  </si>
  <si>
    <t>CJ20n: Drag &amp;amp; drop results in duplicate activities</t>
  </si>
  <si>
    <t>PS-ST</t>
  </si>
  <si>
    <t>Subroutine GET_G_NODE_KEY does not exist</t>
  </si>
  <si>
    <t>PSM-FG-IS</t>
  </si>
  <si>
    <t>Federal Transaction Register - Additional HANA Enhancements</t>
  </si>
  <si>
    <t>SAPK-61705INEAPS</t>
  </si>
  <si>
    <t>Federal Transaction Register - DBIF_RSQL_SQL_ERROR can occur</t>
  </si>
  <si>
    <t>PSM-FM-BCS-BU</t>
  </si>
  <si>
    <t>New Key Figure Reporting transaction</t>
  </si>
  <si>
    <t>PSM-FM-IS</t>
  </si>
  <si>
    <t>FMKFH01: add FMAVCT as datasource</t>
  </si>
  <si>
    <t>PSM-FM-CL</t>
  </si>
  <si>
    <t>Automatic zero commitment carry forward for GR document</t>
  </si>
  <si>
    <t>PSM-FM-UP-FI-GR</t>
  </si>
  <si>
    <t>Error Mess. FMCF101 - Automatic carryforward</t>
  </si>
  <si>
    <t>FMJ_DISPLAY: new Field CFLOTN</t>
  </si>
  <si>
    <t>FMJ_DISPLAY: New selection field 'Lot number'</t>
  </si>
  <si>
    <t>CCF: Additionnal Spool to associate messages to documents</t>
  </si>
  <si>
    <t>FMJ3 (CM): The second spool for messages is not generated</t>
  </si>
  <si>
    <t>CCF (CM): Detailed list in background execution</t>
  </si>
  <si>
    <t>Recommendations / Additional Info</t>
  </si>
  <si>
    <t>RFFMEPG2X: No individual items if amount is zero</t>
  </si>
  <si>
    <t>SAPK-61706INEAPS</t>
  </si>
  <si>
    <t>RFFMEPG2X: Incorrect line items</t>
  </si>
  <si>
    <t>PSM-FM-PO-DPC-PO</t>
  </si>
  <si>
    <t>DPC document number is not properly stored in the PO History table</t>
  </si>
  <si>
    <t>Incorrect Document Number in Purchase Order History During Multiple Account Assignment</t>
  </si>
  <si>
    <t>PSM-FM-PO-RE</t>
  </si>
  <si>
    <t>Request with reference: Check of bank details CPD</t>
  </si>
  <si>
    <t>Request with Reference: Check Bank Details II</t>
  </si>
  <si>
    <t>Subsequent Posting of Cross-Company-Code Payments</t>
  </si>
  <si>
    <t>Online payment update is not updating</t>
  </si>
  <si>
    <t>PT-EV-FO</t>
  </si>
  <si>
    <t>Time Statement Shows Wrong Data in daily time data and Absences</t>
  </si>
  <si>
    <t>The absences on the same day are not displayed on the Time Statement</t>
  </si>
  <si>
    <t>PT-RC</t>
  </si>
  <si>
    <t>HRTIM_ABS/HRTIM_ATT: Missing BADI implementations</t>
  </si>
  <si>
    <t>HRTIM_ABS: Selection of infotype records in the preprocessing program</t>
  </si>
  <si>
    <t>PT-RC-TE</t>
  </si>
  <si>
    <t>PA61 list entry: copying entries</t>
  </si>
  <si>
    <t>PA61: Copying records in list entry (II)</t>
  </si>
  <si>
    <t>PT-RC-UI-XS</t>
  </si>
  <si>
    <t>ESS COR: RPTCORPOST updates</t>
  </si>
  <si>
    <t>ESS COR: Timeout while posting directly</t>
  </si>
  <si>
    <t>PT-WS</t>
  </si>
  <si>
    <t>Advanced search for WS rule: Performance improvements</t>
  </si>
  <si>
    <t>Interface Note: Enhanced Search for WSR in IT0007</t>
  </si>
  <si>
    <t>PY-AT</t>
  </si>
  <si>
    <t>RPCSVBA2: Settlement groups N25x in case of SR SP increase via MaxCB</t>
  </si>
  <si>
    <t>RPCSVBA2: Seiteneffekt durch Hinweis 1961962</t>
  </si>
  <si>
    <t>rpcalca0: Limitierung der Vergleichszahlung lt. AbgabenÃ¤nderungsgesetz 2014</t>
  </si>
  <si>
    <t>SAPKE60477</t>
  </si>
  <si>
    <t>Personnel calculation rule A527 (due to SAP Note 2025329)</t>
  </si>
  <si>
    <t>PY-AU</t>
  </si>
  <si>
    <t>Legal Changes Superannuation 2013 - DDIC Changes</t>
  </si>
  <si>
    <t>SAPKE60473</t>
  </si>
  <si>
    <t>Note 1857406- SAR file has incorrect entry in T77S0 in 604</t>
  </si>
  <si>
    <t>DDIC: Issues while applying SAR file for SUPER DDIC changes</t>
  </si>
  <si>
    <t>Change in Private Health Insurance Extra Tax</t>
  </si>
  <si>
    <t>PY-AU-TAX</t>
  </si>
  <si>
    <t>Issue in PCR QEXT</t>
  </si>
  <si>
    <t>Run time error &amp;quot;Overflow during arithmetic operation&amp;quot; in RPCSUPQ0</t>
  </si>
  <si>
    <t>Run time error &amp;quot;Overflow during arithmetic operation&amp;quot; in RPCSUPQ0 : Follow up on note 2005</t>
  </si>
  <si>
    <t>Legal change 2014-2015: Tax witholding limit on Additional Payments</t>
  </si>
  <si>
    <t>Legal changes to the Tax Offset (Tax Rebate) amounts for the year 2014-2015</t>
  </si>
  <si>
    <t>General corrections for Tax calculation - 2</t>
  </si>
  <si>
    <t>Change in processing class for wage type /E11 and wage type /ELS</t>
  </si>
  <si>
    <t>PY-BE</t>
  </si>
  <si>
    <t>DmfA Reason for Career Interruption IT0107 I</t>
  </si>
  <si>
    <t>SAPKE60478</t>
  </si>
  <si>
    <t>PA-PA-BE</t>
  </si>
  <si>
    <t>Infotype 0007/0107 - Reason for Career Interruption (P0107-RCAIN)</t>
  </si>
  <si>
    <t>New dismissal rules as of 01.01.2014</t>
  </si>
  <si>
    <t>SAPKE60470</t>
  </si>
  <si>
    <t>Payroll rejection for wage types /50C, /50D &amp;amp; /50E personnel calculation rule B022</t>
  </si>
  <si>
    <t>Extension of the payroll IMG for HR Forms</t>
  </si>
  <si>
    <t>Holiday Pay Certificate - Improvements in the HR Forms</t>
  </si>
  <si>
    <t>HRForms - Option for display retroactive results</t>
  </si>
  <si>
    <t>Determination of wage type /40O (Tax base for overtime reduction)</t>
  </si>
  <si>
    <t>PY-DE-FP-E2</t>
  </si>
  <si>
    <t>ELStAM administrator list: Runtime optimization</t>
  </si>
  <si>
    <t>ELStAM: Rejection of ELStAM notifications after implementation of SAP Note 1943419</t>
  </si>
  <si>
    <t>PY-DE-NT-CI</t>
  </si>
  <si>
    <t>Warning message for retroactive accounting and collective bank transfer</t>
  </si>
  <si>
    <t>CALC: Rejection for collective bank transfer and ZVUW</t>
  </si>
  <si>
    <t>PY-DE-NT-GR</t>
  </si>
  <si>
    <t>Incorrect information message: &amp;quot;Check Shadow Cluster&amp;quot;</t>
  </si>
  <si>
    <t>PofO: Cleanup of garnishment results VI</t>
  </si>
  <si>
    <t>Incorrect check for new garnishment numbers</t>
  </si>
  <si>
    <t>Correction: Check of new garnishment numbers incorrect</t>
  </si>
  <si>
    <t>PY-DE-PS</t>
  </si>
  <si>
    <t>Consideration of SP conversion amount in SR fictitious gross</t>
  </si>
  <si>
    <t>Consideration of SP conversion amount in SR increase while receiving sick pay</t>
  </si>
  <si>
    <t>Personnel statistics: Changes for the reporting year 2014 (part 1)</t>
  </si>
  <si>
    <t>SAPKE60475</t>
  </si>
  <si>
    <t>Personnel statistics: Official Municipality Number of City</t>
  </si>
  <si>
    <t>Error when using the reports RPLRZAD0 and RPLRZAB0 to update IT 406 records in the pension informati</t>
  </si>
  <si>
    <t>Pension information procedure: Incorrect update of change data for inquiry status/cession status</t>
  </si>
  <si>
    <t>INL data records with BYKK: Error when processing using report RPLRZAD0</t>
  </si>
  <si>
    <t>SAPKE60479</t>
  </si>
  <si>
    <t>INL data records with BYKK: Warning message</t>
  </si>
  <si>
    <t>PY-DE-PS-VA</t>
  </si>
  <si>
    <t>Public Services regulation, state of Hesse: 2nd DRModG XX</t>
  </si>
  <si>
    <t>&amp;quot;Information to the family court&amp;quot; process terminates in &amp;quot;basic pay&amp;quot; subprocess</t>
  </si>
  <si>
    <t>Pension equalization payment: Adjustment Â§Â§ 37, 38 VersAusglG</t>
  </si>
  <si>
    <t>Pension equalization payment: Adjustment Â§Â§ 37, 38 VersAusglG (II)</t>
  </si>
  <si>
    <t>Public Services regulation, state of Hesse: 2. DRModG XXIX</t>
  </si>
  <si>
    <t>Public Services regulation, state of Hesse: 2. DRModG XXIX (for Releases 6.00 and 6.04)</t>
  </si>
  <si>
    <t>PY-DE-RP-ES</t>
  </si>
  <si>
    <t>Supplement 4 to Z4 notification: Only flagged bank transfers; HR Process Workbench; employees who ha</t>
  </si>
  <si>
    <t>Z4 notification: Bank details and address data missing</t>
  </si>
  <si>
    <t>PY-FR</t>
  </si>
  <si>
    <t>N4DS: S45 and optional complementary health insurance</t>
  </si>
  <si>
    <t>N4DS: S45 - Dump when getting contract data</t>
  </si>
  <si>
    <t>Contribution Exceptions for special contracts 'professionnalisation' and age calculation</t>
  </si>
  <si>
    <t>Incorrect salary for professional contract</t>
  </si>
  <si>
    <t>Special contracts: wrong calculation apprentice percentage</t>
  </si>
  <si>
    <t>Special contracts: incorrect age</t>
  </si>
  <si>
    <t>PY-IT</t>
  </si>
  <si>
    <t>Wrong validation of city on infotype 0006</t>
  </si>
  <si>
    <t>PA-PA-IT</t>
  </si>
  <si>
    <t>HR-IT:Wrong city validation in IT0006 infotype due to date format</t>
  </si>
  <si>
    <t>PY-KZ</t>
  </si>
  <si>
    <t>HCM Kazakhstan Localization, Wave 2</t>
  </si>
  <si>
    <t>HCM-KZ: Foreign key for field TYQUO in table T77PADKZECO</t>
  </si>
  <si>
    <t>PY-MX</t>
  </si>
  <si>
    <t>[MX] Incorrect calculation Daily Wage - SAP_HR</t>
  </si>
  <si>
    <t>[MX] Incorrect generation of SDI records in retro</t>
  </si>
  <si>
    <t>PY-NL</t>
  </si>
  <si>
    <t>New SI Reduction for Hiring Young Employees coming from a Social Benefit Situation</t>
  </si>
  <si>
    <t>XX-TRANSL-NL</t>
  </si>
  <si>
    <t>Correction of translation of 'No'</t>
  </si>
  <si>
    <t>PY-NO</t>
  </si>
  <si>
    <t>HRNO: eTaxCard - Correction of issues - December 2013</t>
  </si>
  <si>
    <t>HRNO: eTaxCard - Corection of issues - January 2014</t>
  </si>
  <si>
    <t>HRNO: Maternity leave start issues</t>
  </si>
  <si>
    <t>HRNO: Fixed and variable reimbursement basis issues</t>
  </si>
  <si>
    <t>EDAG - New payroll function NOSKT for granularity</t>
  </si>
  <si>
    <t>Payroll function NOSKT for granularity - wrong sort</t>
  </si>
  <si>
    <t>HRNO: Reimbursement issues June/July 2014</t>
  </si>
  <si>
    <t>PY-PT</t>
  </si>
  <si>
    <t>RPCSSRP0: corrections for part-time employees</t>
  </si>
  <si>
    <t>RPCSSRP0: wrong number of days for part-time employees</t>
  </si>
  <si>
    <t>PY-PT-PS</t>
  </si>
  <si>
    <t>Law 39/2013: Change of IRS tables of pub. sector EEs cat. H</t>
  </si>
  <si>
    <t>IRS: Error triggering retroactive accounting before 2013</t>
  </si>
  <si>
    <t>PY-RU</t>
  </si>
  <si>
    <t>Legal change: RSV-1 form the first quarter 2013</t>
  </si>
  <si>
    <t>RSV-1: Part 2 multiple tariff codes processing</t>
  </si>
  <si>
    <t>RSV-1: additional conditions for Sections 2.2 and 2.3</t>
  </si>
  <si>
    <t>HR-RU: Federal law 421-FZ at 28.12.2013 on the special assessment of working conditions</t>
  </si>
  <si>
    <t>Inheriting from class CL_HRPAYRU_SVWCC is impossible</t>
  </si>
  <si>
    <t>New Form RSV-1 in 2014 year: Adobe, XML and Customizing</t>
  </si>
  <si>
    <t>DDIC objects for Note 1994860</t>
  </si>
  <si>
    <t>RSV-1: cumulative updates 04.2014</t>
  </si>
  <si>
    <t>RSV-1: cumulative updates 04.2014 (II)</t>
  </si>
  <si>
    <t>Incorrect forming of excess income tax if the status of tax resident changes</t>
  </si>
  <si>
    <t>HR-RU: Incorrect call of RUEF rule in RUE0 of SAP_HR 600-608 releases</t>
  </si>
  <si>
    <t>HR-RU: Proportional calculating of the additional pension insurance under SWC in hours</t>
  </si>
  <si>
    <t>RUSPL function with HWCP parameter terminates payroll due to overlapping entries</t>
  </si>
  <si>
    <t>RSV-1: cumulative updates 05.2014</t>
  </si>
  <si>
    <t>RSV-1: Duration of HWC periods in the Part 6.8</t>
  </si>
  <si>
    <t>RSV-1: Wrong data in the Part 6.4 after Note 2010169</t>
  </si>
  <si>
    <t>RSV-1: wrong Part 6.7 in the XML-file</t>
  </si>
  <si>
    <t>RSV-1: HWC 27-1 and 27-2 processing</t>
  </si>
  <si>
    <t>RSV-1: RUSTA processing for HWC identifying</t>
  </si>
  <si>
    <t>RSV-1: XML checking errors in the Paert 6.8</t>
  </si>
  <si>
    <t>Incorrect average calculation in case of delimitation of average rule in V_T51AV_A</t>
  </si>
  <si>
    <t>Table RUAVE is formed incorrectly in regular run for the future vacation if assigned AV-rule has a s</t>
  </si>
  <si>
    <t>HCM, RU New Topics for Payroll Part</t>
  </si>
  <si>
    <t>Dump during the Infotypes 14 or (and) 15 maintaining</t>
  </si>
  <si>
    <t>Customer redefinition settings of fields are ignored in DAQ-based Russian reports</t>
  </si>
  <si>
    <t>DAQ: &amp;quot;No Negative Amounts&amp;quot; wrong processing in HR_RU_DAQ_CALC_SOUGR</t>
  </si>
  <si>
    <t>PY-SE</t>
  </si>
  <si>
    <t>HRSE: Security - File input directory traversal check</t>
  </si>
  <si>
    <t>HRSE: Vacation Eligibility 23VAE not dependent on IT16</t>
  </si>
  <si>
    <t>HRSE: Incorrect key date eligibility</t>
  </si>
  <si>
    <t>CPF Full Rate Logic Adjustment</t>
  </si>
  <si>
    <t>PY-SG-PS</t>
  </si>
  <si>
    <t>PY-SG-PS: Correction to note1896087 for public sector</t>
  </si>
  <si>
    <t>Payroll Error &amp;quot; No social insurance found for date ... &amp;quot;</t>
  </si>
  <si>
    <t>PY-SG-PS: Missing CPF contribution for non-pensionable salaries when converting from 3-year PR to CI</t>
  </si>
  <si>
    <t>IR8A/IR8E/IR8S Form 2014 New Layout(PDF Form)</t>
  </si>
  <si>
    <t>Field 'Designation' , 'Gross Commission for the period' in IR8A/IR8E PDF form are truncate</t>
  </si>
  <si>
    <t>Corrections to the Destruction Report for Singapore PDPA Solution</t>
  </si>
  <si>
    <t>Improvements for the ALV  Output of the SG PDPA Destruction Report</t>
  </si>
  <si>
    <t>PY-UA</t>
  </si>
  <si>
    <t>HR-UA: Technical Delivery for Off-Cycle Calculation upon Termination and for Processing of Compensat</t>
  </si>
  <si>
    <t>XX-CSC-UA-HR</t>
  </si>
  <si>
    <t>HR-UA: UAGRP Error in Function UAINI for Old Schema</t>
  </si>
  <si>
    <t>HR-UA: UAGRP Error in Function UAINI for New Schema (w/o Infotype1656)</t>
  </si>
  <si>
    <t>PY-US-BSI</t>
  </si>
  <si>
    <t>BSI: Synchronize Payroll Tax Data - General Corrections</t>
  </si>
  <si>
    <t>BSI: Required TUB level for Synchronize Payroll Tax Data tool</t>
  </si>
  <si>
    <t>PY-US-TX</t>
  </si>
  <si>
    <t>TAX: BSI TaxFactory 10.0 - Nonresident Worked Days parameters</t>
  </si>
  <si>
    <t>TAX: Technical modifications to Nonresident Worked Days functionality</t>
  </si>
  <si>
    <t>TAX: Foreign Earned Income withholding exemption.</t>
  </si>
  <si>
    <t>TAX: FEI withholding exemption generates a short dump during payroll run</t>
  </si>
  <si>
    <t>PY-VE</t>
  </si>
  <si>
    <t>[VE] Days of social benefits in termination process</t>
  </si>
  <si>
    <t>[VE] Wrong days of social benefits in termination process</t>
  </si>
  <si>
    <t>PY-XX-BS</t>
  </si>
  <si>
    <t>PYXX_READ_RGDIR_PAYRESULTS does not recognize archived data</t>
  </si>
  <si>
    <t>PY-CZ</t>
  </si>
  <si>
    <t>HRCZ - HR_CZ_READ_PYRES_INTERVAL - reading from the archive</t>
  </si>
  <si>
    <t>PY-XX-DT</t>
  </si>
  <si>
    <t>Archiving PA_PDOC: Functn modules missing for archive conv.</t>
  </si>
  <si>
    <t>PY-XX-TL</t>
  </si>
  <si>
    <t>Performance issues for posting archive object PA_PDOC caused by wrong access to table PPDHD</t>
  </si>
  <si>
    <t>RPCIPE00: Wage types from closing gap result not evaluated (US)</t>
  </si>
  <si>
    <t>RPCIPE00: Supplement to SAP Note 2005797: Wage types from retroactive accounting result are not eval</t>
  </si>
  <si>
    <t>PY-XX-PF</t>
  </si>
  <si>
    <t>Cumulation with off-cycle results</t>
  </si>
  <si>
    <t>AMT, NUM, RTE: Partial period parameter KAX** returns incorrect values</t>
  </si>
  <si>
    <t>Absences: Incorrect calculation of payroll days and payroll hours</t>
  </si>
  <si>
    <t>PY-XX-RS</t>
  </si>
  <si>
    <t>H99_PRESORT_PERNR: Problem during personnel number selection</t>
  </si>
  <si>
    <t>H99_PRESORT_PERNR: Problem with (optional) key date</t>
  </si>
  <si>
    <t>PY-ZA</t>
  </si>
  <si>
    <t>ETI - Employer Tax Incentive Calculation</t>
  </si>
  <si>
    <t>ETI calculation incorrect</t>
  </si>
  <si>
    <t>RE-FX-AJ</t>
  </si>
  <si>
    <t>CEA: Condition type determination</t>
  </si>
  <si>
    <t>WiBe: Konditionsartenfindung</t>
  </si>
  <si>
    <t>Object considered as changed after you call the correspondence for adjustment</t>
  </si>
  <si>
    <t>Korrespondenz zur Anpassung</t>
  </si>
  <si>
    <t>RE-FX-CF</t>
  </si>
  <si>
    <t>FAS13 - incorrect calculation for rent-free periods and term changes</t>
  </si>
  <si>
    <t>Error with the accrual/deferral of rent-free periods</t>
  </si>
  <si>
    <t>RE-FX-CN</t>
  </si>
  <si>
    <t>Contract: Total measurements</t>
  </si>
  <si>
    <t>SAPK-61705INEAFIN</t>
  </si>
  <si>
    <t>RE-FX-BD</t>
  </si>
  <si>
    <t>Contract: Summarization of differing measurements</t>
  </si>
  <si>
    <t>Total measurement in the contract: Error message RECNMS 014</t>
  </si>
  <si>
    <t>RE-FX-LA</t>
  </si>
  <si>
    <t>Contract valuation according to IFRS</t>
  </si>
  <si>
    <t>Corrections for contract valuation in accordance with IFRS</t>
  </si>
  <si>
    <t>SCM-APO-INT-SLS</t>
  </si>
  <si>
    <t>BOP overconfirms in case of fully or partially delivered RBA subitems</t>
  </si>
  <si>
    <t>BOP overconfirms in case of partial PGI</t>
  </si>
  <si>
    <t>SCM-BAS-INT-MD</t>
  </si>
  <si>
    <t>Enhancement of BAdI CIF_EXT_IS_INTERNAL, method CHANGE_BATCH_OUT</t>
  </si>
  <si>
    <t>IS-AFS-INT-EWM</t>
  </si>
  <si>
    <t>AFSIEWM : Shortdump during the CIF model actication and parallel batch updates to EWM</t>
  </si>
  <si>
    <t>SCM-FRE-IF</t>
  </si>
  <si>
    <t>FRE_SEND_TSD: RFC error not shown on screen when report is executed in dialog mode</t>
  </si>
  <si>
    <t>FRE_SEND_TSD: RFC error not shown when report is executed in background</t>
  </si>
  <si>
    <t>SD-BF-CPE</t>
  </si>
  <si>
    <t>Preparatory note: Changed interfaces in pricing in ERP EHP7</t>
  </si>
  <si>
    <t>IS-ADEC</t>
  </si>
  <si>
    <t>DIMP: Follow up note 1972287</t>
  </si>
  <si>
    <t>SD-BF-OC</t>
  </si>
  <si>
    <t>Communication strategy retaining after output copy</t>
  </si>
  <si>
    <t>Communication strategy cleared in message output</t>
  </si>
  <si>
    <t>SD-BIL-RB-ENH</t>
  </si>
  <si>
    <t>Performance issue in Include RBT_ENH_BADI_SD_ACCOUNTING</t>
  </si>
  <si>
    <t>Performance issue in Include RBT_ENH_BADI_SD_ACCOUNTING II</t>
  </si>
  <si>
    <t>SD-BIL-RR</t>
  </si>
  <si>
    <t>Return accrual without contract reference</t>
  </si>
  <si>
    <t>Accrual of returns that are relevant for billing</t>
  </si>
  <si>
    <t>Long runtime when you edit SD documents in SD_REV_REC_CHECK_CALLOFF</t>
  </si>
  <si>
    <t>Long runtime when processing orders or contracts with release orders</t>
  </si>
  <si>
    <t>New enhancement point in include LVFRRF0F</t>
  </si>
  <si>
    <t>IS-M-AM-RR</t>
  </si>
  <si>
    <t>Account assignment objects (PAOBJNR and PRCTR) filled incorrectly in the adjustment process for SD s</t>
  </si>
  <si>
    <t>SD-EDI-OM-IV</t>
  </si>
  <si>
    <t>SEPA:  BIC/IBAN and SWIFT in invoice IDoc (INVOIC)</t>
  </si>
  <si>
    <t>INVOIC: Short dump (BF00 211) when invoice IDoc sent</t>
  </si>
  <si>
    <t>SEPA: BIC/IBAN and SWIFT in invoice IDoc (INVOICE02)</t>
  </si>
  <si>
    <t>SD-SLS</t>
  </si>
  <si>
    <t>Interface note: Deletion of personal data in SD sales</t>
  </si>
  <si>
    <t>IS-HT-SW-CM</t>
  </si>
  <si>
    <t>DIMP: Follow up note 1993328</t>
  </si>
  <si>
    <t>SD-SLS-API</t>
  </si>
  <si>
    <t>Warning message V1 028 not visible in CRM II</t>
  </si>
  <si>
    <t>IS-HT-SW-LIC</t>
  </si>
  <si>
    <t>DIMP: Follow up note 1800407</t>
  </si>
  <si>
    <t>DIMP: Follow up note 1528412</t>
  </si>
  <si>
    <t>SLL-LEG-PI-R3</t>
  </si>
  <si>
    <t>Enhancement of API structure /SAPSLL/API6800_RESULT_SPI_S</t>
  </si>
  <si>
    <t>SCM-EWM-IF-GTS-CC</t>
  </si>
  <si>
    <t>GTS Compliance Check corrections</t>
  </si>
  <si>
    <t>XX-CSC-BR-MM</t>
  </si>
  <si>
    <t>Support IDOCS with New Master Data Fields</t>
  </si>
  <si>
    <t>ALE/Bachinput:Error raised for Brazil localization not existing fields</t>
  </si>
  <si>
    <t>XX-CSC-BR-NFE</t>
  </si>
  <si>
    <t>[3.10] NF-e new layout 3.10</t>
  </si>
  <si>
    <t>[3.10] Authorization error related to ICMS ST base total value</t>
  </si>
  <si>
    <t>[3.10] Enhancement Note 01</t>
  </si>
  <si>
    <t>[3.10] IPI Return</t>
  </si>
  <si>
    <t>[3.10] IPI return value calculated wrongly for NF-e that has more than one item.</t>
  </si>
  <si>
    <t>[3.10] IPI Return Enhancement Note</t>
  </si>
  <si>
    <t>New NF Screen controls - Customizing by NF item type and Item's Service Flag</t>
  </si>
  <si>
    <t>Fields in header are enabled for edition in J1B3N</t>
  </si>
  <si>
    <t>[3.10] Removal of format mask from State Tax Number (IE) / Municipal Tax Number (IM)</t>
  </si>
  <si>
    <t>[3.10] Removal of format mask from Rural State Tax Number (IE) Tag</t>
  </si>
  <si>
    <t>XX-CSC-BR-NFEIN</t>
  </si>
  <si>
    <t>Incorrect invoice date when receiving an incoming nota fiscal leading to a error message e535</t>
  </si>
  <si>
    <t>Correction of note 1982076</t>
  </si>
  <si>
    <t>XX-CSC-BR-SD</t>
  </si>
  <si>
    <t>Sub. Trib. base with minimum price disregarding quantity and unit of measure</t>
  </si>
  <si>
    <t>ICMS ST Pauta calculated wrongly when using different units of measure</t>
  </si>
  <si>
    <t>XX-CSC-ES-FI</t>
  </si>
  <si>
    <t>RFIDESM340/RFUMSV00:Legal Change:14/2013-VAT On Cash Scheme</t>
  </si>
  <si>
    <t>Additional information in Note:1966589,1990733.</t>
  </si>
  <si>
    <t>XX-CSC-FIAA</t>
  </si>
  <si>
    <t>NDE Sovakia : Incorrect depreciation when asset is shutdown</t>
  </si>
  <si>
    <t>Slovakia Asset Shutdown:Incorrect depreciation calculation</t>
  </si>
  <si>
    <t>XX-CSC-HU-FI</t>
  </si>
  <si>
    <t>RFIDHU_DSP : Limit Check and Invoice ID not functioning correctly</t>
  </si>
  <si>
    <t>RFIDHU_DSP:Correction on reconstruction of invoice chain</t>
  </si>
  <si>
    <t>XX-CSC-IN-FIAA</t>
  </si>
  <si>
    <t>India: Companies Act solution effective from 01.04.2014 - New Depreciation engine</t>
  </si>
  <si>
    <t>IN Companies act: Depreciation is not correctly calculated for WDV method</t>
  </si>
  <si>
    <t>XX-CSC-IT</t>
  </si>
  <si>
    <t>eDocument Italy - Fattura: Implementation of AIF</t>
  </si>
  <si>
    <t>eDocument Italy: Error if no implementation of BAdI EDOC_ADAPTOR exists</t>
  </si>
  <si>
    <t>eDocument Italy: Source field initial or negative</t>
  </si>
  <si>
    <t>eDocument Italy - Fattura: AIF Correction (CIG/CUP, XML Header)</t>
  </si>
  <si>
    <t>XX-CSC-KR-FI</t>
  </si>
  <si>
    <t>RFIDKRTPR - Incorrect display of currency values</t>
  </si>
  <si>
    <t>XX-CSC-MX</t>
  </si>
  <si>
    <t>CFDI Alignment of SD message structure with FI</t>
  </si>
  <si>
    <t>IS-ADEC-ETM</t>
  </si>
  <si>
    <t>DIMP: Follow up note 1963866</t>
  </si>
  <si>
    <t>XX-CSC-NL-FI</t>
  </si>
  <si>
    <t>XBRL File Transfer : Netherlands</t>
  </si>
  <si>
    <t>XBRL File Transfer 2014 : Netherlands - Correction</t>
  </si>
  <si>
    <t>XX-CSC-NL-IS-H</t>
  </si>
  <si>
    <t>IS-H NL: COV check only possible after saving patient data</t>
  </si>
  <si>
    <t>IS-H NL: BSN/WID in clinical workplace not refreshed</t>
  </si>
  <si>
    <t>XX-CSC-PT-FI</t>
  </si>
  <si>
    <t>SAFT-PT: Corrections RSAFT_PT_XML for 2010 (75)</t>
  </si>
  <si>
    <t>XX-CSC-PT</t>
  </si>
  <si>
    <t>SAFT-PT: Collective Note for SAFT-PT notes</t>
  </si>
  <si>
    <t>XX-CSC-PT-FICA</t>
  </si>
  <si>
    <t>SAF-T Framework FI-CA Integration for Portugal</t>
  </si>
  <si>
    <t>SAF-T 1.03 FI-CA: Various improvements in data extraction and SAF-T Framework</t>
  </si>
  <si>
    <t>Contract account and contract as additional parameters to business partners</t>
  </si>
  <si>
    <t>SAF-T 1.03 FI-CA: DDIC objects for the note 2042035</t>
  </si>
  <si>
    <t>XX-CSC-RU-FI</t>
  </si>
  <si>
    <t>OKATO-OKTMO-migration tool</t>
  </si>
  <si>
    <t>OKATO-OKTMO migration: Syntax error in the program J_3RF_OKATO_OKTMO_MIGRATION type SLIS_T_FIELDCAT_</t>
  </si>
  <si>
    <t>OKATO-OKTMO-migration tool: Dictionary objects,  Report's texts and GUI-status</t>
  </si>
  <si>
    <t>Property Tax Calculation errors</t>
  </si>
  <si>
    <t>Property tax calculation: zero net book value for the beginning of the year</t>
  </si>
  <si>
    <t>TORG-12 form: technical note</t>
  </si>
  <si>
    <t>XX-CSC-RU-LO</t>
  </si>
  <si>
    <t>J_3R_OS_F05:  home_bank_data(j_3rv_deliv_pdf)  wrong number of parameters</t>
  </si>
  <si>
    <t>Cash Flow: organization name is partly visible</t>
  </si>
  <si>
    <t>XX-CSC-SA-FI</t>
  </si>
  <si>
    <t>Adjustment Entry Reporting (KSA)</t>
  </si>
  <si>
    <t>Adjustment Entry Reporting (KSA) Error FB 594</t>
  </si>
  <si>
    <t>XX-PART-ISHMED</t>
  </si>
  <si>
    <t>Clinical order: Error message without text when checking a preregistration</t>
  </si>
  <si>
    <t>PMD: Error text is not displayed</t>
  </si>
  <si>
    <t>Clin. work station: Incorrect display of department for outpatient visit</t>
  </si>
  <si>
    <t>SAPK-61707INISH</t>
  </si>
  <si>
    <t>Klin. Arbeitsplatz: Sichttyp 'Ambulanz/Leistungsstelle' - Spalte 'fachl. OE' wird falsch befÃ¼llt</t>
  </si>
  <si>
    <t>Transport module: Organizational unit in table NORG for Customizing of Patient Transport Service rou</t>
  </si>
  <si>
    <t>Transport module: Building units in table NBAU when customizing patient transport service route time</t>
  </si>
  <si>
    <t>PatOrg.: Create clinical order - wrong error message</t>
  </si>
  <si>
    <t>PatOrg: Klin. Auftrag anlegen - falsche Fehlermel</t>
  </si>
  <si>
    <t>Text Modules:  Storage Change</t>
  </si>
  <si>
    <t>PMD: Textbausteine - Laufzeitfehler beim Verschieben in andere Kategorie</t>
  </si>
  <si>
    <t>SEPA: F4 help shows too many mandates for contract account</t>
  </si>
  <si>
    <t>SAPK-61704INFICA</t>
  </si>
  <si>
    <t>PSOBWORK: Runtime error DYNPRO_MSG_IN_HELP during F4-Help on the field &amp;quot;Mandate Reference&amp;quot;</t>
  </si>
  <si>
    <t>FP_BP_BLOCKING: Handling of blocked Business Partners in Contract Account</t>
  </si>
  <si>
    <t>SAPK-61705INFICA</t>
  </si>
  <si>
    <t>ACB1: Runtime error PERFORM_CONFLICT_TYPE</t>
  </si>
  <si>
    <t>SD/FI-CA: Release Billing Documents for Accounting - list displays SD billing documents even though</t>
  </si>
  <si>
    <t>SD/FI-CA:  VF01 (&amp;quot;Create Billing Document&amp;quot;) is terminated with an error (IDoc has status 5</t>
  </si>
  <si>
    <t>FKKINV: Creating a tax statement</t>
  </si>
  <si>
    <t>FKKINV: falscher Betrag in Bruttozeile eines Steuernachweises</t>
  </si>
  <si>
    <t>Error when you generate the table DFKKFWKORR (more than 16 key fields)</t>
  </si>
  <si>
    <t>FremdwÃ¤hrungsbewertung: AbstimmschlÃ¼ssel kann nicht in Hauptbuch Ã¼bergeleitet werden</t>
  </si>
  <si>
    <t>FPL9:  Changes made in event 1220 not displayed in ALV</t>
  </si>
  <si>
    <t>FPL9:  Event 1220 is called twice when using ALV display</t>
  </si>
  <si>
    <t>FP04, FP04M: Processing locks at contract level</t>
  </si>
  <si>
    <t>IS-U: FP04M terminates with the error message FKKLOCKS 023</t>
  </si>
  <si>
    <t>Data transfer: Amount fields are truncated</t>
  </si>
  <si>
    <t>DatenÃ¼bernahme: Betragsfelder abgerundet</t>
  </si>
  <si>
    <t>FPDR: Selection criteria needs to be expanded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</si>
</sst>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9"/>
  <sheetViews>
    <sheetView tabSelected="1" workbookViewId="0">
      <pane xSplit="1" ySplit="1" topLeftCell="C414" activePane="bottomRight" state="frozen"/>
      <selection pane="topRight" activeCell="B1" sqref="B1"/>
      <selection pane="bottomLeft" activeCell="A2" sqref="A2"/>
      <selection pane="bottomRight" activeCell="F551" sqref="F551"/>
    </sheetView>
  </sheetViews>
  <sheetFormatPr defaultRowHeight="15" x14ac:dyDescent="0.25"/>
  <cols>
    <col min="1" max="1" width="22.7109375" bestFit="1" customWidth="1"/>
    <col min="2" max="2" width="12.42578125" bestFit="1" customWidth="1"/>
    <col min="3" max="3" width="103.7109375" bestFit="1" customWidth="1"/>
    <col min="4" max="4" width="14.85546875" bestFit="1" customWidth="1"/>
    <col min="5" max="5" width="23" bestFit="1" customWidth="1"/>
    <col min="6" max="6" width="12.7109375" bestFit="1" customWidth="1"/>
    <col min="7" max="7" width="22.7109375" bestFit="1" customWidth="1"/>
    <col min="8" max="8" width="12.28515625" bestFit="1" customWidth="1"/>
    <col min="9" max="9" width="104.28515625" bestFit="1" customWidth="1"/>
    <col min="10" max="10" width="12.7109375" bestFit="1" customWidth="1"/>
    <col min="11" max="11" width="33.285156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0</v>
      </c>
      <c r="H1" t="s">
        <v>6</v>
      </c>
      <c r="I1" t="s">
        <v>2</v>
      </c>
      <c r="J1" t="s">
        <v>5</v>
      </c>
      <c r="K1" t="s">
        <v>7</v>
      </c>
    </row>
    <row r="2" spans="1:11" x14ac:dyDescent="0.25">
      <c r="A2" t="s">
        <v>8</v>
      </c>
      <c r="B2" t="str">
        <f>HYPERLINK("http://service.sap.com/sap/support/notes/0002023046","0002023046")</f>
        <v>0002023046</v>
      </c>
      <c r="C2" t="s">
        <v>9</v>
      </c>
      <c r="D2" t="s">
        <v>10</v>
      </c>
      <c r="E2" t="s">
        <v>11</v>
      </c>
      <c r="F2">
        <v>1</v>
      </c>
      <c r="G2" t="s">
        <v>8</v>
      </c>
      <c r="H2" t="str">
        <f>HYPERLINK("http://service.sap.com/sap/support/notes/0002027775","0002027775")</f>
        <v>0002027775</v>
      </c>
      <c r="I2" t="s">
        <v>12</v>
      </c>
      <c r="J2">
        <v>1</v>
      </c>
      <c r="K2" t="s">
        <v>13</v>
      </c>
    </row>
    <row r="3" spans="1:11" x14ac:dyDescent="0.25">
      <c r="A3" t="s">
        <v>14</v>
      </c>
      <c r="B3" t="str">
        <f>HYPERLINK("http://service.sap.com/sap/support/notes/0001009352","0001009352")</f>
        <v>0001009352</v>
      </c>
      <c r="C3" t="s">
        <v>15</v>
      </c>
      <c r="D3" t="s">
        <v>16</v>
      </c>
      <c r="E3" t="s">
        <v>17</v>
      </c>
      <c r="F3">
        <v>10</v>
      </c>
      <c r="G3" t="s">
        <v>14</v>
      </c>
      <c r="H3" t="str">
        <f>HYPERLINK("http://service.sap.com/sap/support/notes/0001348745","0001348745")</f>
        <v>0001348745</v>
      </c>
      <c r="I3" t="s">
        <v>18</v>
      </c>
      <c r="J3">
        <v>1</v>
      </c>
      <c r="K3" t="s">
        <v>13</v>
      </c>
    </row>
    <row r="4" spans="1:11" x14ac:dyDescent="0.25">
      <c r="A4" t="s">
        <v>14</v>
      </c>
      <c r="B4" t="str">
        <f>HYPERLINK("http://service.sap.com/sap/support/notes/0001021685","0001021685")</f>
        <v>0001021685</v>
      </c>
      <c r="C4" t="s">
        <v>19</v>
      </c>
      <c r="D4" t="s">
        <v>20</v>
      </c>
      <c r="E4" t="s">
        <v>17</v>
      </c>
      <c r="F4">
        <v>7</v>
      </c>
      <c r="G4" t="s">
        <v>14</v>
      </c>
      <c r="H4" t="str">
        <f>HYPERLINK("http://service.sap.com/sap/support/notes/0001348745","0001348745")</f>
        <v>0001348745</v>
      </c>
      <c r="I4" t="s">
        <v>18</v>
      </c>
      <c r="J4">
        <v>1</v>
      </c>
      <c r="K4" t="s">
        <v>13</v>
      </c>
    </row>
    <row r="5" spans="1:11" x14ac:dyDescent="0.25">
      <c r="A5" t="s">
        <v>21</v>
      </c>
      <c r="B5" t="str">
        <f>HYPERLINK("http://service.sap.com/sap/support/notes/0001933544","0001933544")</f>
        <v>0001933544</v>
      </c>
      <c r="C5" t="s">
        <v>22</v>
      </c>
      <c r="D5" t="s">
        <v>10</v>
      </c>
      <c r="E5" t="s">
        <v>23</v>
      </c>
      <c r="F5">
        <v>1</v>
      </c>
      <c r="G5" t="s">
        <v>21</v>
      </c>
      <c r="H5" t="str">
        <f>HYPERLINK("http://service.sap.com/sap/support/notes/0001991757","0001991757")</f>
        <v>0001991757</v>
      </c>
      <c r="I5" t="s">
        <v>24</v>
      </c>
      <c r="J5">
        <v>1</v>
      </c>
      <c r="K5" t="s">
        <v>13</v>
      </c>
    </row>
    <row r="6" spans="1:11" x14ac:dyDescent="0.25">
      <c r="A6" t="s">
        <v>25</v>
      </c>
      <c r="B6" t="str">
        <f>HYPERLINK("http://service.sap.com/sap/support/notes/0001730692","0001730692")</f>
        <v>0001730692</v>
      </c>
      <c r="C6" t="s">
        <v>26</v>
      </c>
      <c r="D6" t="s">
        <v>10</v>
      </c>
      <c r="E6" t="s">
        <v>17</v>
      </c>
      <c r="F6">
        <v>15</v>
      </c>
      <c r="G6" t="s">
        <v>27</v>
      </c>
      <c r="H6" t="str">
        <f>HYPERLINK("http://service.sap.com/sap/support/notes/0001857909","0001857909")</f>
        <v>0001857909</v>
      </c>
      <c r="I6" t="s">
        <v>28</v>
      </c>
      <c r="J6">
        <v>1</v>
      </c>
      <c r="K6" t="s">
        <v>13</v>
      </c>
    </row>
    <row r="7" spans="1:11" x14ac:dyDescent="0.25">
      <c r="A7" t="s">
        <v>25</v>
      </c>
      <c r="B7" t="str">
        <f>HYPERLINK("http://service.sap.com/sap/support/notes/0001962504","0001962504")</f>
        <v>0001962504</v>
      </c>
      <c r="C7" t="s">
        <v>29</v>
      </c>
      <c r="D7" t="s">
        <v>10</v>
      </c>
      <c r="E7" t="s">
        <v>17</v>
      </c>
      <c r="F7">
        <v>1</v>
      </c>
      <c r="G7" t="s">
        <v>25</v>
      </c>
      <c r="H7" t="str">
        <f>HYPERLINK("http://service.sap.com/sap/support/notes/0002083172","0002083172")</f>
        <v>0002083172</v>
      </c>
      <c r="I7" t="s">
        <v>30</v>
      </c>
      <c r="J7">
        <v>1</v>
      </c>
      <c r="K7" t="s">
        <v>13</v>
      </c>
    </row>
    <row r="8" spans="1:11" x14ac:dyDescent="0.25">
      <c r="A8" t="s">
        <v>31</v>
      </c>
      <c r="B8" t="str">
        <f>HYPERLINK("http://service.sap.com/sap/support/notes/0001872842","0001872842")</f>
        <v>0001872842</v>
      </c>
      <c r="C8" t="s">
        <v>32</v>
      </c>
      <c r="D8" t="s">
        <v>10</v>
      </c>
      <c r="E8" t="s">
        <v>33</v>
      </c>
      <c r="F8">
        <v>1</v>
      </c>
      <c r="G8" t="s">
        <v>31</v>
      </c>
      <c r="H8" t="str">
        <f>HYPERLINK("http://service.sap.com/sap/support/notes/0001927017","0001927017")</f>
        <v>0001927017</v>
      </c>
      <c r="I8" t="s">
        <v>34</v>
      </c>
      <c r="J8">
        <v>1</v>
      </c>
      <c r="K8" t="s">
        <v>35</v>
      </c>
    </row>
    <row r="9" spans="1:11" x14ac:dyDescent="0.25">
      <c r="A9" t="s">
        <v>36</v>
      </c>
      <c r="B9" t="str">
        <f>HYPERLINK("http://service.sap.com/sap/support/notes/0001961794","0001961794")</f>
        <v>0001961794</v>
      </c>
      <c r="C9" t="s">
        <v>37</v>
      </c>
      <c r="D9" t="s">
        <v>10</v>
      </c>
      <c r="E9" t="s">
        <v>17</v>
      </c>
      <c r="F9">
        <v>2</v>
      </c>
      <c r="G9" t="s">
        <v>36</v>
      </c>
      <c r="H9" t="str">
        <f>HYPERLINK("http://service.sap.com/sap/support/notes/0002079106","0002079106")</f>
        <v>0002079106</v>
      </c>
      <c r="I9" t="s">
        <v>38</v>
      </c>
      <c r="J9">
        <v>1</v>
      </c>
      <c r="K9" t="s">
        <v>13</v>
      </c>
    </row>
    <row r="10" spans="1:11" x14ac:dyDescent="0.25">
      <c r="A10" t="s">
        <v>39</v>
      </c>
      <c r="B10" t="str">
        <f>HYPERLINK("http://service.sap.com/sap/support/notes/0001716366","0001716366")</f>
        <v>0001716366</v>
      </c>
      <c r="C10" t="s">
        <v>40</v>
      </c>
      <c r="D10" t="s">
        <v>10</v>
      </c>
      <c r="E10" t="s">
        <v>17</v>
      </c>
      <c r="F10">
        <v>7</v>
      </c>
      <c r="G10" t="s">
        <v>39</v>
      </c>
      <c r="H10" t="str">
        <f>HYPERLINK("http://service.sap.com/sap/support/notes/0001827227","0001827227")</f>
        <v>0001827227</v>
      </c>
      <c r="I10" t="s">
        <v>41</v>
      </c>
      <c r="J10">
        <v>1</v>
      </c>
      <c r="K10" t="s">
        <v>13</v>
      </c>
    </row>
    <row r="11" spans="1:11" x14ac:dyDescent="0.25">
      <c r="A11" t="s">
        <v>39</v>
      </c>
      <c r="B11" t="str">
        <f>HYPERLINK("http://service.sap.com/sap/support/notes/0001985514","0001985514")</f>
        <v>0001985514</v>
      </c>
      <c r="C11" t="s">
        <v>42</v>
      </c>
      <c r="D11" t="s">
        <v>10</v>
      </c>
      <c r="E11" t="s">
        <v>17</v>
      </c>
      <c r="F11">
        <v>3</v>
      </c>
      <c r="G11" t="s">
        <v>39</v>
      </c>
      <c r="H11" t="str">
        <f>HYPERLINK("http://service.sap.com/sap/support/notes/0002075953","0002075953")</f>
        <v>0002075953</v>
      </c>
      <c r="I11" t="s">
        <v>43</v>
      </c>
      <c r="J11">
        <v>1</v>
      </c>
      <c r="K11" t="s">
        <v>13</v>
      </c>
    </row>
    <row r="12" spans="1:11" x14ac:dyDescent="0.25">
      <c r="A12" t="s">
        <v>39</v>
      </c>
      <c r="B12" t="str">
        <f>HYPERLINK("http://service.sap.com/sap/support/notes/0002008101","0002008101")</f>
        <v>0002008101</v>
      </c>
      <c r="C12" t="s">
        <v>44</v>
      </c>
      <c r="D12" t="s">
        <v>10</v>
      </c>
      <c r="E12" t="s">
        <v>45</v>
      </c>
      <c r="F12">
        <v>2</v>
      </c>
      <c r="G12" t="s">
        <v>39</v>
      </c>
      <c r="H12" t="str">
        <f>HYPERLINK("http://service.sap.com/sap/support/notes/0002037829","0002037829")</f>
        <v>0002037829</v>
      </c>
      <c r="I12" t="s">
        <v>46</v>
      </c>
      <c r="J12">
        <v>1</v>
      </c>
      <c r="K12" t="s">
        <v>47</v>
      </c>
    </row>
    <row r="13" spans="1:11" x14ac:dyDescent="0.25">
      <c r="A13" t="s">
        <v>48</v>
      </c>
      <c r="B13" t="str">
        <f>HYPERLINK("http://service.sap.com/sap/support/notes/0001928291","0001928291")</f>
        <v>0001928291</v>
      </c>
      <c r="C13" t="s">
        <v>49</v>
      </c>
      <c r="D13" t="s">
        <v>10</v>
      </c>
      <c r="E13" t="s">
        <v>50</v>
      </c>
      <c r="F13">
        <v>2</v>
      </c>
      <c r="G13" t="s">
        <v>48</v>
      </c>
      <c r="H13" t="str">
        <f>HYPERLINK("http://service.sap.com/sap/support/notes/0001956896","0001956896")</f>
        <v>0001956896</v>
      </c>
      <c r="I13" t="s">
        <v>51</v>
      </c>
      <c r="J13">
        <v>1</v>
      </c>
      <c r="K13" t="s">
        <v>13</v>
      </c>
    </row>
    <row r="14" spans="1:11" x14ac:dyDescent="0.25">
      <c r="A14" t="s">
        <v>52</v>
      </c>
      <c r="B14" t="str">
        <f>HYPERLINK("http://service.sap.com/sap/support/notes/0001912045","0001912045")</f>
        <v>0001912045</v>
      </c>
      <c r="C14" t="s">
        <v>53</v>
      </c>
      <c r="D14" t="s">
        <v>10</v>
      </c>
      <c r="E14" t="s">
        <v>50</v>
      </c>
      <c r="F14">
        <v>2</v>
      </c>
      <c r="G14" t="s">
        <v>52</v>
      </c>
      <c r="H14" t="str">
        <f>HYPERLINK("http://service.sap.com/sap/support/notes/0002045207","0002045207")</f>
        <v>0002045207</v>
      </c>
      <c r="I14" t="s">
        <v>54</v>
      </c>
      <c r="J14">
        <v>1</v>
      </c>
      <c r="K14" t="s">
        <v>13</v>
      </c>
    </row>
    <row r="15" spans="1:11" x14ac:dyDescent="0.25">
      <c r="A15" t="s">
        <v>55</v>
      </c>
      <c r="B15" t="str">
        <f>HYPERLINK("http://service.sap.com/sap/support/notes/0001928607","0001928607")</f>
        <v>0001928607</v>
      </c>
      <c r="C15" t="s">
        <v>56</v>
      </c>
      <c r="D15" t="s">
        <v>10</v>
      </c>
      <c r="E15" t="s">
        <v>50</v>
      </c>
      <c r="F15">
        <v>1</v>
      </c>
      <c r="G15" t="s">
        <v>57</v>
      </c>
      <c r="H15" t="str">
        <f>HYPERLINK("http://service.sap.com/sap/support/notes/0002023089","0002023089")</f>
        <v>0002023089</v>
      </c>
      <c r="I15" t="s">
        <v>58</v>
      </c>
      <c r="J15">
        <v>1</v>
      </c>
      <c r="K15" t="s">
        <v>13</v>
      </c>
    </row>
    <row r="16" spans="1:11" x14ac:dyDescent="0.25">
      <c r="A16" t="s">
        <v>59</v>
      </c>
      <c r="B16" t="str">
        <f>HYPERLINK("http://service.sap.com/sap/support/notes/0001885246","0001885246")</f>
        <v>0001885246</v>
      </c>
      <c r="C16" t="s">
        <v>60</v>
      </c>
      <c r="D16" t="s">
        <v>10</v>
      </c>
      <c r="E16" t="s">
        <v>61</v>
      </c>
      <c r="F16">
        <v>2</v>
      </c>
      <c r="G16" t="s">
        <v>62</v>
      </c>
      <c r="H16" t="str">
        <f>HYPERLINK("http://service.sap.com/sap/support/notes/0001911784","0001911784")</f>
        <v>0001911784</v>
      </c>
      <c r="I16" t="s">
        <v>63</v>
      </c>
      <c r="J16">
        <v>1</v>
      </c>
      <c r="K16" t="s">
        <v>35</v>
      </c>
    </row>
    <row r="17" spans="1:11" x14ac:dyDescent="0.25">
      <c r="A17" t="s">
        <v>64</v>
      </c>
      <c r="B17" t="str">
        <f>HYPERLINK("http://service.sap.com/sap/support/notes/0002026105","0002026105")</f>
        <v>0002026105</v>
      </c>
      <c r="C17" t="s">
        <v>65</v>
      </c>
      <c r="D17" t="s">
        <v>10</v>
      </c>
      <c r="E17" t="s">
        <v>45</v>
      </c>
      <c r="F17">
        <v>1</v>
      </c>
      <c r="G17" t="s">
        <v>64</v>
      </c>
      <c r="H17" t="str">
        <f>HYPERLINK("http://service.sap.com/sap/support/notes/0002031043","0002031043")</f>
        <v>0002031043</v>
      </c>
      <c r="I17" t="s">
        <v>66</v>
      </c>
      <c r="J17">
        <v>1</v>
      </c>
      <c r="K17" t="s">
        <v>13</v>
      </c>
    </row>
    <row r="18" spans="1:11" x14ac:dyDescent="0.25">
      <c r="A18" t="s">
        <v>67</v>
      </c>
      <c r="B18" t="str">
        <f>HYPERLINK("http://service.sap.com/sap/support/notes/0001888204","0001888204")</f>
        <v>0001888204</v>
      </c>
      <c r="C18" t="s">
        <v>68</v>
      </c>
      <c r="D18" t="s">
        <v>10</v>
      </c>
      <c r="E18" t="s">
        <v>61</v>
      </c>
      <c r="F18">
        <v>1</v>
      </c>
      <c r="G18" t="s">
        <v>67</v>
      </c>
      <c r="H18" t="str">
        <f>HYPERLINK("http://service.sap.com/sap/support/notes/0002055024","0002055024")</f>
        <v>0002055024</v>
      </c>
      <c r="I18" t="s">
        <v>69</v>
      </c>
      <c r="J18">
        <v>1</v>
      </c>
      <c r="K18" t="s">
        <v>47</v>
      </c>
    </row>
    <row r="19" spans="1:11" x14ac:dyDescent="0.25">
      <c r="A19" t="s">
        <v>67</v>
      </c>
      <c r="B19" t="str">
        <f>HYPERLINK("http://service.sap.com/sap/support/notes/0001930911","0001930911")</f>
        <v>0001930911</v>
      </c>
      <c r="C19" t="s">
        <v>70</v>
      </c>
      <c r="D19" t="s">
        <v>10</v>
      </c>
      <c r="E19" t="s">
        <v>50</v>
      </c>
      <c r="F19">
        <v>1</v>
      </c>
      <c r="G19" t="s">
        <v>67</v>
      </c>
      <c r="H19" t="str">
        <f>HYPERLINK("http://service.sap.com/sap/support/notes/0001947944","0001947944")</f>
        <v>0001947944</v>
      </c>
      <c r="I19" t="s">
        <v>71</v>
      </c>
      <c r="J19">
        <v>1</v>
      </c>
      <c r="K19" t="s">
        <v>13</v>
      </c>
    </row>
    <row r="20" spans="1:11" x14ac:dyDescent="0.25">
      <c r="A20" t="s">
        <v>72</v>
      </c>
      <c r="B20" t="str">
        <f>HYPERLINK("http://service.sap.com/sap/support/notes/0001873703","0001873703")</f>
        <v>0001873703</v>
      </c>
      <c r="C20" t="s">
        <v>73</v>
      </c>
      <c r="D20" t="s">
        <v>10</v>
      </c>
      <c r="E20" t="s">
        <v>61</v>
      </c>
      <c r="F20">
        <v>2</v>
      </c>
      <c r="G20" t="s">
        <v>72</v>
      </c>
      <c r="H20" t="str">
        <f>HYPERLINK("http://service.sap.com/sap/support/notes/0001960946","0001960946")</f>
        <v>0001960946</v>
      </c>
      <c r="I20" t="s">
        <v>74</v>
      </c>
      <c r="J20">
        <v>1</v>
      </c>
      <c r="K20" t="s">
        <v>13</v>
      </c>
    </row>
    <row r="21" spans="1:11" x14ac:dyDescent="0.25">
      <c r="A21" t="s">
        <v>72</v>
      </c>
      <c r="B21" t="str">
        <f>HYPERLINK("http://service.sap.com/sap/support/notes/0001988830","0001988830")</f>
        <v>0001988830</v>
      </c>
      <c r="C21" t="s">
        <v>75</v>
      </c>
      <c r="D21" t="s">
        <v>10</v>
      </c>
      <c r="E21" t="s">
        <v>17</v>
      </c>
      <c r="F21">
        <v>1</v>
      </c>
      <c r="G21" t="s">
        <v>72</v>
      </c>
      <c r="H21" t="str">
        <f>HYPERLINK("http://service.sap.com/sap/support/notes/0002067973","0002067973")</f>
        <v>0002067973</v>
      </c>
      <c r="I21" t="s">
        <v>76</v>
      </c>
      <c r="J21">
        <v>1</v>
      </c>
      <c r="K21" t="s">
        <v>13</v>
      </c>
    </row>
    <row r="22" spans="1:11" x14ac:dyDescent="0.25">
      <c r="A22" t="s">
        <v>77</v>
      </c>
      <c r="B22" t="str">
        <f>HYPERLINK("http://service.sap.com/sap/support/notes/0001909924","0001909924")</f>
        <v>0001909924</v>
      </c>
      <c r="C22" t="s">
        <v>78</v>
      </c>
      <c r="D22" t="s">
        <v>10</v>
      </c>
      <c r="E22" t="s">
        <v>61</v>
      </c>
      <c r="F22">
        <v>1</v>
      </c>
      <c r="G22" t="s">
        <v>77</v>
      </c>
      <c r="H22" t="str">
        <f>HYPERLINK("http://service.sap.com/sap/support/notes/0002058556","0002058556")</f>
        <v>0002058556</v>
      </c>
      <c r="I22" t="s">
        <v>79</v>
      </c>
      <c r="J22">
        <v>1</v>
      </c>
      <c r="K22" t="s">
        <v>13</v>
      </c>
    </row>
    <row r="23" spans="1:11" x14ac:dyDescent="0.25">
      <c r="A23" t="s">
        <v>80</v>
      </c>
      <c r="B23" t="str">
        <f>HYPERLINK("http://service.sap.com/sap/support/notes/0002003704","0002003704")</f>
        <v>0002003704</v>
      </c>
      <c r="C23" t="s">
        <v>81</v>
      </c>
      <c r="D23" t="s">
        <v>10</v>
      </c>
      <c r="E23" t="s">
        <v>45</v>
      </c>
      <c r="F23">
        <v>2</v>
      </c>
      <c r="G23" t="s">
        <v>82</v>
      </c>
      <c r="H23" t="str">
        <f>HYPERLINK("http://service.sap.com/sap/support/notes/0001944194","0001944194")</f>
        <v>0001944194</v>
      </c>
      <c r="I23" t="s">
        <v>83</v>
      </c>
      <c r="J23">
        <v>4</v>
      </c>
      <c r="K23" t="s">
        <v>13</v>
      </c>
    </row>
    <row r="24" spans="1:11" x14ac:dyDescent="0.25">
      <c r="A24" t="s">
        <v>84</v>
      </c>
      <c r="B24" t="str">
        <f>HYPERLINK("http://service.sap.com/sap/support/notes/0001975571","0001975571")</f>
        <v>0001975571</v>
      </c>
      <c r="C24" t="s">
        <v>85</v>
      </c>
      <c r="D24" t="s">
        <v>10</v>
      </c>
      <c r="E24" t="s">
        <v>86</v>
      </c>
      <c r="F24">
        <v>3</v>
      </c>
      <c r="G24" t="s">
        <v>87</v>
      </c>
      <c r="H24" t="str">
        <f>HYPERLINK("http://service.sap.com/sap/support/notes/0002011265","0002011265")</f>
        <v>0002011265</v>
      </c>
      <c r="I24" t="s">
        <v>88</v>
      </c>
      <c r="J24">
        <v>1</v>
      </c>
      <c r="K24" t="s">
        <v>13</v>
      </c>
    </row>
    <row r="25" spans="1:11" x14ac:dyDescent="0.25">
      <c r="A25" t="s">
        <v>84</v>
      </c>
      <c r="B25" t="str">
        <f>HYPERLINK("http://service.sap.com/sap/support/notes/0001980597","0001980597")</f>
        <v>0001980597</v>
      </c>
      <c r="C25" t="s">
        <v>89</v>
      </c>
      <c r="D25" t="s">
        <v>10</v>
      </c>
      <c r="E25" t="s">
        <v>90</v>
      </c>
      <c r="F25">
        <v>1</v>
      </c>
      <c r="G25" t="s">
        <v>84</v>
      </c>
      <c r="H25" t="str">
        <f>HYPERLINK("http://service.sap.com/sap/support/notes/0002069703","0002069703")</f>
        <v>0002069703</v>
      </c>
      <c r="I25" t="s">
        <v>91</v>
      </c>
      <c r="J25">
        <v>1</v>
      </c>
      <c r="K25" t="s">
        <v>13</v>
      </c>
    </row>
    <row r="26" spans="1:11" x14ac:dyDescent="0.25">
      <c r="A26" t="s">
        <v>92</v>
      </c>
      <c r="B26" t="str">
        <f>HYPERLINK("http://service.sap.com/sap/support/notes/0002031585","0002031585")</f>
        <v>0002031585</v>
      </c>
      <c r="C26" t="s">
        <v>93</v>
      </c>
      <c r="D26" t="s">
        <v>10</v>
      </c>
      <c r="E26" t="s">
        <v>94</v>
      </c>
      <c r="F26">
        <v>1</v>
      </c>
      <c r="G26" t="s">
        <v>95</v>
      </c>
      <c r="H26" t="str">
        <f>HYPERLINK("http://service.sap.com/sap/support/notes/0002060102","0002060102")</f>
        <v>0002060102</v>
      </c>
      <c r="I26" t="s">
        <v>96</v>
      </c>
      <c r="J26">
        <v>1</v>
      </c>
      <c r="K26" t="s">
        <v>13</v>
      </c>
    </row>
    <row r="27" spans="1:11" x14ac:dyDescent="0.25">
      <c r="A27" t="s">
        <v>97</v>
      </c>
      <c r="B27" t="str">
        <f>HYPERLINK("http://service.sap.com/sap/support/notes/0001913055","0001913055")</f>
        <v>0001913055</v>
      </c>
      <c r="C27" t="s">
        <v>98</v>
      </c>
      <c r="D27" t="s">
        <v>10</v>
      </c>
      <c r="E27" t="s">
        <v>50</v>
      </c>
      <c r="F27">
        <v>8</v>
      </c>
      <c r="G27" t="s">
        <v>97</v>
      </c>
      <c r="H27" t="str">
        <f>HYPERLINK("http://service.sap.com/sap/support/notes/0001934462","0001934462")</f>
        <v>0001934462</v>
      </c>
      <c r="I27" t="s">
        <v>99</v>
      </c>
      <c r="J27">
        <v>1</v>
      </c>
      <c r="K27" t="s">
        <v>47</v>
      </c>
    </row>
    <row r="28" spans="1:11" x14ac:dyDescent="0.25">
      <c r="A28" t="s">
        <v>97</v>
      </c>
      <c r="B28" t="str">
        <f>HYPERLINK("http://service.sap.com/sap/support/notes/0002005958","0002005958")</f>
        <v>0002005958</v>
      </c>
      <c r="C28" t="s">
        <v>100</v>
      </c>
      <c r="D28" t="s">
        <v>10</v>
      </c>
      <c r="E28" t="s">
        <v>45</v>
      </c>
      <c r="F28">
        <v>1</v>
      </c>
      <c r="G28" t="s">
        <v>72</v>
      </c>
      <c r="H28" t="str">
        <f>HYPERLINK("http://service.sap.com/sap/support/notes/0002051056","0002051056")</f>
        <v>0002051056</v>
      </c>
      <c r="I28" t="s">
        <v>101</v>
      </c>
      <c r="J28">
        <v>1</v>
      </c>
      <c r="K28" t="s">
        <v>13</v>
      </c>
    </row>
    <row r="29" spans="1:11" x14ac:dyDescent="0.25">
      <c r="A29" t="s">
        <v>102</v>
      </c>
      <c r="B29" t="str">
        <f>HYPERLINK("http://service.sap.com/sap/support/notes/0002011453","0002011453")</f>
        <v>0002011453</v>
      </c>
      <c r="C29" t="s">
        <v>103</v>
      </c>
      <c r="D29" t="s">
        <v>10</v>
      </c>
      <c r="E29" t="s">
        <v>45</v>
      </c>
      <c r="F29">
        <v>1</v>
      </c>
      <c r="G29" t="s">
        <v>102</v>
      </c>
      <c r="H29" t="str">
        <f>HYPERLINK("http://service.sap.com/sap/support/notes/0002014491","0002014491")</f>
        <v>0002014491</v>
      </c>
      <c r="I29" t="s">
        <v>104</v>
      </c>
      <c r="J29">
        <v>1</v>
      </c>
      <c r="K29" t="s">
        <v>47</v>
      </c>
    </row>
    <row r="30" spans="1:11" x14ac:dyDescent="0.25">
      <c r="A30" t="s">
        <v>105</v>
      </c>
      <c r="B30" t="str">
        <f>HYPERLINK("http://service.sap.com/sap/support/notes/0001947920","0001947920")</f>
        <v>0001947920</v>
      </c>
      <c r="C30" t="s">
        <v>106</v>
      </c>
      <c r="D30" t="s">
        <v>10</v>
      </c>
      <c r="E30" t="s">
        <v>45</v>
      </c>
      <c r="F30">
        <v>10</v>
      </c>
      <c r="G30" t="s">
        <v>105</v>
      </c>
      <c r="H30" t="str">
        <f>HYPERLINK("http://service.sap.com/sap/support/notes/0002064610","0002064610")</f>
        <v>0002064610</v>
      </c>
      <c r="I30" t="s">
        <v>107</v>
      </c>
      <c r="J30">
        <v>1</v>
      </c>
      <c r="K30" t="s">
        <v>108</v>
      </c>
    </row>
    <row r="31" spans="1:11" x14ac:dyDescent="0.25">
      <c r="A31" t="s">
        <v>109</v>
      </c>
      <c r="B31" t="str">
        <f>HYPERLINK("http://service.sap.com/sap/support/notes/0001834349","0001834349")</f>
        <v>0001834349</v>
      </c>
      <c r="C31" t="s">
        <v>110</v>
      </c>
      <c r="D31" t="s">
        <v>10</v>
      </c>
      <c r="E31" t="s">
        <v>61</v>
      </c>
      <c r="F31">
        <v>6</v>
      </c>
      <c r="G31" t="s">
        <v>111</v>
      </c>
      <c r="H31" t="str">
        <f>HYPERLINK("http://service.sap.com/sap/support/notes/0002047212","0002047212")</f>
        <v>0002047212</v>
      </c>
      <c r="I31" t="s">
        <v>112</v>
      </c>
      <c r="J31">
        <v>1</v>
      </c>
      <c r="K31" t="s">
        <v>13</v>
      </c>
    </row>
    <row r="32" spans="1:11" x14ac:dyDescent="0.25">
      <c r="A32" t="s">
        <v>109</v>
      </c>
      <c r="B32" t="str">
        <f>HYPERLINK("http://service.sap.com/sap/support/notes/0001850486","0001850486")</f>
        <v>0001850486</v>
      </c>
      <c r="C32" t="s">
        <v>113</v>
      </c>
      <c r="D32" t="s">
        <v>10</v>
      </c>
      <c r="E32" t="s">
        <v>50</v>
      </c>
      <c r="F32">
        <v>3</v>
      </c>
      <c r="G32" t="s">
        <v>109</v>
      </c>
      <c r="H32" t="str">
        <f>HYPERLINK("http://service.sap.com/sap/support/notes/0002037174","0002037174")</f>
        <v>0002037174</v>
      </c>
      <c r="I32" t="s">
        <v>114</v>
      </c>
      <c r="J32">
        <v>1</v>
      </c>
      <c r="K32" t="s">
        <v>13</v>
      </c>
    </row>
    <row r="33" spans="1:11" x14ac:dyDescent="0.25">
      <c r="A33" t="s">
        <v>109</v>
      </c>
      <c r="B33" t="str">
        <f>HYPERLINK("http://service.sap.com/sap/support/notes/0001910057","0001910057")</f>
        <v>0001910057</v>
      </c>
      <c r="C33" t="s">
        <v>115</v>
      </c>
      <c r="D33" t="s">
        <v>10</v>
      </c>
      <c r="E33" t="s">
        <v>50</v>
      </c>
      <c r="F33">
        <v>3</v>
      </c>
      <c r="G33" t="s">
        <v>116</v>
      </c>
      <c r="H33" t="str">
        <f>HYPERLINK("http://service.sap.com/sap/support/notes/0001927797","0001927797")</f>
        <v>0001927797</v>
      </c>
      <c r="I33" t="s">
        <v>117</v>
      </c>
      <c r="J33">
        <v>1</v>
      </c>
      <c r="K33" t="s">
        <v>47</v>
      </c>
    </row>
    <row r="34" spans="1:11" x14ac:dyDescent="0.25">
      <c r="A34" t="s">
        <v>109</v>
      </c>
      <c r="B34" t="str">
        <f>HYPERLINK("http://service.sap.com/sap/support/notes/0001969306","0001969306")</f>
        <v>0001969306</v>
      </c>
      <c r="C34" t="s">
        <v>118</v>
      </c>
      <c r="D34" t="s">
        <v>10</v>
      </c>
      <c r="E34" t="s">
        <v>17</v>
      </c>
      <c r="F34">
        <v>4</v>
      </c>
      <c r="G34" t="s">
        <v>109</v>
      </c>
      <c r="H34" t="str">
        <f>HYPERLINK("http://service.sap.com/sap/support/notes/0002027571","0002027571")</f>
        <v>0002027571</v>
      </c>
      <c r="I34" t="s">
        <v>119</v>
      </c>
      <c r="J34">
        <v>1</v>
      </c>
      <c r="K34" t="s">
        <v>13</v>
      </c>
    </row>
    <row r="35" spans="1:11" x14ac:dyDescent="0.25">
      <c r="A35" t="s">
        <v>109</v>
      </c>
      <c r="B35" t="str">
        <f>HYPERLINK("http://service.sap.com/sap/support/notes/0001988522","0001988522")</f>
        <v>0001988522</v>
      </c>
      <c r="C35" t="s">
        <v>120</v>
      </c>
      <c r="D35" t="s">
        <v>10</v>
      </c>
      <c r="E35" t="s">
        <v>17</v>
      </c>
      <c r="F35">
        <v>4</v>
      </c>
      <c r="G35" t="s">
        <v>109</v>
      </c>
      <c r="H35" t="str">
        <f>HYPERLINK("http://service.sap.com/sap/support/notes/0002027571","0002027571")</f>
        <v>0002027571</v>
      </c>
      <c r="I35" t="s">
        <v>119</v>
      </c>
      <c r="J35">
        <v>1</v>
      </c>
      <c r="K35" t="s">
        <v>13</v>
      </c>
    </row>
    <row r="36" spans="1:11" x14ac:dyDescent="0.25">
      <c r="A36" t="s">
        <v>109</v>
      </c>
      <c r="B36" t="str">
        <f>HYPERLINK("http://service.sap.com/sap/support/notes/0001988522","0001988522")</f>
        <v>0001988522</v>
      </c>
      <c r="C36" t="s">
        <v>120</v>
      </c>
      <c r="D36" t="s">
        <v>10</v>
      </c>
      <c r="E36" t="s">
        <v>17</v>
      </c>
      <c r="F36">
        <v>4</v>
      </c>
      <c r="G36" t="s">
        <v>109</v>
      </c>
      <c r="H36" t="str">
        <f>HYPERLINK("http://service.sap.com/sap/support/notes/0002036846","0002036846")</f>
        <v>0002036846</v>
      </c>
      <c r="I36" t="s">
        <v>121</v>
      </c>
      <c r="J36">
        <v>4</v>
      </c>
      <c r="K36" t="s">
        <v>47</v>
      </c>
    </row>
    <row r="37" spans="1:11" x14ac:dyDescent="0.25">
      <c r="A37" t="s">
        <v>109</v>
      </c>
      <c r="B37" t="str">
        <f>HYPERLINK("http://service.sap.com/sap/support/notes/0002018212","0002018212")</f>
        <v>0002018212</v>
      </c>
      <c r="C37" t="s">
        <v>122</v>
      </c>
      <c r="D37" t="s">
        <v>10</v>
      </c>
      <c r="E37" t="s">
        <v>45</v>
      </c>
      <c r="F37">
        <v>2</v>
      </c>
      <c r="G37" t="s">
        <v>109</v>
      </c>
      <c r="H37" t="str">
        <f>HYPERLINK("http://service.sap.com/sap/support/notes/0002027571","0002027571")</f>
        <v>0002027571</v>
      </c>
      <c r="I37" t="s">
        <v>119</v>
      </c>
      <c r="J37">
        <v>1</v>
      </c>
      <c r="K37" t="s">
        <v>13</v>
      </c>
    </row>
    <row r="38" spans="1:11" x14ac:dyDescent="0.25">
      <c r="A38" t="s">
        <v>111</v>
      </c>
      <c r="B38" t="str">
        <f>HYPERLINK("http://service.sap.com/sap/support/notes/0001686632","0001686632")</f>
        <v>0001686632</v>
      </c>
      <c r="C38" t="s">
        <v>123</v>
      </c>
      <c r="D38" t="s">
        <v>10</v>
      </c>
      <c r="E38" t="s">
        <v>17</v>
      </c>
      <c r="F38">
        <v>2</v>
      </c>
      <c r="G38" t="s">
        <v>111</v>
      </c>
      <c r="H38" t="str">
        <f>HYPERLINK("http://service.sap.com/sap/support/notes/0002002096","0002002096")</f>
        <v>0002002096</v>
      </c>
      <c r="I38" t="s">
        <v>124</v>
      </c>
      <c r="J38">
        <v>3</v>
      </c>
      <c r="K38" t="s">
        <v>13</v>
      </c>
    </row>
    <row r="39" spans="1:11" x14ac:dyDescent="0.25">
      <c r="A39" t="s">
        <v>111</v>
      </c>
      <c r="B39" t="str">
        <f>HYPERLINK("http://service.sap.com/sap/support/notes/0001852360","0001852360")</f>
        <v>0001852360</v>
      </c>
      <c r="C39" t="s">
        <v>125</v>
      </c>
      <c r="D39" t="s">
        <v>10</v>
      </c>
      <c r="E39" t="s">
        <v>17</v>
      </c>
      <c r="F39">
        <v>7</v>
      </c>
      <c r="G39" t="s">
        <v>111</v>
      </c>
      <c r="H39" t="str">
        <f>HYPERLINK("http://service.sap.com/sap/support/notes/0002035765","0002035765")</f>
        <v>0002035765</v>
      </c>
      <c r="I39" t="s">
        <v>126</v>
      </c>
      <c r="J39">
        <v>1</v>
      </c>
      <c r="K39" t="s">
        <v>13</v>
      </c>
    </row>
    <row r="40" spans="1:11" x14ac:dyDescent="0.25">
      <c r="A40" t="s">
        <v>127</v>
      </c>
      <c r="B40" t="str">
        <f>HYPERLINK("http://service.sap.com/sap/support/notes/0001926409","0001926409")</f>
        <v>0001926409</v>
      </c>
      <c r="C40" t="s">
        <v>128</v>
      </c>
      <c r="D40" t="s">
        <v>10</v>
      </c>
      <c r="E40" t="s">
        <v>17</v>
      </c>
      <c r="F40">
        <v>3</v>
      </c>
      <c r="G40" t="s">
        <v>127</v>
      </c>
      <c r="H40" t="str">
        <f>HYPERLINK("http://service.sap.com/sap/support/notes/0001992848","0001992848")</f>
        <v>0001992848</v>
      </c>
      <c r="I40" t="s">
        <v>129</v>
      </c>
      <c r="J40">
        <v>1</v>
      </c>
      <c r="K40" t="s">
        <v>13</v>
      </c>
    </row>
    <row r="41" spans="1:11" x14ac:dyDescent="0.25">
      <c r="A41" t="s">
        <v>130</v>
      </c>
      <c r="B41" t="str">
        <f>HYPERLINK("http://service.sap.com/sap/support/notes/0001878995","0001878995")</f>
        <v>0001878995</v>
      </c>
      <c r="C41" t="s">
        <v>131</v>
      </c>
      <c r="D41" t="s">
        <v>10</v>
      </c>
      <c r="E41" t="s">
        <v>132</v>
      </c>
      <c r="F41">
        <v>6</v>
      </c>
      <c r="G41" t="s">
        <v>130</v>
      </c>
      <c r="H41" t="str">
        <f>HYPERLINK("http://service.sap.com/sap/support/notes/0001920812","0001920812")</f>
        <v>0001920812</v>
      </c>
      <c r="I41" t="s">
        <v>133</v>
      </c>
      <c r="J41">
        <v>1</v>
      </c>
      <c r="K41" t="s">
        <v>13</v>
      </c>
    </row>
    <row r="42" spans="1:11" x14ac:dyDescent="0.25">
      <c r="A42" t="s">
        <v>130</v>
      </c>
      <c r="B42" t="str">
        <f>HYPERLINK("http://service.sap.com/sap/support/notes/0001878995","0001878995")</f>
        <v>0001878995</v>
      </c>
      <c r="C42" t="s">
        <v>131</v>
      </c>
      <c r="D42" t="s">
        <v>10</v>
      </c>
      <c r="E42" t="s">
        <v>132</v>
      </c>
      <c r="F42">
        <v>6</v>
      </c>
      <c r="G42" t="s">
        <v>130</v>
      </c>
      <c r="H42" t="str">
        <f>HYPERLINK("http://service.sap.com/sap/support/notes/0001887349","0001887349")</f>
        <v>0001887349</v>
      </c>
      <c r="I42" t="s">
        <v>134</v>
      </c>
      <c r="J42">
        <v>3</v>
      </c>
      <c r="K42" t="s">
        <v>47</v>
      </c>
    </row>
    <row r="43" spans="1:11" x14ac:dyDescent="0.25">
      <c r="A43" t="s">
        <v>130</v>
      </c>
      <c r="B43" t="str">
        <f>HYPERLINK("http://service.sap.com/sap/support/notes/0001919181","0001919181")</f>
        <v>0001919181</v>
      </c>
      <c r="C43" t="s">
        <v>135</v>
      </c>
      <c r="D43" t="s">
        <v>10</v>
      </c>
      <c r="E43" t="s">
        <v>136</v>
      </c>
      <c r="F43">
        <v>2</v>
      </c>
      <c r="G43" t="s">
        <v>130</v>
      </c>
      <c r="H43" t="str">
        <f>HYPERLINK("http://service.sap.com/sap/support/notes/0002077149","0002077149")</f>
        <v>0002077149</v>
      </c>
      <c r="I43" t="s">
        <v>137</v>
      </c>
      <c r="J43">
        <v>1</v>
      </c>
      <c r="K43" t="s">
        <v>35</v>
      </c>
    </row>
    <row r="44" spans="1:11" x14ac:dyDescent="0.25">
      <c r="A44" t="s">
        <v>130</v>
      </c>
      <c r="B44" t="str">
        <f>HYPERLINK("http://service.sap.com/sap/support/notes/0001961299","0001961299")</f>
        <v>0001961299</v>
      </c>
      <c r="C44" t="s">
        <v>138</v>
      </c>
      <c r="D44" t="s">
        <v>10</v>
      </c>
      <c r="E44" t="s">
        <v>139</v>
      </c>
      <c r="F44">
        <v>3</v>
      </c>
      <c r="G44" t="s">
        <v>130</v>
      </c>
      <c r="H44" t="str">
        <f>HYPERLINK("http://service.sap.com/sap/support/notes/0001994384","0001994384")</f>
        <v>0001994384</v>
      </c>
      <c r="I44" t="s">
        <v>140</v>
      </c>
      <c r="J44">
        <v>1</v>
      </c>
      <c r="K44" t="s">
        <v>13</v>
      </c>
    </row>
    <row r="45" spans="1:11" x14ac:dyDescent="0.25">
      <c r="A45" t="s">
        <v>141</v>
      </c>
      <c r="B45" t="str">
        <f>HYPERLINK("http://service.sap.com/sap/support/notes/0001945143","0001945143")</f>
        <v>0001945143</v>
      </c>
      <c r="C45" t="s">
        <v>142</v>
      </c>
      <c r="D45" t="s">
        <v>10</v>
      </c>
      <c r="E45" t="s">
        <v>17</v>
      </c>
      <c r="F45">
        <v>20</v>
      </c>
      <c r="G45" t="s">
        <v>141</v>
      </c>
      <c r="H45" t="str">
        <f>HYPERLINK("http://service.sap.com/sap/support/notes/0002046662","0002046662")</f>
        <v>0002046662</v>
      </c>
      <c r="I45" t="s">
        <v>143</v>
      </c>
      <c r="J45">
        <v>2</v>
      </c>
      <c r="K45" t="s">
        <v>13</v>
      </c>
    </row>
    <row r="46" spans="1:11" x14ac:dyDescent="0.25">
      <c r="A46" t="s">
        <v>141</v>
      </c>
      <c r="B46" t="str">
        <f>HYPERLINK("http://service.sap.com/sap/support/notes/0001949102","0001949102")</f>
        <v>0001949102</v>
      </c>
      <c r="C46" t="s">
        <v>144</v>
      </c>
      <c r="D46" t="s">
        <v>10</v>
      </c>
      <c r="E46" t="s">
        <v>17</v>
      </c>
      <c r="F46">
        <v>2</v>
      </c>
      <c r="G46" t="s">
        <v>141</v>
      </c>
      <c r="H46" t="str">
        <f>HYPERLINK("http://service.sap.com/sap/support/notes/0002038900","0002038900")</f>
        <v>0002038900</v>
      </c>
      <c r="I46" t="s">
        <v>145</v>
      </c>
      <c r="J46">
        <v>1</v>
      </c>
      <c r="K46" t="s">
        <v>13</v>
      </c>
    </row>
    <row r="47" spans="1:11" x14ac:dyDescent="0.25">
      <c r="A47" t="s">
        <v>141</v>
      </c>
      <c r="B47" t="str">
        <f>HYPERLINK("http://service.sap.com/sap/support/notes/0001975395","0001975395")</f>
        <v>0001975395</v>
      </c>
      <c r="C47" t="s">
        <v>146</v>
      </c>
      <c r="D47" t="s">
        <v>10</v>
      </c>
      <c r="E47" t="s">
        <v>45</v>
      </c>
      <c r="F47">
        <v>10</v>
      </c>
      <c r="G47" t="s">
        <v>141</v>
      </c>
      <c r="H47" t="str">
        <f>HYPERLINK("http://service.sap.com/sap/support/notes/0002025604","0002025604")</f>
        <v>0002025604</v>
      </c>
      <c r="I47" t="s">
        <v>147</v>
      </c>
      <c r="J47">
        <v>1</v>
      </c>
      <c r="K47" t="s">
        <v>13</v>
      </c>
    </row>
    <row r="48" spans="1:11" x14ac:dyDescent="0.25">
      <c r="A48" t="s">
        <v>141</v>
      </c>
      <c r="B48" t="str">
        <f>HYPERLINK("http://service.sap.com/sap/support/notes/0002002786","0002002786")</f>
        <v>0002002786</v>
      </c>
      <c r="C48" t="s">
        <v>148</v>
      </c>
      <c r="D48" t="s">
        <v>10</v>
      </c>
      <c r="E48" t="s">
        <v>45</v>
      </c>
      <c r="F48">
        <v>8</v>
      </c>
      <c r="G48" t="s">
        <v>141</v>
      </c>
      <c r="H48" t="str">
        <f>HYPERLINK("http://service.sap.com/sap/support/notes/0002046662","0002046662")</f>
        <v>0002046662</v>
      </c>
      <c r="I48" t="s">
        <v>143</v>
      </c>
      <c r="J48">
        <v>2</v>
      </c>
      <c r="K48" t="s">
        <v>13</v>
      </c>
    </row>
    <row r="49" spans="1:11" x14ac:dyDescent="0.25">
      <c r="A49" t="s">
        <v>141</v>
      </c>
      <c r="B49" t="str">
        <f>HYPERLINK("http://service.sap.com/sap/support/notes/0002002969","0002002969")</f>
        <v>0002002969</v>
      </c>
      <c r="C49" t="s">
        <v>149</v>
      </c>
      <c r="D49" t="s">
        <v>10</v>
      </c>
      <c r="E49" t="s">
        <v>45</v>
      </c>
      <c r="F49">
        <v>2</v>
      </c>
      <c r="G49" t="s">
        <v>141</v>
      </c>
      <c r="H49" t="str">
        <f>HYPERLINK("http://service.sap.com/sap/support/notes/0002036141","0002036141")</f>
        <v>0002036141</v>
      </c>
      <c r="I49" t="s">
        <v>150</v>
      </c>
      <c r="J49">
        <v>1</v>
      </c>
      <c r="K49" t="s">
        <v>13</v>
      </c>
    </row>
    <row r="50" spans="1:11" x14ac:dyDescent="0.25">
      <c r="A50" t="s">
        <v>151</v>
      </c>
      <c r="B50" t="str">
        <f>HYPERLINK("http://service.sap.com/sap/support/notes/0001919573","0001919573")</f>
        <v>0001919573</v>
      </c>
      <c r="C50" t="s">
        <v>152</v>
      </c>
      <c r="D50" t="s">
        <v>10</v>
      </c>
      <c r="E50" t="s">
        <v>50</v>
      </c>
      <c r="F50">
        <v>2</v>
      </c>
      <c r="G50" t="s">
        <v>151</v>
      </c>
      <c r="H50" t="str">
        <f>HYPERLINK("http://service.sap.com/sap/support/notes/0002061628","0002061628")</f>
        <v>0002061628</v>
      </c>
      <c r="I50" t="s">
        <v>153</v>
      </c>
      <c r="J50">
        <v>1</v>
      </c>
      <c r="K50" t="s">
        <v>13</v>
      </c>
    </row>
    <row r="51" spans="1:11" x14ac:dyDescent="0.25">
      <c r="A51" t="s">
        <v>151</v>
      </c>
      <c r="B51" t="str">
        <f>HYPERLINK("http://service.sap.com/sap/support/notes/0001953687","0001953687")</f>
        <v>0001953687</v>
      </c>
      <c r="C51" t="s">
        <v>154</v>
      </c>
      <c r="D51" t="s">
        <v>10</v>
      </c>
      <c r="E51" t="s">
        <v>17</v>
      </c>
      <c r="F51">
        <v>1</v>
      </c>
      <c r="G51" t="s">
        <v>151</v>
      </c>
      <c r="H51" t="str">
        <f>HYPERLINK("http://service.sap.com/sap/support/notes/0002061628","0002061628")</f>
        <v>0002061628</v>
      </c>
      <c r="I51" t="s">
        <v>153</v>
      </c>
      <c r="J51">
        <v>1</v>
      </c>
      <c r="K51" t="s">
        <v>13</v>
      </c>
    </row>
    <row r="52" spans="1:11" x14ac:dyDescent="0.25">
      <c r="A52" t="s">
        <v>151</v>
      </c>
      <c r="B52" t="str">
        <f>HYPERLINK("http://service.sap.com/sap/support/notes/0001989576","0001989576")</f>
        <v>0001989576</v>
      </c>
      <c r="C52" t="s">
        <v>155</v>
      </c>
      <c r="D52" t="s">
        <v>10</v>
      </c>
      <c r="E52" t="s">
        <v>45</v>
      </c>
      <c r="F52">
        <v>6</v>
      </c>
      <c r="G52" t="s">
        <v>151</v>
      </c>
      <c r="H52" t="str">
        <f>HYPERLINK("http://service.sap.com/sap/support/notes/0002061628","0002061628")</f>
        <v>0002061628</v>
      </c>
      <c r="I52" t="s">
        <v>153</v>
      </c>
      <c r="J52">
        <v>1</v>
      </c>
      <c r="K52" t="s">
        <v>13</v>
      </c>
    </row>
    <row r="53" spans="1:11" x14ac:dyDescent="0.25">
      <c r="A53" t="s">
        <v>156</v>
      </c>
      <c r="B53" t="str">
        <f>HYPERLINK("http://service.sap.com/sap/support/notes/0001995667","0001995667")</f>
        <v>0001995667</v>
      </c>
      <c r="C53" t="s">
        <v>157</v>
      </c>
      <c r="D53" t="s">
        <v>10</v>
      </c>
      <c r="E53" t="s">
        <v>45</v>
      </c>
      <c r="F53">
        <v>6</v>
      </c>
      <c r="G53" t="s">
        <v>156</v>
      </c>
      <c r="H53" t="str">
        <f>HYPERLINK("http://service.sap.com/sap/support/notes/0002032937","0002032937")</f>
        <v>0002032937</v>
      </c>
      <c r="I53" t="s">
        <v>158</v>
      </c>
      <c r="J53">
        <v>1</v>
      </c>
      <c r="K53" t="s">
        <v>13</v>
      </c>
    </row>
    <row r="54" spans="1:11" x14ac:dyDescent="0.25">
      <c r="A54" t="s">
        <v>159</v>
      </c>
      <c r="B54" t="str">
        <f>HYPERLINK("http://service.sap.com/sap/support/notes/0001896191","0001896191")</f>
        <v>0001896191</v>
      </c>
      <c r="C54" t="s">
        <v>160</v>
      </c>
      <c r="D54" t="s">
        <v>10</v>
      </c>
      <c r="E54" t="s">
        <v>17</v>
      </c>
      <c r="F54">
        <v>4</v>
      </c>
      <c r="G54" t="s">
        <v>156</v>
      </c>
      <c r="H54" t="str">
        <f>HYPERLINK("http://service.sap.com/sap/support/notes/0002050668","0002050668")</f>
        <v>0002050668</v>
      </c>
      <c r="I54" t="s">
        <v>161</v>
      </c>
      <c r="J54">
        <v>1</v>
      </c>
      <c r="K54" t="s">
        <v>13</v>
      </c>
    </row>
    <row r="55" spans="1:11" x14ac:dyDescent="0.25">
      <c r="A55" t="s">
        <v>162</v>
      </c>
      <c r="B55" t="str">
        <f>HYPERLINK("http://service.sap.com/sap/support/notes/0001880984","0001880984")</f>
        <v>0001880984</v>
      </c>
      <c r="C55" t="s">
        <v>163</v>
      </c>
      <c r="D55" t="s">
        <v>10</v>
      </c>
      <c r="E55" t="s">
        <v>61</v>
      </c>
      <c r="F55">
        <v>5</v>
      </c>
      <c r="G55" t="s">
        <v>156</v>
      </c>
      <c r="H55" t="str">
        <f>HYPERLINK("http://service.sap.com/sap/support/notes/0001908870","0001908870")</f>
        <v>0001908870</v>
      </c>
      <c r="I55" t="s">
        <v>164</v>
      </c>
      <c r="J55">
        <v>13</v>
      </c>
      <c r="K55" t="s">
        <v>13</v>
      </c>
    </row>
    <row r="56" spans="1:11" x14ac:dyDescent="0.25">
      <c r="A56" t="s">
        <v>165</v>
      </c>
      <c r="B56" t="str">
        <f>HYPERLINK("http://service.sap.com/sap/support/notes/0001866334","0001866334")</f>
        <v>0001866334</v>
      </c>
      <c r="C56" t="s">
        <v>166</v>
      </c>
      <c r="D56" t="s">
        <v>167</v>
      </c>
      <c r="E56" t="s">
        <v>61</v>
      </c>
      <c r="F56">
        <v>4</v>
      </c>
      <c r="G56" t="s">
        <v>165</v>
      </c>
      <c r="H56" t="str">
        <f>HYPERLINK("http://service.sap.com/sap/support/notes/0001885437","0001885437")</f>
        <v>0001885437</v>
      </c>
      <c r="I56" t="s">
        <v>168</v>
      </c>
      <c r="J56">
        <v>1</v>
      </c>
      <c r="K56" t="s">
        <v>47</v>
      </c>
    </row>
    <row r="57" spans="1:11" x14ac:dyDescent="0.25">
      <c r="A57" t="s">
        <v>169</v>
      </c>
      <c r="B57" t="str">
        <f>HYPERLINK("http://service.sap.com/sap/support/notes/0001882254","0001882254")</f>
        <v>0001882254</v>
      </c>
      <c r="C57" t="s">
        <v>170</v>
      </c>
      <c r="D57" t="s">
        <v>10</v>
      </c>
      <c r="E57" t="s">
        <v>61</v>
      </c>
      <c r="F57">
        <v>4</v>
      </c>
      <c r="G57" t="s">
        <v>169</v>
      </c>
      <c r="H57" t="str">
        <f>HYPERLINK("http://service.sap.com/sap/support/notes/0002012984","0002012984")</f>
        <v>0002012984</v>
      </c>
      <c r="I57" t="s">
        <v>171</v>
      </c>
      <c r="J57">
        <v>1</v>
      </c>
      <c r="K57" t="s">
        <v>13</v>
      </c>
    </row>
    <row r="58" spans="1:11" x14ac:dyDescent="0.25">
      <c r="A58" t="s">
        <v>169</v>
      </c>
      <c r="B58" t="str">
        <f>HYPERLINK("http://service.sap.com/sap/support/notes/0001918576","0001918576")</f>
        <v>0001918576</v>
      </c>
      <c r="C58" t="s">
        <v>172</v>
      </c>
      <c r="D58" t="s">
        <v>10</v>
      </c>
      <c r="E58" t="s">
        <v>50</v>
      </c>
      <c r="F58">
        <v>1</v>
      </c>
      <c r="G58" t="s">
        <v>169</v>
      </c>
      <c r="H58" t="str">
        <f>HYPERLINK("http://service.sap.com/sap/support/notes/0002062324","0002062324")</f>
        <v>0002062324</v>
      </c>
      <c r="I58" t="s">
        <v>173</v>
      </c>
      <c r="J58">
        <v>1</v>
      </c>
      <c r="K58" t="s">
        <v>13</v>
      </c>
    </row>
    <row r="59" spans="1:11" x14ac:dyDescent="0.25">
      <c r="A59" t="s">
        <v>174</v>
      </c>
      <c r="B59" t="str">
        <f>HYPERLINK("http://service.sap.com/sap/support/notes/0002006525","0002006525")</f>
        <v>0002006525</v>
      </c>
      <c r="C59" t="s">
        <v>175</v>
      </c>
      <c r="D59" t="s">
        <v>10</v>
      </c>
      <c r="E59" t="s">
        <v>45</v>
      </c>
      <c r="F59">
        <v>3</v>
      </c>
      <c r="G59" t="s">
        <v>174</v>
      </c>
      <c r="H59" t="str">
        <f>HYPERLINK("http://service.sap.com/sap/support/notes/0002027782","0002027782")</f>
        <v>0002027782</v>
      </c>
      <c r="I59" t="s">
        <v>176</v>
      </c>
      <c r="J59">
        <v>1</v>
      </c>
      <c r="K59" t="s">
        <v>13</v>
      </c>
    </row>
    <row r="60" spans="1:11" x14ac:dyDescent="0.25">
      <c r="A60" t="s">
        <v>177</v>
      </c>
      <c r="B60" t="str">
        <f t="shared" ref="B60:B67" si="0">HYPERLINK("http://service.sap.com/sap/support/notes/0001839804","0001839804")</f>
        <v>0001839804</v>
      </c>
      <c r="C60" t="s">
        <v>178</v>
      </c>
      <c r="D60" t="s">
        <v>10</v>
      </c>
      <c r="E60" t="s">
        <v>61</v>
      </c>
      <c r="F60">
        <v>5</v>
      </c>
      <c r="G60" t="s">
        <v>179</v>
      </c>
      <c r="H60" t="str">
        <f>HYPERLINK("http://service.sap.com/sap/support/notes/0001981498","0001981498")</f>
        <v>0001981498</v>
      </c>
      <c r="I60" t="s">
        <v>180</v>
      </c>
      <c r="J60">
        <v>1</v>
      </c>
      <c r="K60" t="s">
        <v>47</v>
      </c>
    </row>
    <row r="61" spans="1:11" x14ac:dyDescent="0.25">
      <c r="A61" t="s">
        <v>177</v>
      </c>
      <c r="B61" t="str">
        <f t="shared" si="0"/>
        <v>0001839804</v>
      </c>
      <c r="C61" t="s">
        <v>178</v>
      </c>
      <c r="D61" t="s">
        <v>10</v>
      </c>
      <c r="E61" t="s">
        <v>61</v>
      </c>
      <c r="F61">
        <v>5</v>
      </c>
      <c r="G61" t="s">
        <v>181</v>
      </c>
      <c r="H61" t="str">
        <f>HYPERLINK("http://service.sap.com/sap/support/notes/0001978197","0001978197")</f>
        <v>0001978197</v>
      </c>
      <c r="I61" t="s">
        <v>182</v>
      </c>
      <c r="J61">
        <v>1</v>
      </c>
      <c r="K61" t="s">
        <v>13</v>
      </c>
    </row>
    <row r="62" spans="1:11" x14ac:dyDescent="0.25">
      <c r="A62" t="s">
        <v>177</v>
      </c>
      <c r="B62" t="str">
        <f t="shared" si="0"/>
        <v>0001839804</v>
      </c>
      <c r="C62" t="s">
        <v>178</v>
      </c>
      <c r="D62" t="s">
        <v>10</v>
      </c>
      <c r="E62" t="s">
        <v>61</v>
      </c>
      <c r="F62">
        <v>5</v>
      </c>
      <c r="G62" t="s">
        <v>183</v>
      </c>
      <c r="H62" t="str">
        <f>HYPERLINK("http://service.sap.com/sap/support/notes/0001969374","0001969374")</f>
        <v>0001969374</v>
      </c>
      <c r="I62" t="s">
        <v>184</v>
      </c>
      <c r="J62">
        <v>1</v>
      </c>
      <c r="K62" t="s">
        <v>13</v>
      </c>
    </row>
    <row r="63" spans="1:11" x14ac:dyDescent="0.25">
      <c r="A63" t="s">
        <v>177</v>
      </c>
      <c r="B63" t="str">
        <f t="shared" si="0"/>
        <v>0001839804</v>
      </c>
      <c r="C63" t="s">
        <v>178</v>
      </c>
      <c r="D63" t="s">
        <v>10</v>
      </c>
      <c r="E63" t="s">
        <v>61</v>
      </c>
      <c r="F63">
        <v>5</v>
      </c>
      <c r="G63" t="s">
        <v>185</v>
      </c>
      <c r="H63" t="str">
        <f>HYPERLINK("http://service.sap.com/sap/support/notes/0001961338","0001961338")</f>
        <v>0001961338</v>
      </c>
      <c r="I63" t="s">
        <v>186</v>
      </c>
      <c r="J63">
        <v>1</v>
      </c>
      <c r="K63" t="s">
        <v>13</v>
      </c>
    </row>
    <row r="64" spans="1:11" x14ac:dyDescent="0.25">
      <c r="A64" t="s">
        <v>177</v>
      </c>
      <c r="B64" t="str">
        <f t="shared" si="0"/>
        <v>0001839804</v>
      </c>
      <c r="C64" t="s">
        <v>178</v>
      </c>
      <c r="D64" t="s">
        <v>10</v>
      </c>
      <c r="E64" t="s">
        <v>61</v>
      </c>
      <c r="F64">
        <v>5</v>
      </c>
      <c r="G64" t="s">
        <v>177</v>
      </c>
      <c r="H64" t="str">
        <f>HYPERLINK("http://service.sap.com/sap/support/notes/0001951421","0001951421")</f>
        <v>0001951421</v>
      </c>
      <c r="I64" t="s">
        <v>187</v>
      </c>
      <c r="J64">
        <v>1</v>
      </c>
      <c r="K64" t="s">
        <v>13</v>
      </c>
    </row>
    <row r="65" spans="1:11" x14ac:dyDescent="0.25">
      <c r="A65" t="s">
        <v>177</v>
      </c>
      <c r="B65" t="str">
        <f t="shared" si="0"/>
        <v>0001839804</v>
      </c>
      <c r="C65" t="s">
        <v>178</v>
      </c>
      <c r="D65" t="s">
        <v>10</v>
      </c>
      <c r="E65" t="s">
        <v>61</v>
      </c>
      <c r="F65">
        <v>5</v>
      </c>
      <c r="G65" t="s">
        <v>188</v>
      </c>
      <c r="H65" t="str">
        <f>HYPERLINK("http://service.sap.com/sap/support/notes/0001937750","0001937750")</f>
        <v>0001937750</v>
      </c>
      <c r="I65" t="s">
        <v>189</v>
      </c>
      <c r="J65">
        <v>1</v>
      </c>
      <c r="K65" t="s">
        <v>13</v>
      </c>
    </row>
    <row r="66" spans="1:11" x14ac:dyDescent="0.25">
      <c r="A66" t="s">
        <v>177</v>
      </c>
      <c r="B66" t="str">
        <f t="shared" si="0"/>
        <v>0001839804</v>
      </c>
      <c r="C66" t="s">
        <v>178</v>
      </c>
      <c r="D66" t="s">
        <v>10</v>
      </c>
      <c r="E66" t="s">
        <v>61</v>
      </c>
      <c r="F66">
        <v>5</v>
      </c>
      <c r="G66" t="s">
        <v>190</v>
      </c>
      <c r="H66" t="str">
        <f>HYPERLINK("http://service.sap.com/sap/support/notes/0002003299","0002003299")</f>
        <v>0002003299</v>
      </c>
      <c r="I66" t="s">
        <v>191</v>
      </c>
      <c r="J66">
        <v>1</v>
      </c>
      <c r="K66" t="s">
        <v>47</v>
      </c>
    </row>
    <row r="67" spans="1:11" x14ac:dyDescent="0.25">
      <c r="A67" t="s">
        <v>177</v>
      </c>
      <c r="B67" t="str">
        <f t="shared" si="0"/>
        <v>0001839804</v>
      </c>
      <c r="C67" t="s">
        <v>178</v>
      </c>
      <c r="D67" t="s">
        <v>10</v>
      </c>
      <c r="E67" t="s">
        <v>61</v>
      </c>
      <c r="F67">
        <v>5</v>
      </c>
      <c r="G67" t="s">
        <v>177</v>
      </c>
      <c r="H67" t="str">
        <f>HYPERLINK("http://service.sap.com/sap/support/notes/0002025948","0002025948")</f>
        <v>0002025948</v>
      </c>
      <c r="I67" t="s">
        <v>192</v>
      </c>
      <c r="J67">
        <v>1</v>
      </c>
      <c r="K67" t="s">
        <v>47</v>
      </c>
    </row>
    <row r="68" spans="1:11" x14ac:dyDescent="0.25">
      <c r="A68" t="s">
        <v>177</v>
      </c>
      <c r="B68" t="str">
        <f>HYPERLINK("http://service.sap.com/sap/support/notes/0001941803","0001941803")</f>
        <v>0001941803</v>
      </c>
      <c r="C68" t="s">
        <v>193</v>
      </c>
      <c r="D68" t="s">
        <v>10</v>
      </c>
      <c r="E68" t="s">
        <v>50</v>
      </c>
      <c r="F68">
        <v>1</v>
      </c>
      <c r="G68" t="s">
        <v>177</v>
      </c>
      <c r="H68" t="str">
        <f>HYPERLINK("http://service.sap.com/sap/support/notes/0002069753","0002069753")</f>
        <v>0002069753</v>
      </c>
      <c r="I68" t="s">
        <v>194</v>
      </c>
      <c r="J68">
        <v>1</v>
      </c>
      <c r="K68" t="s">
        <v>13</v>
      </c>
    </row>
    <row r="69" spans="1:11" x14ac:dyDescent="0.25">
      <c r="A69" t="s">
        <v>195</v>
      </c>
      <c r="B69" t="str">
        <f>HYPERLINK("http://service.sap.com/sap/support/notes/0001940914","0001940914")</f>
        <v>0001940914</v>
      </c>
      <c r="C69" t="s">
        <v>196</v>
      </c>
      <c r="D69" t="s">
        <v>10</v>
      </c>
      <c r="E69" t="s">
        <v>50</v>
      </c>
      <c r="F69">
        <v>2</v>
      </c>
      <c r="G69" t="s">
        <v>195</v>
      </c>
      <c r="H69" t="str">
        <f>HYPERLINK("http://service.sap.com/sap/support/notes/0001957645","0001957645")</f>
        <v>0001957645</v>
      </c>
      <c r="I69" t="s">
        <v>197</v>
      </c>
      <c r="J69">
        <v>1</v>
      </c>
      <c r="K69" t="s">
        <v>13</v>
      </c>
    </row>
    <row r="70" spans="1:11" x14ac:dyDescent="0.25">
      <c r="A70" t="s">
        <v>195</v>
      </c>
      <c r="B70" t="str">
        <f>HYPERLINK("http://service.sap.com/sap/support/notes/0001942593","0001942593")</f>
        <v>0001942593</v>
      </c>
      <c r="C70" t="s">
        <v>198</v>
      </c>
      <c r="D70" t="s">
        <v>10</v>
      </c>
      <c r="E70" t="s">
        <v>50</v>
      </c>
      <c r="F70">
        <v>1</v>
      </c>
      <c r="G70" t="s">
        <v>195</v>
      </c>
      <c r="H70" t="str">
        <f>HYPERLINK("http://service.sap.com/sap/support/notes/0002065383","0002065383")</f>
        <v>0002065383</v>
      </c>
      <c r="I70" t="s">
        <v>199</v>
      </c>
      <c r="J70">
        <v>1</v>
      </c>
      <c r="K70" t="s">
        <v>13</v>
      </c>
    </row>
    <row r="71" spans="1:11" x14ac:dyDescent="0.25">
      <c r="A71" t="s">
        <v>195</v>
      </c>
      <c r="B71" t="str">
        <f>HYPERLINK("http://service.sap.com/sap/support/notes/0001958704","0001958704")</f>
        <v>0001958704</v>
      </c>
      <c r="C71" t="s">
        <v>200</v>
      </c>
      <c r="D71" t="s">
        <v>10</v>
      </c>
      <c r="E71" t="s">
        <v>17</v>
      </c>
      <c r="F71">
        <v>2</v>
      </c>
      <c r="G71" t="s">
        <v>195</v>
      </c>
      <c r="H71" t="str">
        <f>HYPERLINK("http://service.sap.com/sap/support/notes/0002049338","0002049338")</f>
        <v>0002049338</v>
      </c>
      <c r="I71" t="s">
        <v>201</v>
      </c>
      <c r="J71">
        <v>1</v>
      </c>
      <c r="K71" t="s">
        <v>13</v>
      </c>
    </row>
    <row r="72" spans="1:11" x14ac:dyDescent="0.25">
      <c r="A72" t="s">
        <v>202</v>
      </c>
      <c r="B72" t="str">
        <f>HYPERLINK("http://service.sap.com/sap/support/notes/0001954022","0001954022")</f>
        <v>0001954022</v>
      </c>
      <c r="C72" t="s">
        <v>203</v>
      </c>
      <c r="D72" t="s">
        <v>10</v>
      </c>
      <c r="E72" t="s">
        <v>132</v>
      </c>
      <c r="F72">
        <v>1</v>
      </c>
      <c r="G72" t="s">
        <v>202</v>
      </c>
      <c r="H72" t="str">
        <f>HYPERLINK("http://service.sap.com/sap/support/notes/0002075762","0002075762")</f>
        <v>0002075762</v>
      </c>
      <c r="I72" t="s">
        <v>204</v>
      </c>
      <c r="J72">
        <v>1</v>
      </c>
      <c r="K72" t="s">
        <v>13</v>
      </c>
    </row>
    <row r="73" spans="1:11" x14ac:dyDescent="0.25">
      <c r="A73" t="s">
        <v>202</v>
      </c>
      <c r="B73" t="str">
        <f>HYPERLINK("http://service.sap.com/sap/support/notes/0002058319","0002058319")</f>
        <v>0002058319</v>
      </c>
      <c r="C73" t="s">
        <v>205</v>
      </c>
      <c r="D73" t="s">
        <v>10</v>
      </c>
      <c r="E73" t="s">
        <v>94</v>
      </c>
      <c r="F73">
        <v>1</v>
      </c>
      <c r="G73" t="s">
        <v>202</v>
      </c>
      <c r="H73" t="str">
        <f>HYPERLINK("http://service.sap.com/sap/support/notes/0002071153","0002071153")</f>
        <v>0002071153</v>
      </c>
      <c r="I73" t="s">
        <v>206</v>
      </c>
      <c r="J73">
        <v>1</v>
      </c>
      <c r="K73" t="s">
        <v>47</v>
      </c>
    </row>
    <row r="74" spans="1:11" x14ac:dyDescent="0.25">
      <c r="A74" t="s">
        <v>207</v>
      </c>
      <c r="B74" t="str">
        <f>HYPERLINK("http://service.sap.com/sap/support/notes/0001968544","0001968544")</f>
        <v>0001968544</v>
      </c>
      <c r="C74" t="s">
        <v>208</v>
      </c>
      <c r="D74" t="s">
        <v>209</v>
      </c>
      <c r="E74" t="s">
        <v>17</v>
      </c>
      <c r="F74">
        <v>2</v>
      </c>
      <c r="G74" t="s">
        <v>207</v>
      </c>
      <c r="H74" t="str">
        <f>HYPERLINK("http://service.sap.com/sap/support/notes/0002079914","0002079914")</f>
        <v>0002079914</v>
      </c>
      <c r="I74" t="s">
        <v>210</v>
      </c>
      <c r="J74">
        <v>1</v>
      </c>
      <c r="K74" t="s">
        <v>13</v>
      </c>
    </row>
    <row r="75" spans="1:11" x14ac:dyDescent="0.25">
      <c r="A75" t="s">
        <v>211</v>
      </c>
      <c r="B75" t="str">
        <f>HYPERLINK("http://service.sap.com/sap/support/notes/0001954060","0001954060")</f>
        <v>0001954060</v>
      </c>
      <c r="C75" t="s">
        <v>212</v>
      </c>
      <c r="D75" t="s">
        <v>10</v>
      </c>
      <c r="E75" t="s">
        <v>17</v>
      </c>
      <c r="F75">
        <v>5</v>
      </c>
      <c r="G75" t="s">
        <v>211</v>
      </c>
      <c r="H75" t="str">
        <f>HYPERLINK("http://service.sap.com/sap/support/notes/0002060220","0002060220")</f>
        <v>0002060220</v>
      </c>
      <c r="I75" t="s">
        <v>213</v>
      </c>
      <c r="J75">
        <v>1</v>
      </c>
      <c r="K75" t="s">
        <v>13</v>
      </c>
    </row>
    <row r="76" spans="1:11" x14ac:dyDescent="0.25">
      <c r="A76" t="s">
        <v>211</v>
      </c>
      <c r="B76" t="str">
        <f>HYPERLINK("http://service.sap.com/sap/support/notes/0001965768","0001965768")</f>
        <v>0001965768</v>
      </c>
      <c r="C76" t="s">
        <v>214</v>
      </c>
      <c r="D76" t="s">
        <v>10</v>
      </c>
      <c r="E76" t="s">
        <v>17</v>
      </c>
      <c r="F76">
        <v>1</v>
      </c>
      <c r="G76" t="s">
        <v>215</v>
      </c>
      <c r="H76" t="str">
        <f>HYPERLINK("http://service.sap.com/sap/support/notes/0002060231","0002060231")</f>
        <v>0002060231</v>
      </c>
      <c r="I76" t="s">
        <v>216</v>
      </c>
      <c r="J76">
        <v>1</v>
      </c>
      <c r="K76" t="s">
        <v>13</v>
      </c>
    </row>
    <row r="77" spans="1:11" x14ac:dyDescent="0.25">
      <c r="A77" t="s">
        <v>217</v>
      </c>
      <c r="B77" t="str">
        <f>HYPERLINK("http://service.sap.com/sap/support/notes/0001938743","0001938743")</f>
        <v>0001938743</v>
      </c>
      <c r="C77" t="s">
        <v>218</v>
      </c>
      <c r="D77" t="s">
        <v>10</v>
      </c>
      <c r="E77" t="s">
        <v>219</v>
      </c>
      <c r="F77">
        <v>2</v>
      </c>
      <c r="G77" t="s">
        <v>217</v>
      </c>
      <c r="H77" t="str">
        <f>HYPERLINK("http://service.sap.com/sap/support/notes/0001939370","0001939370")</f>
        <v>0001939370</v>
      </c>
      <c r="I77" t="s">
        <v>220</v>
      </c>
      <c r="J77">
        <v>1</v>
      </c>
      <c r="K77" t="s">
        <v>13</v>
      </c>
    </row>
    <row r="78" spans="1:11" x14ac:dyDescent="0.25">
      <c r="A78" t="s">
        <v>221</v>
      </c>
      <c r="B78" t="str">
        <f>HYPERLINK("http://service.sap.com/sap/support/notes/0002002435","0002002435")</f>
        <v>0002002435</v>
      </c>
      <c r="C78" t="s">
        <v>222</v>
      </c>
      <c r="D78" t="s">
        <v>10</v>
      </c>
      <c r="E78" t="s">
        <v>223</v>
      </c>
      <c r="F78">
        <v>4</v>
      </c>
      <c r="G78" t="s">
        <v>224</v>
      </c>
      <c r="H78" t="str">
        <f>HYPERLINK("http://service.sap.com/sap/support/notes/0002052834","0002052834")</f>
        <v>0002052834</v>
      </c>
      <c r="I78" t="s">
        <v>225</v>
      </c>
      <c r="J78">
        <v>1</v>
      </c>
      <c r="K78" t="s">
        <v>13</v>
      </c>
    </row>
    <row r="79" spans="1:11" x14ac:dyDescent="0.25">
      <c r="A79" t="s">
        <v>221</v>
      </c>
      <c r="B79" t="str">
        <f>HYPERLINK("http://service.sap.com/sap/support/notes/0002019806","0002019806")</f>
        <v>0002019806</v>
      </c>
      <c r="C79" t="s">
        <v>226</v>
      </c>
      <c r="D79" t="s">
        <v>10</v>
      </c>
      <c r="E79" t="s">
        <v>223</v>
      </c>
      <c r="F79">
        <v>1</v>
      </c>
      <c r="G79" t="s">
        <v>224</v>
      </c>
      <c r="H79" t="str">
        <f>HYPERLINK("http://service.sap.com/sap/support/notes/0002077669","0002077669")</f>
        <v>0002077669</v>
      </c>
      <c r="I79" t="s">
        <v>227</v>
      </c>
      <c r="J79">
        <v>1</v>
      </c>
      <c r="K79" t="s">
        <v>13</v>
      </c>
    </row>
    <row r="80" spans="1:11" x14ac:dyDescent="0.25">
      <c r="A80" t="s">
        <v>228</v>
      </c>
      <c r="B80" t="str">
        <f>HYPERLINK("http://service.sap.com/sap/support/notes/0001775336","0001775336")</f>
        <v>0001775336</v>
      </c>
      <c r="C80" t="s">
        <v>229</v>
      </c>
      <c r="D80" t="s">
        <v>10</v>
      </c>
      <c r="E80" t="s">
        <v>230</v>
      </c>
      <c r="F80">
        <v>12</v>
      </c>
      <c r="G80" t="s">
        <v>228</v>
      </c>
      <c r="H80" t="str">
        <f>HYPERLINK("http://service.sap.com/sap/support/notes/0001864096","0001864096")</f>
        <v>0001864096</v>
      </c>
      <c r="I80" t="s">
        <v>231</v>
      </c>
      <c r="J80">
        <v>1</v>
      </c>
      <c r="K80" t="s">
        <v>13</v>
      </c>
    </row>
    <row r="81" spans="1:11" x14ac:dyDescent="0.25">
      <c r="A81" t="s">
        <v>228</v>
      </c>
      <c r="B81" t="str">
        <f>HYPERLINK("http://service.sap.com/sap/support/notes/0001998890","0001998890")</f>
        <v>0001998890</v>
      </c>
      <c r="C81" t="s">
        <v>232</v>
      </c>
      <c r="D81" t="s">
        <v>10</v>
      </c>
      <c r="E81" t="s">
        <v>233</v>
      </c>
      <c r="F81">
        <v>6</v>
      </c>
      <c r="G81" t="s">
        <v>228</v>
      </c>
      <c r="H81" t="str">
        <f>HYPERLINK("http://service.sap.com/sap/support/notes/0002071988","0002071988")</f>
        <v>0002071988</v>
      </c>
      <c r="I81" t="s">
        <v>234</v>
      </c>
      <c r="J81">
        <v>1</v>
      </c>
      <c r="K81" t="s">
        <v>47</v>
      </c>
    </row>
    <row r="82" spans="1:11" x14ac:dyDescent="0.25">
      <c r="A82" t="s">
        <v>228</v>
      </c>
      <c r="B82" t="str">
        <f>HYPERLINK("http://service.sap.com/sap/support/notes/0001998890","0001998890")</f>
        <v>0001998890</v>
      </c>
      <c r="C82" t="s">
        <v>232</v>
      </c>
      <c r="D82" t="s">
        <v>10</v>
      </c>
      <c r="E82" t="s">
        <v>230</v>
      </c>
      <c r="F82">
        <v>6</v>
      </c>
      <c r="G82" t="s">
        <v>228</v>
      </c>
      <c r="H82" t="str">
        <f>HYPERLINK("http://service.sap.com/sap/support/notes/0002071988","0002071988")</f>
        <v>0002071988</v>
      </c>
      <c r="I82" t="s">
        <v>234</v>
      </c>
      <c r="J82">
        <v>1</v>
      </c>
      <c r="K82" t="s">
        <v>47</v>
      </c>
    </row>
    <row r="83" spans="1:11" x14ac:dyDescent="0.25">
      <c r="A83" t="s">
        <v>235</v>
      </c>
      <c r="B83" t="str">
        <f>HYPERLINK("http://service.sap.com/sap/support/notes/0002032635","0002032635")</f>
        <v>0002032635</v>
      </c>
      <c r="C83" t="s">
        <v>236</v>
      </c>
      <c r="D83" t="s">
        <v>10</v>
      </c>
      <c r="E83" t="s">
        <v>233</v>
      </c>
      <c r="F83">
        <v>2</v>
      </c>
      <c r="G83" t="s">
        <v>235</v>
      </c>
      <c r="H83" t="str">
        <f>HYPERLINK("http://service.sap.com/sap/support/notes/0002068862","0002068862")</f>
        <v>0002068862</v>
      </c>
      <c r="I83" t="s">
        <v>237</v>
      </c>
      <c r="J83">
        <v>1</v>
      </c>
      <c r="K83" t="s">
        <v>13</v>
      </c>
    </row>
    <row r="84" spans="1:11" x14ac:dyDescent="0.25">
      <c r="A84" t="s">
        <v>238</v>
      </c>
      <c r="B84" t="str">
        <f>HYPERLINK("http://service.sap.com/sap/support/notes/0001983277","0001983277")</f>
        <v>0001983277</v>
      </c>
      <c r="C84" t="s">
        <v>239</v>
      </c>
      <c r="D84" t="s">
        <v>10</v>
      </c>
      <c r="E84" t="s">
        <v>240</v>
      </c>
      <c r="F84">
        <v>1</v>
      </c>
      <c r="G84" t="s">
        <v>238</v>
      </c>
      <c r="H84" t="str">
        <f>HYPERLINK("http://service.sap.com/sap/support/notes/0002077679","0002077679")</f>
        <v>0002077679</v>
      </c>
      <c r="I84" t="s">
        <v>241</v>
      </c>
      <c r="J84">
        <v>1</v>
      </c>
      <c r="K84" t="s">
        <v>13</v>
      </c>
    </row>
    <row r="85" spans="1:11" x14ac:dyDescent="0.25">
      <c r="A85" t="s">
        <v>242</v>
      </c>
      <c r="B85" t="str">
        <f>HYPERLINK("http://service.sap.com/sap/support/notes/0001965959","0001965959")</f>
        <v>0001965959</v>
      </c>
      <c r="C85" t="s">
        <v>243</v>
      </c>
      <c r="D85" t="s">
        <v>10</v>
      </c>
      <c r="E85" t="s">
        <v>240</v>
      </c>
      <c r="F85">
        <v>2</v>
      </c>
      <c r="G85" t="s">
        <v>224</v>
      </c>
      <c r="H85" t="str">
        <f>HYPERLINK("http://service.sap.com/sap/support/notes/0002068075","0002068075")</f>
        <v>0002068075</v>
      </c>
      <c r="I85" t="s">
        <v>244</v>
      </c>
      <c r="J85">
        <v>1</v>
      </c>
      <c r="K85" t="s">
        <v>13</v>
      </c>
    </row>
    <row r="86" spans="1:11" x14ac:dyDescent="0.25">
      <c r="A86" t="s">
        <v>245</v>
      </c>
      <c r="B86" t="str">
        <f>HYPERLINK("http://service.sap.com/sap/support/notes/0001903901","0001903901")</f>
        <v>0001903901</v>
      </c>
      <c r="C86" t="s">
        <v>246</v>
      </c>
      <c r="D86" t="s">
        <v>10</v>
      </c>
      <c r="E86" t="s">
        <v>247</v>
      </c>
      <c r="F86">
        <v>3</v>
      </c>
      <c r="G86" t="s">
        <v>245</v>
      </c>
      <c r="H86" t="str">
        <f>HYPERLINK("http://service.sap.com/sap/support/notes/0002035085","0002035085")</f>
        <v>0002035085</v>
      </c>
      <c r="I86" t="s">
        <v>248</v>
      </c>
      <c r="J86">
        <v>3</v>
      </c>
      <c r="K86" t="s">
        <v>13</v>
      </c>
    </row>
    <row r="87" spans="1:11" x14ac:dyDescent="0.25">
      <c r="A87" t="s">
        <v>249</v>
      </c>
      <c r="B87" t="str">
        <f>HYPERLINK("http://service.sap.com/sap/support/notes/0002017885","0002017885")</f>
        <v>0002017885</v>
      </c>
      <c r="C87" t="s">
        <v>250</v>
      </c>
      <c r="D87" t="s">
        <v>10</v>
      </c>
      <c r="E87" t="s">
        <v>223</v>
      </c>
      <c r="F87">
        <v>1</v>
      </c>
      <c r="G87" t="s">
        <v>249</v>
      </c>
      <c r="H87" t="str">
        <f>HYPERLINK("http://service.sap.com/sap/support/notes/0002026590","0002026590")</f>
        <v>0002026590</v>
      </c>
      <c r="I87" t="s">
        <v>251</v>
      </c>
      <c r="J87">
        <v>1</v>
      </c>
      <c r="K87" t="s">
        <v>13</v>
      </c>
    </row>
    <row r="88" spans="1:11" x14ac:dyDescent="0.25">
      <c r="A88" t="s">
        <v>252</v>
      </c>
      <c r="B88" t="str">
        <f>HYPERLINK("http://service.sap.com/sap/support/notes/0001883498","0001883498")</f>
        <v>0001883498</v>
      </c>
      <c r="C88" t="s">
        <v>253</v>
      </c>
      <c r="D88" t="s">
        <v>10</v>
      </c>
      <c r="E88" t="s">
        <v>247</v>
      </c>
      <c r="F88">
        <v>5</v>
      </c>
      <c r="G88" t="s">
        <v>254</v>
      </c>
      <c r="H88" t="str">
        <f>HYPERLINK("http://service.sap.com/sap/support/notes/0002040337","0002040337")</f>
        <v>0002040337</v>
      </c>
      <c r="I88" t="s">
        <v>255</v>
      </c>
      <c r="J88">
        <v>1</v>
      </c>
      <c r="K88" t="s">
        <v>13</v>
      </c>
    </row>
    <row r="89" spans="1:11" x14ac:dyDescent="0.25">
      <c r="A89" t="s">
        <v>252</v>
      </c>
      <c r="B89" t="str">
        <f>HYPERLINK("http://service.sap.com/sap/support/notes/0001923387","0001923387")</f>
        <v>0001923387</v>
      </c>
      <c r="C89" t="s">
        <v>256</v>
      </c>
      <c r="D89" t="s">
        <v>10</v>
      </c>
      <c r="E89" t="s">
        <v>219</v>
      </c>
      <c r="F89">
        <v>1</v>
      </c>
      <c r="G89" t="s">
        <v>252</v>
      </c>
      <c r="H89" t="str">
        <f>HYPERLINK("http://service.sap.com/sap/support/notes/0002044823","0002044823")</f>
        <v>0002044823</v>
      </c>
      <c r="I89" t="s">
        <v>257</v>
      </c>
      <c r="J89">
        <v>1</v>
      </c>
      <c r="K89" t="s">
        <v>13</v>
      </c>
    </row>
    <row r="90" spans="1:11" x14ac:dyDescent="0.25">
      <c r="A90" t="s">
        <v>252</v>
      </c>
      <c r="B90" t="str">
        <f>HYPERLINK("http://service.sap.com/sap/support/notes/0001927089","0001927089")</f>
        <v>0001927089</v>
      </c>
      <c r="C90" t="s">
        <v>258</v>
      </c>
      <c r="D90" t="s">
        <v>10</v>
      </c>
      <c r="E90" t="s">
        <v>219</v>
      </c>
      <c r="F90">
        <v>3</v>
      </c>
      <c r="G90" t="s">
        <v>252</v>
      </c>
      <c r="H90" t="str">
        <f>HYPERLINK("http://service.sap.com/sap/support/notes/0002038179","0002038179")</f>
        <v>0002038179</v>
      </c>
      <c r="I90" t="s">
        <v>259</v>
      </c>
      <c r="J90">
        <v>1</v>
      </c>
      <c r="K90" t="s">
        <v>13</v>
      </c>
    </row>
    <row r="91" spans="1:11" x14ac:dyDescent="0.25">
      <c r="A91" t="s">
        <v>252</v>
      </c>
      <c r="B91" t="str">
        <f>HYPERLINK("http://service.sap.com/sap/support/notes/0001944692","0001944692")</f>
        <v>0001944692</v>
      </c>
      <c r="C91" t="s">
        <v>260</v>
      </c>
      <c r="D91" t="s">
        <v>10</v>
      </c>
      <c r="E91" t="s">
        <v>223</v>
      </c>
      <c r="F91">
        <v>1</v>
      </c>
      <c r="G91" t="s">
        <v>261</v>
      </c>
      <c r="H91" t="str">
        <f>HYPERLINK("http://service.sap.com/sap/support/notes/0001978933","0001978933")</f>
        <v>0001978933</v>
      </c>
      <c r="I91" t="s">
        <v>262</v>
      </c>
      <c r="J91">
        <v>1</v>
      </c>
      <c r="K91" t="s">
        <v>47</v>
      </c>
    </row>
    <row r="92" spans="1:11" x14ac:dyDescent="0.25">
      <c r="A92" t="s">
        <v>252</v>
      </c>
      <c r="B92" t="str">
        <f>HYPERLINK("http://service.sap.com/sap/support/notes/0002001139","0002001139")</f>
        <v>0002001139</v>
      </c>
      <c r="C92" t="s">
        <v>263</v>
      </c>
      <c r="D92" t="s">
        <v>10</v>
      </c>
      <c r="E92" t="s">
        <v>240</v>
      </c>
      <c r="F92">
        <v>1</v>
      </c>
      <c r="G92" t="s">
        <v>252</v>
      </c>
      <c r="H92" t="str">
        <f>HYPERLINK("http://service.sap.com/sap/support/notes/0002049461","0002049461")</f>
        <v>0002049461</v>
      </c>
      <c r="I92" t="s">
        <v>264</v>
      </c>
      <c r="J92">
        <v>1</v>
      </c>
      <c r="K92" t="s">
        <v>47</v>
      </c>
    </row>
    <row r="93" spans="1:11" x14ac:dyDescent="0.25">
      <c r="A93" t="s">
        <v>252</v>
      </c>
      <c r="B93" t="str">
        <f>HYPERLINK("http://service.sap.com/sap/support/notes/0002018900","0002018900")</f>
        <v>0002018900</v>
      </c>
      <c r="C93" t="s">
        <v>265</v>
      </c>
      <c r="D93" t="s">
        <v>10</v>
      </c>
      <c r="E93" t="s">
        <v>223</v>
      </c>
      <c r="F93">
        <v>2</v>
      </c>
      <c r="G93" t="s">
        <v>252</v>
      </c>
      <c r="H93" t="str">
        <f>HYPERLINK("http://service.sap.com/sap/support/notes/0002044383","0002044383")</f>
        <v>0002044383</v>
      </c>
      <c r="I93" t="s">
        <v>266</v>
      </c>
      <c r="J93">
        <v>1</v>
      </c>
      <c r="K93" t="s">
        <v>13</v>
      </c>
    </row>
    <row r="94" spans="1:11" x14ac:dyDescent="0.25">
      <c r="A94" t="s">
        <v>267</v>
      </c>
      <c r="B94" t="str">
        <f>HYPERLINK("http://service.sap.com/sap/support/notes/0001881423","0001881423")</f>
        <v>0001881423</v>
      </c>
      <c r="C94" t="s">
        <v>268</v>
      </c>
      <c r="D94" t="s">
        <v>10</v>
      </c>
      <c r="E94" t="s">
        <v>247</v>
      </c>
      <c r="F94">
        <v>3</v>
      </c>
      <c r="G94" t="s">
        <v>267</v>
      </c>
      <c r="H94" t="str">
        <f>HYPERLINK("http://service.sap.com/sap/support/notes/0001923018","0001923018")</f>
        <v>0001923018</v>
      </c>
      <c r="I94" t="s">
        <v>269</v>
      </c>
      <c r="J94">
        <v>1</v>
      </c>
      <c r="K94" t="s">
        <v>13</v>
      </c>
    </row>
    <row r="95" spans="1:11" x14ac:dyDescent="0.25">
      <c r="A95" t="s">
        <v>270</v>
      </c>
      <c r="B95" t="str">
        <f>HYPERLINK("http://service.sap.com/sap/support/notes/0002029964","0002029964")</f>
        <v>0002029964</v>
      </c>
      <c r="C95" t="s">
        <v>271</v>
      </c>
      <c r="D95" t="s">
        <v>10</v>
      </c>
      <c r="E95" t="s">
        <v>223</v>
      </c>
      <c r="F95">
        <v>1</v>
      </c>
      <c r="G95" t="s">
        <v>270</v>
      </c>
      <c r="H95" t="str">
        <f>HYPERLINK("http://service.sap.com/sap/support/notes/0002033692","0002033692")</f>
        <v>0002033692</v>
      </c>
      <c r="I95" t="s">
        <v>272</v>
      </c>
      <c r="J95">
        <v>1</v>
      </c>
      <c r="K95" t="s">
        <v>13</v>
      </c>
    </row>
    <row r="96" spans="1:11" x14ac:dyDescent="0.25">
      <c r="A96" t="s">
        <v>273</v>
      </c>
      <c r="B96" t="str">
        <f>HYPERLINK("http://service.sap.com/sap/support/notes/0001925288","0001925288")</f>
        <v>0001925288</v>
      </c>
      <c r="C96" t="s">
        <v>274</v>
      </c>
      <c r="D96" t="s">
        <v>10</v>
      </c>
      <c r="E96" t="s">
        <v>219</v>
      </c>
      <c r="F96">
        <v>5</v>
      </c>
      <c r="G96" t="s">
        <v>273</v>
      </c>
      <c r="H96" t="str">
        <f>HYPERLINK("http://service.sap.com/sap/support/notes/0001937532","0001937532")</f>
        <v>0001937532</v>
      </c>
      <c r="I96" t="s">
        <v>274</v>
      </c>
      <c r="J96">
        <v>1</v>
      </c>
      <c r="K96" t="s">
        <v>13</v>
      </c>
    </row>
    <row r="97" spans="1:11" x14ac:dyDescent="0.25">
      <c r="A97" t="s">
        <v>275</v>
      </c>
      <c r="B97" t="str">
        <f>HYPERLINK("http://service.sap.com/sap/support/notes/0001931401","0001931401")</f>
        <v>0001931401</v>
      </c>
      <c r="C97" t="s">
        <v>276</v>
      </c>
      <c r="D97" t="s">
        <v>10</v>
      </c>
      <c r="E97" t="s">
        <v>219</v>
      </c>
      <c r="F97">
        <v>1</v>
      </c>
      <c r="G97" t="s">
        <v>275</v>
      </c>
      <c r="H97" t="str">
        <f>HYPERLINK("http://service.sap.com/sap/support/notes/0001934992","0001934992")</f>
        <v>0001934992</v>
      </c>
      <c r="I97" t="s">
        <v>277</v>
      </c>
      <c r="J97">
        <v>1</v>
      </c>
      <c r="K97" t="s">
        <v>13</v>
      </c>
    </row>
    <row r="98" spans="1:11" x14ac:dyDescent="0.25">
      <c r="A98" t="s">
        <v>275</v>
      </c>
      <c r="B98" t="str">
        <f>HYPERLINK("http://service.sap.com/sap/support/notes/0002028499","0002028499")</f>
        <v>0002028499</v>
      </c>
      <c r="C98" t="s">
        <v>278</v>
      </c>
      <c r="D98" t="s">
        <v>10</v>
      </c>
      <c r="E98" t="s">
        <v>223</v>
      </c>
      <c r="F98">
        <v>1</v>
      </c>
      <c r="G98" t="s">
        <v>275</v>
      </c>
      <c r="H98" t="str">
        <f>HYPERLINK("http://service.sap.com/sap/support/notes/0002039449","0002039449")</f>
        <v>0002039449</v>
      </c>
      <c r="I98" t="s">
        <v>279</v>
      </c>
      <c r="J98">
        <v>1</v>
      </c>
      <c r="K98" t="s">
        <v>13</v>
      </c>
    </row>
    <row r="99" spans="1:11" x14ac:dyDescent="0.25">
      <c r="A99" t="s">
        <v>280</v>
      </c>
      <c r="B99" t="str">
        <f>HYPERLINK("http://service.sap.com/sap/support/notes/0001838299","0001838299")</f>
        <v>0001838299</v>
      </c>
      <c r="C99" t="s">
        <v>281</v>
      </c>
      <c r="D99" t="s">
        <v>10</v>
      </c>
      <c r="E99" t="s">
        <v>247</v>
      </c>
      <c r="F99">
        <v>2</v>
      </c>
      <c r="G99" t="s">
        <v>280</v>
      </c>
      <c r="H99" t="str">
        <f>HYPERLINK("http://service.sap.com/sap/support/notes/0001900656","0001900656")</f>
        <v>0001900656</v>
      </c>
      <c r="I99" t="s">
        <v>282</v>
      </c>
      <c r="J99">
        <v>1</v>
      </c>
      <c r="K99" t="s">
        <v>47</v>
      </c>
    </row>
    <row r="100" spans="1:11" x14ac:dyDescent="0.25">
      <c r="A100" t="s">
        <v>280</v>
      </c>
      <c r="B100" t="str">
        <f>HYPERLINK("http://service.sap.com/sap/support/notes/0001927318","0001927318")</f>
        <v>0001927318</v>
      </c>
      <c r="C100" t="s">
        <v>283</v>
      </c>
      <c r="D100" t="s">
        <v>10</v>
      </c>
      <c r="E100" t="s">
        <v>240</v>
      </c>
      <c r="F100">
        <v>3</v>
      </c>
      <c r="G100" t="s">
        <v>280</v>
      </c>
      <c r="H100" t="str">
        <f>HYPERLINK("http://service.sap.com/sap/support/notes/0002017099","0002017099")</f>
        <v>0002017099</v>
      </c>
      <c r="I100" t="s">
        <v>284</v>
      </c>
      <c r="J100">
        <v>1</v>
      </c>
      <c r="K100" t="s">
        <v>13</v>
      </c>
    </row>
    <row r="101" spans="1:11" x14ac:dyDescent="0.25">
      <c r="A101" t="s">
        <v>280</v>
      </c>
      <c r="B101" t="str">
        <f>HYPERLINK("http://service.sap.com/sap/support/notes/0001991063","0001991063")</f>
        <v>0001991063</v>
      </c>
      <c r="C101" t="s">
        <v>285</v>
      </c>
      <c r="D101" t="s">
        <v>10</v>
      </c>
      <c r="E101" t="s">
        <v>240</v>
      </c>
      <c r="F101">
        <v>2</v>
      </c>
      <c r="G101" t="s">
        <v>280</v>
      </c>
      <c r="H101" t="str">
        <f>HYPERLINK("http://service.sap.com/sap/support/notes/0002058729","0002058729")</f>
        <v>0002058729</v>
      </c>
      <c r="I101" t="s">
        <v>286</v>
      </c>
      <c r="J101">
        <v>1</v>
      </c>
      <c r="K101" t="s">
        <v>13</v>
      </c>
    </row>
    <row r="102" spans="1:11" x14ac:dyDescent="0.25">
      <c r="A102" t="s">
        <v>287</v>
      </c>
      <c r="B102" t="str">
        <f>HYPERLINK("http://service.sap.com/sap/support/notes/0001947385","0001947385")</f>
        <v>0001947385</v>
      </c>
      <c r="C102" t="s">
        <v>288</v>
      </c>
      <c r="D102" t="s">
        <v>10</v>
      </c>
      <c r="E102" t="s">
        <v>240</v>
      </c>
      <c r="F102">
        <v>7</v>
      </c>
      <c r="G102" t="s">
        <v>287</v>
      </c>
      <c r="H102" t="str">
        <f>HYPERLINK("http://service.sap.com/sap/support/notes/0002037410","0002037410")</f>
        <v>0002037410</v>
      </c>
      <c r="I102" t="s">
        <v>289</v>
      </c>
      <c r="J102">
        <v>1</v>
      </c>
      <c r="K102" t="s">
        <v>13</v>
      </c>
    </row>
    <row r="103" spans="1:11" x14ac:dyDescent="0.25">
      <c r="A103" t="s">
        <v>62</v>
      </c>
      <c r="B103" t="str">
        <f>HYPERLINK("http://service.sap.com/sap/support/notes/0001890790","0001890790")</f>
        <v>0001890790</v>
      </c>
      <c r="C103" t="s">
        <v>290</v>
      </c>
      <c r="D103" t="s">
        <v>10</v>
      </c>
      <c r="E103" t="s">
        <v>247</v>
      </c>
      <c r="F103">
        <v>2</v>
      </c>
      <c r="G103" t="s">
        <v>238</v>
      </c>
      <c r="H103" t="str">
        <f>HYPERLINK("http://service.sap.com/sap/support/notes/0001971524","0001971524")</f>
        <v>0001971524</v>
      </c>
      <c r="I103" t="s">
        <v>291</v>
      </c>
      <c r="J103">
        <v>1</v>
      </c>
      <c r="K103" t="s">
        <v>13</v>
      </c>
    </row>
    <row r="104" spans="1:11" x14ac:dyDescent="0.25">
      <c r="A104" t="s">
        <v>292</v>
      </c>
      <c r="B104" t="str">
        <f>HYPERLINK("http://service.sap.com/sap/support/notes/0002018434","0002018434")</f>
        <v>0002018434</v>
      </c>
      <c r="C104" t="s">
        <v>293</v>
      </c>
      <c r="D104" t="s">
        <v>10</v>
      </c>
      <c r="E104" t="s">
        <v>223</v>
      </c>
      <c r="F104">
        <v>1</v>
      </c>
      <c r="G104" t="s">
        <v>292</v>
      </c>
      <c r="H104" t="str">
        <f>HYPERLINK("http://service.sap.com/sap/support/notes/0002031418","0002031418")</f>
        <v>0002031418</v>
      </c>
      <c r="I104" t="s">
        <v>294</v>
      </c>
      <c r="J104">
        <v>1</v>
      </c>
      <c r="K104" t="s">
        <v>13</v>
      </c>
    </row>
    <row r="105" spans="1:11" x14ac:dyDescent="0.25">
      <c r="A105" t="s">
        <v>295</v>
      </c>
      <c r="B105" t="str">
        <f>HYPERLINK("http://service.sap.com/sap/support/notes/0001947644","0001947644")</f>
        <v>0001947644</v>
      </c>
      <c r="C105" t="s">
        <v>296</v>
      </c>
      <c r="D105" t="s">
        <v>10</v>
      </c>
      <c r="E105" t="s">
        <v>219</v>
      </c>
      <c r="F105">
        <v>2</v>
      </c>
      <c r="G105" t="s">
        <v>295</v>
      </c>
      <c r="H105" t="str">
        <f>HYPERLINK("http://service.sap.com/sap/support/notes/0001868456","0001868456")</f>
        <v>0001868456</v>
      </c>
      <c r="I105" t="s">
        <v>297</v>
      </c>
      <c r="J105">
        <v>1</v>
      </c>
      <c r="K105" t="s">
        <v>13</v>
      </c>
    </row>
    <row r="106" spans="1:11" x14ac:dyDescent="0.25">
      <c r="A106" t="s">
        <v>295</v>
      </c>
      <c r="B106" t="str">
        <f>HYPERLINK("http://service.sap.com/sap/support/notes/0001947989","0001947989")</f>
        <v>0001947989</v>
      </c>
      <c r="C106" t="s">
        <v>298</v>
      </c>
      <c r="D106" t="s">
        <v>10</v>
      </c>
      <c r="E106" t="s">
        <v>219</v>
      </c>
      <c r="F106">
        <v>1</v>
      </c>
      <c r="G106" t="s">
        <v>295</v>
      </c>
      <c r="H106" t="str">
        <f>HYPERLINK("http://service.sap.com/sap/support/notes/0002035229","0002035229")</f>
        <v>0002035229</v>
      </c>
      <c r="I106" t="s">
        <v>299</v>
      </c>
      <c r="J106">
        <v>2</v>
      </c>
      <c r="K106" t="s">
        <v>13</v>
      </c>
    </row>
    <row r="107" spans="1:11" x14ac:dyDescent="0.25">
      <c r="A107" t="s">
        <v>295</v>
      </c>
      <c r="B107" t="str">
        <f>HYPERLINK("http://service.sap.com/sap/support/notes/0001964242","0001964242")</f>
        <v>0001964242</v>
      </c>
      <c r="C107" t="s">
        <v>300</v>
      </c>
      <c r="D107" t="s">
        <v>10</v>
      </c>
      <c r="E107" t="s">
        <v>223</v>
      </c>
      <c r="F107">
        <v>4</v>
      </c>
      <c r="G107" t="s">
        <v>295</v>
      </c>
      <c r="H107" t="str">
        <f>HYPERLINK("http://service.sap.com/sap/support/notes/0002074461","0002074461")</f>
        <v>0002074461</v>
      </c>
      <c r="I107" t="s">
        <v>301</v>
      </c>
      <c r="J107">
        <v>5</v>
      </c>
      <c r="K107" t="s">
        <v>13</v>
      </c>
    </row>
    <row r="108" spans="1:11" x14ac:dyDescent="0.25">
      <c r="A108" t="s">
        <v>295</v>
      </c>
      <c r="B108" t="str">
        <f>HYPERLINK("http://service.sap.com/sap/support/notes/0001983771","0001983771")</f>
        <v>0001983771</v>
      </c>
      <c r="C108" t="s">
        <v>302</v>
      </c>
      <c r="D108" t="s">
        <v>10</v>
      </c>
      <c r="E108" t="s">
        <v>240</v>
      </c>
      <c r="F108">
        <v>5</v>
      </c>
      <c r="G108" t="s">
        <v>295</v>
      </c>
      <c r="H108" t="str">
        <f>HYPERLINK("http://service.sap.com/sap/support/notes/0002085092","0002085092")</f>
        <v>0002085092</v>
      </c>
      <c r="I108" t="s">
        <v>303</v>
      </c>
      <c r="J108">
        <v>1</v>
      </c>
      <c r="K108" t="s">
        <v>13</v>
      </c>
    </row>
    <row r="109" spans="1:11" x14ac:dyDescent="0.25">
      <c r="A109" t="s">
        <v>295</v>
      </c>
      <c r="B109" t="str">
        <f>HYPERLINK("http://service.sap.com/sap/support/notes/0002006688","0002006688")</f>
        <v>0002006688</v>
      </c>
      <c r="C109" t="s">
        <v>304</v>
      </c>
      <c r="D109" t="s">
        <v>10</v>
      </c>
      <c r="E109" t="s">
        <v>223</v>
      </c>
      <c r="F109">
        <v>2</v>
      </c>
      <c r="G109" t="s">
        <v>295</v>
      </c>
      <c r="H109" t="str">
        <f>HYPERLINK("http://service.sap.com/sap/support/notes/0002037459","0002037459")</f>
        <v>0002037459</v>
      </c>
      <c r="I109" t="s">
        <v>305</v>
      </c>
      <c r="J109">
        <v>1</v>
      </c>
      <c r="K109" t="s">
        <v>13</v>
      </c>
    </row>
    <row r="110" spans="1:11" x14ac:dyDescent="0.25">
      <c r="A110" t="s">
        <v>306</v>
      </c>
      <c r="B110" t="str">
        <f>HYPERLINK("http://service.sap.com/sap/support/notes/0001934513","0001934513")</f>
        <v>0001934513</v>
      </c>
      <c r="C110" t="s">
        <v>307</v>
      </c>
      <c r="D110" t="s">
        <v>10</v>
      </c>
      <c r="E110" t="s">
        <v>219</v>
      </c>
      <c r="F110">
        <v>1</v>
      </c>
      <c r="G110" t="s">
        <v>306</v>
      </c>
      <c r="H110" t="str">
        <f>HYPERLINK("http://service.sap.com/sap/support/notes/0002035507","0002035507")</f>
        <v>0002035507</v>
      </c>
      <c r="I110" t="s">
        <v>308</v>
      </c>
      <c r="J110">
        <v>1</v>
      </c>
      <c r="K110" t="s">
        <v>13</v>
      </c>
    </row>
    <row r="111" spans="1:11" x14ac:dyDescent="0.25">
      <c r="A111" t="s">
        <v>309</v>
      </c>
      <c r="B111" t="str">
        <f>HYPERLINK("http://service.sap.com/sap/support/notes/0001907965","0001907965")</f>
        <v>0001907965</v>
      </c>
      <c r="C111" t="s">
        <v>310</v>
      </c>
      <c r="D111" t="s">
        <v>10</v>
      </c>
      <c r="E111" t="s">
        <v>247</v>
      </c>
      <c r="F111">
        <v>4</v>
      </c>
      <c r="G111" t="s">
        <v>309</v>
      </c>
      <c r="H111" t="str">
        <f>HYPERLINK("http://service.sap.com/sap/support/notes/0002037940","0002037940")</f>
        <v>0002037940</v>
      </c>
      <c r="I111" t="s">
        <v>311</v>
      </c>
      <c r="J111">
        <v>1</v>
      </c>
      <c r="K111" t="s">
        <v>13</v>
      </c>
    </row>
    <row r="112" spans="1:11" x14ac:dyDescent="0.25">
      <c r="A112" t="s">
        <v>309</v>
      </c>
      <c r="B112" t="str">
        <f>HYPERLINK("http://service.sap.com/sap/support/notes/0001947246","0001947246")</f>
        <v>0001947246</v>
      </c>
      <c r="C112" t="s">
        <v>312</v>
      </c>
      <c r="D112" t="s">
        <v>10</v>
      </c>
      <c r="E112" t="s">
        <v>219</v>
      </c>
      <c r="F112">
        <v>1</v>
      </c>
      <c r="G112" t="s">
        <v>309</v>
      </c>
      <c r="H112" t="str">
        <f>HYPERLINK("http://service.sap.com/sap/support/notes/0002009927","0002009927")</f>
        <v>0002009927</v>
      </c>
      <c r="I112" t="s">
        <v>313</v>
      </c>
      <c r="J112">
        <v>1</v>
      </c>
      <c r="K112" t="s">
        <v>47</v>
      </c>
    </row>
    <row r="113" spans="1:11" x14ac:dyDescent="0.25">
      <c r="A113" t="s">
        <v>309</v>
      </c>
      <c r="B113" t="str">
        <f>HYPERLINK("http://service.sap.com/sap/support/notes/0001996415","0001996415")</f>
        <v>0001996415</v>
      </c>
      <c r="C113" t="s">
        <v>314</v>
      </c>
      <c r="D113" t="s">
        <v>10</v>
      </c>
      <c r="E113" t="s">
        <v>223</v>
      </c>
      <c r="F113">
        <v>5</v>
      </c>
      <c r="G113" t="s">
        <v>309</v>
      </c>
      <c r="H113" t="str">
        <f>HYPERLINK("http://service.sap.com/sap/support/notes/0002031572","0002031572")</f>
        <v>0002031572</v>
      </c>
      <c r="I113" t="s">
        <v>315</v>
      </c>
      <c r="J113">
        <v>1</v>
      </c>
      <c r="K113" t="s">
        <v>13</v>
      </c>
    </row>
    <row r="114" spans="1:11" x14ac:dyDescent="0.25">
      <c r="A114" t="s">
        <v>316</v>
      </c>
      <c r="B114" t="str">
        <f>HYPERLINK("http://service.sap.com/sap/support/notes/0001855246","0001855246")</f>
        <v>0001855246</v>
      </c>
      <c r="C114" t="s">
        <v>317</v>
      </c>
      <c r="D114" t="s">
        <v>10</v>
      </c>
      <c r="E114" t="s">
        <v>223</v>
      </c>
      <c r="F114">
        <v>14</v>
      </c>
      <c r="G114" t="s">
        <v>316</v>
      </c>
      <c r="H114" t="str">
        <f>HYPERLINK("http://service.sap.com/sap/support/notes/0001873727","0001873727")</f>
        <v>0001873727</v>
      </c>
      <c r="I114" t="s">
        <v>318</v>
      </c>
      <c r="J114">
        <v>1</v>
      </c>
      <c r="K114" t="s">
        <v>13</v>
      </c>
    </row>
    <row r="115" spans="1:11" x14ac:dyDescent="0.25">
      <c r="A115" t="s">
        <v>319</v>
      </c>
      <c r="B115" t="str">
        <f>HYPERLINK("http://service.sap.com/sap/support/notes/0001992314","0001992314")</f>
        <v>0001992314</v>
      </c>
      <c r="C115" t="s">
        <v>320</v>
      </c>
      <c r="D115" t="s">
        <v>10</v>
      </c>
      <c r="E115" t="s">
        <v>223</v>
      </c>
      <c r="F115">
        <v>2</v>
      </c>
      <c r="G115" t="s">
        <v>319</v>
      </c>
      <c r="H115" t="str">
        <f>HYPERLINK("http://service.sap.com/sap/support/notes/0002046467","0002046467")</f>
        <v>0002046467</v>
      </c>
      <c r="I115" t="s">
        <v>321</v>
      </c>
      <c r="J115">
        <v>1</v>
      </c>
      <c r="K115" t="s">
        <v>47</v>
      </c>
    </row>
    <row r="116" spans="1:11" x14ac:dyDescent="0.25">
      <c r="A116" t="s">
        <v>322</v>
      </c>
      <c r="B116" t="str">
        <f>HYPERLINK("http://service.sap.com/sap/support/notes/0001932476","0001932476")</f>
        <v>0001932476</v>
      </c>
      <c r="C116" t="s">
        <v>323</v>
      </c>
      <c r="D116" t="s">
        <v>10</v>
      </c>
      <c r="E116" t="s">
        <v>324</v>
      </c>
      <c r="F116">
        <v>1</v>
      </c>
      <c r="G116" t="s">
        <v>325</v>
      </c>
      <c r="H116" t="str">
        <f>HYPERLINK("http://service.sap.com/sap/support/notes/0002019517","0002019517")</f>
        <v>0002019517</v>
      </c>
      <c r="I116" t="s">
        <v>326</v>
      </c>
      <c r="J116">
        <v>1</v>
      </c>
      <c r="K116" t="s">
        <v>13</v>
      </c>
    </row>
    <row r="117" spans="1:11" x14ac:dyDescent="0.25">
      <c r="A117" t="s">
        <v>322</v>
      </c>
      <c r="B117" t="str">
        <f>HYPERLINK("http://service.sap.com/sap/support/notes/0001932476","0001932476")</f>
        <v>0001932476</v>
      </c>
      <c r="C117" t="s">
        <v>323</v>
      </c>
      <c r="D117" t="s">
        <v>10</v>
      </c>
      <c r="E117" t="s">
        <v>324</v>
      </c>
      <c r="F117">
        <v>1</v>
      </c>
      <c r="G117" t="s">
        <v>322</v>
      </c>
      <c r="H117" t="str">
        <f>HYPERLINK("http://service.sap.com/sap/support/notes/0002079029","0002079029")</f>
        <v>0002079029</v>
      </c>
      <c r="I117" t="s">
        <v>327</v>
      </c>
      <c r="J117">
        <v>1</v>
      </c>
      <c r="K117" t="s">
        <v>13</v>
      </c>
    </row>
    <row r="118" spans="1:11" x14ac:dyDescent="0.25">
      <c r="A118" t="s">
        <v>322</v>
      </c>
      <c r="B118" t="str">
        <f>HYPERLINK("http://service.sap.com/sap/support/notes/0001997828","0001997828")</f>
        <v>0001997828</v>
      </c>
      <c r="C118" t="s">
        <v>328</v>
      </c>
      <c r="D118" t="s">
        <v>10</v>
      </c>
      <c r="E118" t="s">
        <v>11</v>
      </c>
      <c r="F118">
        <v>3</v>
      </c>
      <c r="G118" t="s">
        <v>322</v>
      </c>
      <c r="H118" t="str">
        <f>HYPERLINK("http://service.sap.com/sap/support/notes/0002074662","0002074662")</f>
        <v>0002074662</v>
      </c>
      <c r="I118" t="s">
        <v>329</v>
      </c>
      <c r="J118">
        <v>1</v>
      </c>
      <c r="K118" t="s">
        <v>13</v>
      </c>
    </row>
    <row r="119" spans="1:11" x14ac:dyDescent="0.25">
      <c r="A119" t="s">
        <v>322</v>
      </c>
      <c r="B119" t="str">
        <f>HYPERLINK("http://service.sap.com/sap/support/notes/0002025465","0002025465")</f>
        <v>0002025465</v>
      </c>
      <c r="C119" t="s">
        <v>330</v>
      </c>
      <c r="D119" t="s">
        <v>10</v>
      </c>
      <c r="E119" t="s">
        <v>11</v>
      </c>
      <c r="F119">
        <v>1</v>
      </c>
      <c r="G119" t="s">
        <v>322</v>
      </c>
      <c r="H119" t="str">
        <f>HYPERLINK("http://service.sap.com/sap/support/notes/0002079029","0002079029")</f>
        <v>0002079029</v>
      </c>
      <c r="I119" t="s">
        <v>327</v>
      </c>
      <c r="J119">
        <v>1</v>
      </c>
      <c r="K119" t="s">
        <v>13</v>
      </c>
    </row>
    <row r="120" spans="1:11" x14ac:dyDescent="0.25">
      <c r="A120" t="s">
        <v>331</v>
      </c>
      <c r="B120" t="str">
        <f>HYPERLINK("http://service.sap.com/sap/support/notes/0001769640","0001769640")</f>
        <v>0001769640</v>
      </c>
      <c r="C120" t="s">
        <v>332</v>
      </c>
      <c r="D120" t="s">
        <v>10</v>
      </c>
      <c r="E120" t="s">
        <v>333</v>
      </c>
      <c r="F120">
        <v>6</v>
      </c>
      <c r="G120" t="s">
        <v>331</v>
      </c>
      <c r="H120" t="str">
        <f>HYPERLINK("http://service.sap.com/sap/support/notes/0002041677","0002041677")</f>
        <v>0002041677</v>
      </c>
      <c r="I120" t="s">
        <v>334</v>
      </c>
      <c r="J120">
        <v>1</v>
      </c>
      <c r="K120" t="s">
        <v>13</v>
      </c>
    </row>
    <row r="121" spans="1:11" x14ac:dyDescent="0.25">
      <c r="A121" t="s">
        <v>331</v>
      </c>
      <c r="B121" t="str">
        <f>HYPERLINK("http://service.sap.com/sap/support/notes/0001866570","0001866570")</f>
        <v>0001866570</v>
      </c>
      <c r="C121" t="s">
        <v>335</v>
      </c>
      <c r="D121" t="s">
        <v>10</v>
      </c>
      <c r="E121" t="s">
        <v>336</v>
      </c>
      <c r="F121">
        <v>4</v>
      </c>
      <c r="G121" t="s">
        <v>337</v>
      </c>
      <c r="H121" t="str">
        <f>HYPERLINK("http://service.sap.com/sap/support/notes/0001910354","0001910354")</f>
        <v>0001910354</v>
      </c>
      <c r="I121" t="s">
        <v>338</v>
      </c>
      <c r="J121">
        <v>1</v>
      </c>
      <c r="K121" t="s">
        <v>13</v>
      </c>
    </row>
    <row r="122" spans="1:11" x14ac:dyDescent="0.25">
      <c r="A122" t="s">
        <v>331</v>
      </c>
      <c r="B122" t="str">
        <f>HYPERLINK("http://service.sap.com/sap/support/notes/0001907076","0001907076")</f>
        <v>0001907076</v>
      </c>
      <c r="C122" t="s">
        <v>339</v>
      </c>
      <c r="D122" t="s">
        <v>10</v>
      </c>
      <c r="E122" t="s">
        <v>336</v>
      </c>
      <c r="F122">
        <v>2</v>
      </c>
      <c r="G122" t="s">
        <v>337</v>
      </c>
      <c r="H122" t="str">
        <f>HYPERLINK("http://service.sap.com/sap/support/notes/0001910354","0001910354")</f>
        <v>0001910354</v>
      </c>
      <c r="I122" t="s">
        <v>338</v>
      </c>
      <c r="J122">
        <v>1</v>
      </c>
      <c r="K122" t="s">
        <v>13</v>
      </c>
    </row>
    <row r="123" spans="1:11" x14ac:dyDescent="0.25">
      <c r="A123" t="s">
        <v>331</v>
      </c>
      <c r="B123" t="str">
        <f>HYPERLINK("http://service.sap.com/sap/support/notes/0001930262","0001930262")</f>
        <v>0001930262</v>
      </c>
      <c r="C123" t="s">
        <v>340</v>
      </c>
      <c r="D123" t="s">
        <v>10</v>
      </c>
      <c r="E123" t="s">
        <v>324</v>
      </c>
      <c r="F123">
        <v>4</v>
      </c>
      <c r="G123" t="s">
        <v>331</v>
      </c>
      <c r="H123" t="str">
        <f>HYPERLINK("http://service.sap.com/sap/support/notes/0001946576","0001946576")</f>
        <v>0001946576</v>
      </c>
      <c r="I123" t="s">
        <v>341</v>
      </c>
      <c r="J123">
        <v>1</v>
      </c>
      <c r="K123" t="s">
        <v>13</v>
      </c>
    </row>
    <row r="124" spans="1:11" x14ac:dyDescent="0.25">
      <c r="A124" t="s">
        <v>331</v>
      </c>
      <c r="B124" t="str">
        <f>HYPERLINK("http://service.sap.com/sap/support/notes/0001945584","0001945584")</f>
        <v>0001945584</v>
      </c>
      <c r="C124" t="s">
        <v>342</v>
      </c>
      <c r="D124" t="s">
        <v>10</v>
      </c>
      <c r="E124" t="s">
        <v>333</v>
      </c>
      <c r="F124">
        <v>2</v>
      </c>
      <c r="G124" t="s">
        <v>331</v>
      </c>
      <c r="H124" t="str">
        <f>HYPERLINK("http://service.sap.com/sap/support/notes/0002008534","0002008534")</f>
        <v>0002008534</v>
      </c>
      <c r="I124" t="s">
        <v>343</v>
      </c>
      <c r="J124">
        <v>1</v>
      </c>
      <c r="K124" t="s">
        <v>13</v>
      </c>
    </row>
    <row r="125" spans="1:11" x14ac:dyDescent="0.25">
      <c r="A125" t="s">
        <v>331</v>
      </c>
      <c r="B125" t="str">
        <f>HYPERLINK("http://service.sap.com/sap/support/notes/0001951373","0001951373")</f>
        <v>0001951373</v>
      </c>
      <c r="C125" t="s">
        <v>344</v>
      </c>
      <c r="D125" t="s">
        <v>10</v>
      </c>
      <c r="E125" t="s">
        <v>333</v>
      </c>
      <c r="F125">
        <v>3</v>
      </c>
      <c r="G125" t="s">
        <v>331</v>
      </c>
      <c r="H125" t="str">
        <f>HYPERLINK("http://service.sap.com/sap/support/notes/0002058566","0002058566")</f>
        <v>0002058566</v>
      </c>
      <c r="I125" t="s">
        <v>345</v>
      </c>
      <c r="J125">
        <v>1</v>
      </c>
      <c r="K125" t="s">
        <v>13</v>
      </c>
    </row>
    <row r="126" spans="1:11" x14ac:dyDescent="0.25">
      <c r="A126" t="s">
        <v>331</v>
      </c>
      <c r="B126" t="str">
        <f>HYPERLINK("http://service.sap.com/sap/support/notes/0001972687","0001972687")</f>
        <v>0001972687</v>
      </c>
      <c r="C126" t="s">
        <v>346</v>
      </c>
      <c r="D126" t="s">
        <v>10</v>
      </c>
      <c r="E126" t="s">
        <v>333</v>
      </c>
      <c r="F126">
        <v>4</v>
      </c>
      <c r="G126" t="s">
        <v>331</v>
      </c>
      <c r="H126" t="str">
        <f>HYPERLINK("http://service.sap.com/sap/support/notes/0002062451","0002062451")</f>
        <v>0002062451</v>
      </c>
      <c r="I126" t="s">
        <v>347</v>
      </c>
      <c r="J126">
        <v>1</v>
      </c>
      <c r="K126" t="s">
        <v>13</v>
      </c>
    </row>
    <row r="127" spans="1:11" x14ac:dyDescent="0.25">
      <c r="A127" t="s">
        <v>331</v>
      </c>
      <c r="B127" t="str">
        <f>HYPERLINK("http://service.sap.com/sap/support/notes/0001973681","0001973681")</f>
        <v>0001973681</v>
      </c>
      <c r="C127" t="s">
        <v>348</v>
      </c>
      <c r="D127" t="s">
        <v>10</v>
      </c>
      <c r="E127" t="s">
        <v>333</v>
      </c>
      <c r="F127">
        <v>8</v>
      </c>
      <c r="G127" t="s">
        <v>349</v>
      </c>
      <c r="H127" t="str">
        <f>HYPERLINK("http://service.sap.com/sap/support/notes/0002013585","0002013585")</f>
        <v>0002013585</v>
      </c>
      <c r="I127" t="s">
        <v>350</v>
      </c>
      <c r="J127">
        <v>1</v>
      </c>
      <c r="K127" t="s">
        <v>13</v>
      </c>
    </row>
    <row r="128" spans="1:11" x14ac:dyDescent="0.25">
      <c r="A128" t="s">
        <v>331</v>
      </c>
      <c r="B128" t="str">
        <f>HYPERLINK("http://service.sap.com/sap/support/notes/0001975496","0001975496")</f>
        <v>0001975496</v>
      </c>
      <c r="C128" t="s">
        <v>351</v>
      </c>
      <c r="D128" t="s">
        <v>10</v>
      </c>
      <c r="E128" t="s">
        <v>11</v>
      </c>
      <c r="F128">
        <v>4</v>
      </c>
      <c r="G128" t="s">
        <v>331</v>
      </c>
      <c r="H128" t="str">
        <f>HYPERLINK("http://service.sap.com/sap/support/notes/0002049004","0002049004")</f>
        <v>0002049004</v>
      </c>
      <c r="I128" t="s">
        <v>352</v>
      </c>
      <c r="J128">
        <v>1</v>
      </c>
      <c r="K128" t="s">
        <v>13</v>
      </c>
    </row>
    <row r="129" spans="1:11" x14ac:dyDescent="0.25">
      <c r="A129" t="s">
        <v>331</v>
      </c>
      <c r="B129" t="str">
        <f>HYPERLINK("http://service.sap.com/sap/support/notes/0001998971","0001998971")</f>
        <v>0001998971</v>
      </c>
      <c r="C129" t="s">
        <v>353</v>
      </c>
      <c r="D129" t="s">
        <v>10</v>
      </c>
      <c r="E129" t="s">
        <v>11</v>
      </c>
      <c r="F129">
        <v>1</v>
      </c>
      <c r="G129" t="s">
        <v>331</v>
      </c>
      <c r="H129" t="str">
        <f>HYPERLINK("http://service.sap.com/sap/support/notes/0002049004","0002049004")</f>
        <v>0002049004</v>
      </c>
      <c r="I129" t="s">
        <v>352</v>
      </c>
      <c r="J129">
        <v>1</v>
      </c>
      <c r="K129" t="s">
        <v>13</v>
      </c>
    </row>
    <row r="130" spans="1:11" x14ac:dyDescent="0.25">
      <c r="A130" t="s">
        <v>331</v>
      </c>
      <c r="B130" t="str">
        <f>HYPERLINK("http://service.sap.com/sap/support/notes/0001998971","0001998971")</f>
        <v>0001998971</v>
      </c>
      <c r="C130" t="s">
        <v>353</v>
      </c>
      <c r="D130" t="s">
        <v>10</v>
      </c>
      <c r="E130" t="s">
        <v>11</v>
      </c>
      <c r="F130">
        <v>1</v>
      </c>
      <c r="G130" t="s">
        <v>331</v>
      </c>
      <c r="H130" t="str">
        <f>HYPERLINK("http://service.sap.com/sap/support/notes/0002062451","0002062451")</f>
        <v>0002062451</v>
      </c>
      <c r="I130" t="s">
        <v>347</v>
      </c>
      <c r="J130">
        <v>1</v>
      </c>
      <c r="K130" t="s">
        <v>13</v>
      </c>
    </row>
    <row r="131" spans="1:11" x14ac:dyDescent="0.25">
      <c r="A131" t="s">
        <v>331</v>
      </c>
      <c r="B131" t="str">
        <f>HYPERLINK("http://service.sap.com/sap/support/notes/0001998971","0001998971")</f>
        <v>0001998971</v>
      </c>
      <c r="C131" t="s">
        <v>353</v>
      </c>
      <c r="D131" t="s">
        <v>10</v>
      </c>
      <c r="E131" t="s">
        <v>11</v>
      </c>
      <c r="F131">
        <v>1</v>
      </c>
      <c r="G131" t="s">
        <v>331</v>
      </c>
      <c r="H131" t="str">
        <f>HYPERLINK("http://service.sap.com/sap/support/notes/0002062965","0002062965")</f>
        <v>0002062965</v>
      </c>
      <c r="I131" t="s">
        <v>354</v>
      </c>
      <c r="J131">
        <v>1</v>
      </c>
      <c r="K131" t="s">
        <v>13</v>
      </c>
    </row>
    <row r="132" spans="1:11" x14ac:dyDescent="0.25">
      <c r="A132" t="s">
        <v>331</v>
      </c>
      <c r="B132" t="str">
        <f>HYPERLINK("http://service.sap.com/sap/support/notes/0002021716","0002021716")</f>
        <v>0002021716</v>
      </c>
      <c r="C132" t="s">
        <v>355</v>
      </c>
      <c r="D132" t="s">
        <v>10</v>
      </c>
      <c r="E132" t="s">
        <v>11</v>
      </c>
      <c r="F132">
        <v>1</v>
      </c>
      <c r="G132" t="s">
        <v>331</v>
      </c>
      <c r="H132" t="str">
        <f>HYPERLINK("http://service.sap.com/sap/support/notes/0002035753","0002035753")</f>
        <v>0002035753</v>
      </c>
      <c r="I132" t="s">
        <v>356</v>
      </c>
      <c r="J132">
        <v>1</v>
      </c>
      <c r="K132" t="s">
        <v>13</v>
      </c>
    </row>
    <row r="133" spans="1:11" x14ac:dyDescent="0.25">
      <c r="A133" t="s">
        <v>331</v>
      </c>
      <c r="B133" t="str">
        <f>HYPERLINK("http://service.sap.com/sap/support/notes/0002028970","0002028970")</f>
        <v>0002028970</v>
      </c>
      <c r="C133" t="s">
        <v>357</v>
      </c>
      <c r="D133" t="s">
        <v>10</v>
      </c>
      <c r="E133" t="s">
        <v>11</v>
      </c>
      <c r="F133">
        <v>3</v>
      </c>
      <c r="G133" t="s">
        <v>331</v>
      </c>
      <c r="H133" t="str">
        <f>HYPERLINK("http://service.sap.com/sap/support/notes/0002049890","0002049890")</f>
        <v>0002049890</v>
      </c>
      <c r="I133" t="s">
        <v>358</v>
      </c>
      <c r="J133">
        <v>1</v>
      </c>
      <c r="K133" t="s">
        <v>13</v>
      </c>
    </row>
    <row r="134" spans="1:11" x14ac:dyDescent="0.25">
      <c r="A134" t="s">
        <v>359</v>
      </c>
      <c r="B134" t="str">
        <f>HYPERLINK("http://service.sap.com/sap/support/notes/0001982509","0001982509")</f>
        <v>0001982509</v>
      </c>
      <c r="C134" t="s">
        <v>360</v>
      </c>
      <c r="D134" t="s">
        <v>10</v>
      </c>
      <c r="E134" t="s">
        <v>361</v>
      </c>
      <c r="F134">
        <v>2</v>
      </c>
      <c r="G134" t="s">
        <v>362</v>
      </c>
      <c r="H134" t="str">
        <f>HYPERLINK("http://service.sap.com/sap/support/notes/0001992810","0001992810")</f>
        <v>0001992810</v>
      </c>
      <c r="I134" t="s">
        <v>363</v>
      </c>
      <c r="J134">
        <v>1</v>
      </c>
      <c r="K134" t="s">
        <v>13</v>
      </c>
    </row>
    <row r="135" spans="1:11" x14ac:dyDescent="0.25">
      <c r="A135" t="s">
        <v>359</v>
      </c>
      <c r="B135" t="str">
        <f>HYPERLINK("http://service.sap.com/sap/support/notes/0002018070","0002018070")</f>
        <v>0002018070</v>
      </c>
      <c r="C135" t="s">
        <v>364</v>
      </c>
      <c r="D135" t="s">
        <v>10</v>
      </c>
      <c r="E135" t="s">
        <v>361</v>
      </c>
      <c r="F135">
        <v>3</v>
      </c>
      <c r="G135" t="s">
        <v>359</v>
      </c>
      <c r="H135" t="str">
        <f>HYPERLINK("http://service.sap.com/sap/support/notes/0002066566","0002066566")</f>
        <v>0002066566</v>
      </c>
      <c r="I135" t="s">
        <v>365</v>
      </c>
      <c r="J135">
        <v>1</v>
      </c>
      <c r="K135" t="s">
        <v>13</v>
      </c>
    </row>
    <row r="136" spans="1:11" x14ac:dyDescent="0.25">
      <c r="A136" t="s">
        <v>366</v>
      </c>
      <c r="B136" t="str">
        <f>HYPERLINK("http://service.sap.com/sap/support/notes/0001901257","0001901257")</f>
        <v>0001901257</v>
      </c>
      <c r="C136" t="s">
        <v>367</v>
      </c>
      <c r="D136" t="s">
        <v>10</v>
      </c>
      <c r="E136" t="s">
        <v>336</v>
      </c>
      <c r="F136">
        <v>1</v>
      </c>
      <c r="G136" t="s">
        <v>368</v>
      </c>
      <c r="H136" t="str">
        <f>HYPERLINK("http://service.sap.com/sap/support/notes/0002029042","0002029042")</f>
        <v>0002029042</v>
      </c>
      <c r="I136" t="s">
        <v>369</v>
      </c>
      <c r="J136">
        <v>1</v>
      </c>
      <c r="K136" t="s">
        <v>13</v>
      </c>
    </row>
    <row r="137" spans="1:11" x14ac:dyDescent="0.25">
      <c r="A137" t="s">
        <v>366</v>
      </c>
      <c r="B137" t="str">
        <f>HYPERLINK("http://service.sap.com/sap/support/notes/0001939728","0001939728")</f>
        <v>0001939728</v>
      </c>
      <c r="C137" t="s">
        <v>370</v>
      </c>
      <c r="D137" t="s">
        <v>10</v>
      </c>
      <c r="E137" t="s">
        <v>324</v>
      </c>
      <c r="F137">
        <v>2</v>
      </c>
      <c r="G137" t="s">
        <v>366</v>
      </c>
      <c r="H137" t="str">
        <f>HYPERLINK("http://service.sap.com/sap/support/notes/0001939800","0001939800")</f>
        <v>0001939800</v>
      </c>
      <c r="I137" t="s">
        <v>371</v>
      </c>
      <c r="J137">
        <v>1</v>
      </c>
      <c r="K137" t="s">
        <v>13</v>
      </c>
    </row>
    <row r="138" spans="1:11" x14ac:dyDescent="0.25">
      <c r="A138" t="s">
        <v>366</v>
      </c>
      <c r="B138" t="str">
        <f>HYPERLINK("http://service.sap.com/sap/support/notes/0001946666","0001946666")</f>
        <v>0001946666</v>
      </c>
      <c r="C138" t="s">
        <v>372</v>
      </c>
      <c r="D138" t="s">
        <v>10</v>
      </c>
      <c r="E138" t="s">
        <v>324</v>
      </c>
      <c r="F138">
        <v>2</v>
      </c>
      <c r="G138" t="s">
        <v>373</v>
      </c>
      <c r="H138" t="str">
        <f>HYPERLINK("http://service.sap.com/sap/support/notes/0002067878","0002067878")</f>
        <v>0002067878</v>
      </c>
      <c r="I138" t="s">
        <v>374</v>
      </c>
      <c r="J138">
        <v>1</v>
      </c>
      <c r="K138" t="s">
        <v>13</v>
      </c>
    </row>
    <row r="139" spans="1:11" x14ac:dyDescent="0.25">
      <c r="A139" t="s">
        <v>366</v>
      </c>
      <c r="B139" t="str">
        <f>HYPERLINK("http://service.sap.com/sap/support/notes/0001950668","0001950668")</f>
        <v>0001950668</v>
      </c>
      <c r="C139" t="s">
        <v>375</v>
      </c>
      <c r="D139" t="s">
        <v>10</v>
      </c>
      <c r="E139" t="s">
        <v>324</v>
      </c>
      <c r="F139">
        <v>1</v>
      </c>
      <c r="G139" t="s">
        <v>366</v>
      </c>
      <c r="H139" t="str">
        <f>HYPERLINK("http://service.sap.com/sap/support/notes/0002034493","0002034493")</f>
        <v>0002034493</v>
      </c>
      <c r="I139" t="s">
        <v>376</v>
      </c>
      <c r="J139">
        <v>1</v>
      </c>
      <c r="K139" t="s">
        <v>13</v>
      </c>
    </row>
    <row r="140" spans="1:11" x14ac:dyDescent="0.25">
      <c r="A140" t="s">
        <v>366</v>
      </c>
      <c r="B140" t="str">
        <f>HYPERLINK("http://service.sap.com/sap/support/notes/0002026897","0002026897")</f>
        <v>0002026897</v>
      </c>
      <c r="C140" t="s">
        <v>377</v>
      </c>
      <c r="D140" t="s">
        <v>10</v>
      </c>
      <c r="E140" t="s">
        <v>11</v>
      </c>
      <c r="F140">
        <v>1</v>
      </c>
      <c r="G140" t="s">
        <v>366</v>
      </c>
      <c r="H140" t="str">
        <f>HYPERLINK("http://service.sap.com/sap/support/notes/0002059236","0002059236")</f>
        <v>0002059236</v>
      </c>
      <c r="I140" t="s">
        <v>378</v>
      </c>
      <c r="J140">
        <v>1</v>
      </c>
      <c r="K140" t="s">
        <v>13</v>
      </c>
    </row>
    <row r="141" spans="1:11" x14ac:dyDescent="0.25">
      <c r="A141" t="s">
        <v>379</v>
      </c>
      <c r="B141" t="str">
        <f>HYPERLINK("http://service.sap.com/sap/support/notes/0001956602","0001956602")</f>
        <v>0001956602</v>
      </c>
      <c r="C141" t="s">
        <v>380</v>
      </c>
      <c r="D141" t="s">
        <v>10</v>
      </c>
      <c r="E141" t="s">
        <v>333</v>
      </c>
      <c r="F141">
        <v>3</v>
      </c>
      <c r="G141" t="s">
        <v>379</v>
      </c>
      <c r="H141" t="str">
        <f>HYPERLINK("http://service.sap.com/sap/support/notes/0002053416","0002053416")</f>
        <v>0002053416</v>
      </c>
      <c r="I141" t="s">
        <v>381</v>
      </c>
      <c r="J141">
        <v>1</v>
      </c>
      <c r="K141" t="s">
        <v>13</v>
      </c>
    </row>
    <row r="142" spans="1:11" x14ac:dyDescent="0.25">
      <c r="A142" t="s">
        <v>379</v>
      </c>
      <c r="B142" t="str">
        <f>HYPERLINK("http://service.sap.com/sap/support/notes/0002021602","0002021602")</f>
        <v>0002021602</v>
      </c>
      <c r="C142" t="s">
        <v>382</v>
      </c>
      <c r="D142" t="s">
        <v>10</v>
      </c>
      <c r="E142" t="s">
        <v>11</v>
      </c>
      <c r="F142">
        <v>3</v>
      </c>
      <c r="G142" t="s">
        <v>379</v>
      </c>
      <c r="H142" t="str">
        <f>HYPERLINK("http://service.sap.com/sap/support/notes/0002032928","0002032928")</f>
        <v>0002032928</v>
      </c>
      <c r="I142" t="s">
        <v>382</v>
      </c>
      <c r="J142">
        <v>1</v>
      </c>
      <c r="K142" t="s">
        <v>13</v>
      </c>
    </row>
    <row r="143" spans="1:11" x14ac:dyDescent="0.25">
      <c r="A143" t="s">
        <v>383</v>
      </c>
      <c r="B143" t="str">
        <f>HYPERLINK("http://service.sap.com/sap/support/notes/0001909870","0001909870")</f>
        <v>0001909870</v>
      </c>
      <c r="C143" t="s">
        <v>384</v>
      </c>
      <c r="D143" t="s">
        <v>10</v>
      </c>
      <c r="E143" t="s">
        <v>336</v>
      </c>
      <c r="F143">
        <v>2</v>
      </c>
      <c r="G143" t="s">
        <v>383</v>
      </c>
      <c r="H143" t="str">
        <f>HYPERLINK("http://service.sap.com/sap/support/notes/0002039733","0002039733")</f>
        <v>0002039733</v>
      </c>
      <c r="I143" t="s">
        <v>384</v>
      </c>
      <c r="J143">
        <v>1</v>
      </c>
      <c r="K143" t="s">
        <v>13</v>
      </c>
    </row>
    <row r="144" spans="1:11" x14ac:dyDescent="0.25">
      <c r="A144" t="s">
        <v>385</v>
      </c>
      <c r="B144" t="str">
        <f>HYPERLINK("http://service.sap.com/sap/support/notes/0002032294","0002032294")</f>
        <v>0002032294</v>
      </c>
      <c r="C144" t="s">
        <v>386</v>
      </c>
      <c r="D144" t="s">
        <v>10</v>
      </c>
      <c r="E144" t="s">
        <v>233</v>
      </c>
      <c r="F144">
        <v>1</v>
      </c>
      <c r="G144" t="s">
        <v>387</v>
      </c>
      <c r="H144" t="str">
        <f>HYPERLINK("http://service.sap.com/sap/support/notes/0001994823","0001994823")</f>
        <v>0001994823</v>
      </c>
      <c r="I144" t="s">
        <v>388</v>
      </c>
      <c r="J144">
        <v>1</v>
      </c>
      <c r="K144" t="s">
        <v>13</v>
      </c>
    </row>
    <row r="145" spans="1:11" x14ac:dyDescent="0.25">
      <c r="A145" t="s">
        <v>389</v>
      </c>
      <c r="B145" t="str">
        <f>HYPERLINK("http://service.sap.com/sap/support/notes/0002019068","0002019068")</f>
        <v>0002019068</v>
      </c>
      <c r="C145" t="s">
        <v>390</v>
      </c>
      <c r="D145" t="s">
        <v>10</v>
      </c>
      <c r="E145" t="s">
        <v>391</v>
      </c>
      <c r="F145">
        <v>3</v>
      </c>
      <c r="G145" t="s">
        <v>389</v>
      </c>
      <c r="H145" t="str">
        <f>HYPERLINK("http://service.sap.com/sap/support/notes/0002064781","0002064781")</f>
        <v>0002064781</v>
      </c>
      <c r="I145" t="s">
        <v>392</v>
      </c>
      <c r="J145">
        <v>1</v>
      </c>
      <c r="K145" t="s">
        <v>13</v>
      </c>
    </row>
    <row r="146" spans="1:11" x14ac:dyDescent="0.25">
      <c r="A146" t="s">
        <v>393</v>
      </c>
      <c r="B146" t="str">
        <f>HYPERLINK("http://service.sap.com/sap/support/notes/0001919469","0001919469")</f>
        <v>0001919469</v>
      </c>
      <c r="C146" t="s">
        <v>394</v>
      </c>
      <c r="D146">
        <v>1</v>
      </c>
      <c r="E146" t="s">
        <v>395</v>
      </c>
      <c r="F146">
        <v>1</v>
      </c>
      <c r="G146" t="s">
        <v>393</v>
      </c>
      <c r="H146" t="str">
        <f>HYPERLINK("http://service.sap.com/sap/support/notes/0001968477","0001968477")</f>
        <v>0001968477</v>
      </c>
      <c r="I146" t="s">
        <v>396</v>
      </c>
      <c r="J146">
        <v>4</v>
      </c>
      <c r="K146" t="s">
        <v>13</v>
      </c>
    </row>
    <row r="147" spans="1:11" x14ac:dyDescent="0.25">
      <c r="A147" t="s">
        <v>397</v>
      </c>
      <c r="B147" t="str">
        <f>HYPERLINK("http://service.sap.com/sap/support/notes/0002041904","0002041904")</f>
        <v>0002041904</v>
      </c>
      <c r="C147" t="s">
        <v>398</v>
      </c>
      <c r="D147" t="s">
        <v>10</v>
      </c>
      <c r="E147" t="s">
        <v>399</v>
      </c>
      <c r="F147">
        <v>3</v>
      </c>
      <c r="G147" t="s">
        <v>400</v>
      </c>
      <c r="H147" t="str">
        <f>HYPERLINK("http://service.sap.com/sap/support/notes/0002071112","0002071112")</f>
        <v>0002071112</v>
      </c>
      <c r="I147" t="s">
        <v>401</v>
      </c>
      <c r="J147">
        <v>1</v>
      </c>
      <c r="K147" t="s">
        <v>13</v>
      </c>
    </row>
    <row r="148" spans="1:11" x14ac:dyDescent="0.25">
      <c r="A148" t="s">
        <v>402</v>
      </c>
      <c r="B148" t="str">
        <f>HYPERLINK("http://service.sap.com/sap/support/notes/0001879089","0001879089")</f>
        <v>0001879089</v>
      </c>
      <c r="C148" t="s">
        <v>403</v>
      </c>
      <c r="D148" t="s">
        <v>10</v>
      </c>
      <c r="E148" t="s">
        <v>395</v>
      </c>
      <c r="F148">
        <v>2</v>
      </c>
      <c r="G148" t="s">
        <v>404</v>
      </c>
      <c r="H148" t="str">
        <f>HYPERLINK("http://service.sap.com/sap/support/notes/0002019422","0002019422")</f>
        <v>0002019422</v>
      </c>
      <c r="I148" t="s">
        <v>405</v>
      </c>
      <c r="J148">
        <v>1</v>
      </c>
      <c r="K148" t="s">
        <v>13</v>
      </c>
    </row>
    <row r="149" spans="1:11" x14ac:dyDescent="0.25">
      <c r="A149" t="s">
        <v>406</v>
      </c>
      <c r="B149" t="str">
        <f>HYPERLINK("http://service.sap.com/sap/support/notes/0002050469","0002050469")</f>
        <v>0002050469</v>
      </c>
      <c r="C149" t="s">
        <v>407</v>
      </c>
      <c r="D149" t="s">
        <v>10</v>
      </c>
      <c r="E149" t="s">
        <v>399</v>
      </c>
      <c r="F149">
        <v>1</v>
      </c>
      <c r="G149" t="s">
        <v>406</v>
      </c>
      <c r="H149" t="str">
        <f>HYPERLINK("http://service.sap.com/sap/support/notes/0002053254","0002053254")</f>
        <v>0002053254</v>
      </c>
      <c r="I149" t="s">
        <v>408</v>
      </c>
      <c r="J149">
        <v>1</v>
      </c>
      <c r="K149" t="s">
        <v>13</v>
      </c>
    </row>
    <row r="150" spans="1:11" x14ac:dyDescent="0.25">
      <c r="A150" t="s">
        <v>409</v>
      </c>
      <c r="B150" t="str">
        <f>HYPERLINK("http://service.sap.com/sap/support/notes/0001949292","0001949292")</f>
        <v>0001949292</v>
      </c>
      <c r="C150" t="s">
        <v>410</v>
      </c>
      <c r="D150" t="s">
        <v>10</v>
      </c>
      <c r="E150" t="s">
        <v>86</v>
      </c>
      <c r="F150">
        <v>1</v>
      </c>
      <c r="G150" t="s">
        <v>409</v>
      </c>
      <c r="H150" t="str">
        <f>HYPERLINK("http://service.sap.com/sap/support/notes/0002069866","0002069866")</f>
        <v>0002069866</v>
      </c>
      <c r="I150" t="s">
        <v>411</v>
      </c>
      <c r="J150">
        <v>1</v>
      </c>
      <c r="K150" t="s">
        <v>13</v>
      </c>
    </row>
    <row r="151" spans="1:11" x14ac:dyDescent="0.25">
      <c r="A151" t="s">
        <v>409</v>
      </c>
      <c r="B151" t="str">
        <f>HYPERLINK("http://service.sap.com/sap/support/notes/0002036867","0002036867")</f>
        <v>0002036867</v>
      </c>
      <c r="C151" t="s">
        <v>412</v>
      </c>
      <c r="D151" t="s">
        <v>10</v>
      </c>
      <c r="E151" t="s">
        <v>399</v>
      </c>
      <c r="F151">
        <v>3</v>
      </c>
      <c r="G151" t="s">
        <v>400</v>
      </c>
      <c r="H151" t="str">
        <f>HYPERLINK("http://service.sap.com/sap/support/notes/0002075080","0002075080")</f>
        <v>0002075080</v>
      </c>
      <c r="I151" t="s">
        <v>413</v>
      </c>
      <c r="J151">
        <v>1</v>
      </c>
      <c r="K151" t="s">
        <v>13</v>
      </c>
    </row>
    <row r="152" spans="1:11" x14ac:dyDescent="0.25">
      <c r="A152" t="s">
        <v>414</v>
      </c>
      <c r="B152" t="str">
        <f>HYPERLINK("http://service.sap.com/sap/support/notes/0001976808","0001976808")</f>
        <v>0001976808</v>
      </c>
      <c r="C152" t="s">
        <v>415</v>
      </c>
      <c r="D152" t="s">
        <v>10</v>
      </c>
      <c r="E152" t="s">
        <v>86</v>
      </c>
      <c r="F152">
        <v>2</v>
      </c>
      <c r="G152" t="s">
        <v>416</v>
      </c>
      <c r="H152" t="str">
        <f>HYPERLINK("http://service.sap.com/sap/support/notes/0002022397","0002022397")</f>
        <v>0002022397</v>
      </c>
      <c r="I152" t="s">
        <v>417</v>
      </c>
      <c r="J152">
        <v>1</v>
      </c>
      <c r="K152" t="s">
        <v>13</v>
      </c>
    </row>
    <row r="153" spans="1:11" x14ac:dyDescent="0.25">
      <c r="A153" t="s">
        <v>414</v>
      </c>
      <c r="B153" t="str">
        <f>HYPERLINK("http://service.sap.com/sap/support/notes/0001976808","0001976808")</f>
        <v>0001976808</v>
      </c>
      <c r="C153" t="s">
        <v>415</v>
      </c>
      <c r="D153" t="s">
        <v>10</v>
      </c>
      <c r="E153" t="s">
        <v>86</v>
      </c>
      <c r="F153">
        <v>2</v>
      </c>
      <c r="G153" t="s">
        <v>416</v>
      </c>
      <c r="H153" t="str">
        <f>HYPERLINK("http://service.sap.com/sap/support/notes/0002029960","0002029960")</f>
        <v>0002029960</v>
      </c>
      <c r="I153" t="s">
        <v>418</v>
      </c>
      <c r="J153">
        <v>1</v>
      </c>
      <c r="K153" t="s">
        <v>47</v>
      </c>
    </row>
    <row r="154" spans="1:11" x14ac:dyDescent="0.25">
      <c r="A154" t="s">
        <v>419</v>
      </c>
      <c r="B154" t="str">
        <f>HYPERLINK("http://service.sap.com/sap/support/notes/0001923740","0001923740")</f>
        <v>0001923740</v>
      </c>
      <c r="C154" t="s">
        <v>420</v>
      </c>
      <c r="D154" t="s">
        <v>10</v>
      </c>
      <c r="E154" t="s">
        <v>395</v>
      </c>
      <c r="F154">
        <v>2</v>
      </c>
      <c r="G154" t="s">
        <v>419</v>
      </c>
      <c r="H154" t="str">
        <f>HYPERLINK("http://service.sap.com/sap/support/notes/0001889617","0001889617")</f>
        <v>0001889617</v>
      </c>
      <c r="I154" t="s">
        <v>421</v>
      </c>
      <c r="J154">
        <v>1</v>
      </c>
      <c r="K154" t="s">
        <v>13</v>
      </c>
    </row>
    <row r="155" spans="1:11" x14ac:dyDescent="0.25">
      <c r="A155" t="s">
        <v>422</v>
      </c>
      <c r="B155" t="str">
        <f>HYPERLINK("http://service.sap.com/sap/support/notes/0002020417","0002020417")</f>
        <v>0002020417</v>
      </c>
      <c r="C155" t="s">
        <v>423</v>
      </c>
      <c r="D155" t="s">
        <v>10</v>
      </c>
      <c r="E155" t="s">
        <v>399</v>
      </c>
      <c r="F155">
        <v>2</v>
      </c>
      <c r="G155" t="s">
        <v>424</v>
      </c>
      <c r="H155" t="str">
        <f>HYPERLINK("http://service.sap.com/sap/support/notes/0002017761","0002017761")</f>
        <v>0002017761</v>
      </c>
      <c r="I155" t="s">
        <v>425</v>
      </c>
      <c r="J155">
        <v>1</v>
      </c>
      <c r="K155" t="s">
        <v>13</v>
      </c>
    </row>
    <row r="156" spans="1:11" x14ac:dyDescent="0.25">
      <c r="A156" t="s">
        <v>426</v>
      </c>
      <c r="B156" t="str">
        <f>HYPERLINK("http://service.sap.com/sap/support/notes/0001950840","0001950840")</f>
        <v>0001950840</v>
      </c>
      <c r="C156" t="s">
        <v>427</v>
      </c>
      <c r="D156" t="s">
        <v>10</v>
      </c>
      <c r="E156" t="s">
        <v>11</v>
      </c>
      <c r="F156">
        <v>1</v>
      </c>
      <c r="G156" t="s">
        <v>428</v>
      </c>
      <c r="H156" t="str">
        <f>HYPERLINK("http://service.sap.com/sap/support/notes/0002007652","0002007652")</f>
        <v>0002007652</v>
      </c>
      <c r="I156" t="s">
        <v>429</v>
      </c>
      <c r="J156">
        <v>1</v>
      </c>
      <c r="K156" t="s">
        <v>13</v>
      </c>
    </row>
    <row r="157" spans="1:11" x14ac:dyDescent="0.25">
      <c r="A157" t="s">
        <v>426</v>
      </c>
      <c r="B157" t="str">
        <f>HYPERLINK("http://service.sap.com/sap/support/notes/0002004063","0002004063")</f>
        <v>0002004063</v>
      </c>
      <c r="C157" t="s">
        <v>430</v>
      </c>
      <c r="D157" t="s">
        <v>10</v>
      </c>
      <c r="E157" t="s">
        <v>11</v>
      </c>
      <c r="F157">
        <v>3</v>
      </c>
      <c r="G157" t="s">
        <v>426</v>
      </c>
      <c r="H157" t="str">
        <f>HYPERLINK("http://service.sap.com/sap/support/notes/0002046354","0002046354")</f>
        <v>0002046354</v>
      </c>
      <c r="I157" t="s">
        <v>431</v>
      </c>
      <c r="J157">
        <v>1</v>
      </c>
      <c r="K157" t="s">
        <v>13</v>
      </c>
    </row>
    <row r="158" spans="1:11" x14ac:dyDescent="0.25">
      <c r="A158" t="s">
        <v>432</v>
      </c>
      <c r="B158" t="str">
        <f>HYPERLINK("http://service.sap.com/sap/support/notes/0001756602","0001756602")</f>
        <v>0001756602</v>
      </c>
      <c r="C158" t="s">
        <v>433</v>
      </c>
      <c r="D158" t="s">
        <v>10</v>
      </c>
      <c r="E158" t="s">
        <v>324</v>
      </c>
      <c r="F158">
        <v>3</v>
      </c>
      <c r="G158" t="s">
        <v>434</v>
      </c>
      <c r="H158" t="str">
        <f>HYPERLINK("http://service.sap.com/sap/support/notes/0001762321","0001762321")</f>
        <v>0001762321</v>
      </c>
      <c r="I158" t="s">
        <v>435</v>
      </c>
      <c r="J158">
        <v>1</v>
      </c>
      <c r="K158" t="s">
        <v>35</v>
      </c>
    </row>
    <row r="159" spans="1:11" x14ac:dyDescent="0.25">
      <c r="A159" t="s">
        <v>432</v>
      </c>
      <c r="B159" t="str">
        <f>HYPERLINK("http://service.sap.com/sap/support/notes/0001756602","0001756602")</f>
        <v>0001756602</v>
      </c>
      <c r="C159" t="s">
        <v>433</v>
      </c>
      <c r="D159" t="s">
        <v>10</v>
      </c>
      <c r="E159" t="s">
        <v>324</v>
      </c>
      <c r="F159">
        <v>3</v>
      </c>
      <c r="G159" t="s">
        <v>436</v>
      </c>
      <c r="H159" t="str">
        <f>HYPERLINK("http://service.sap.com/sap/support/notes/0001766038","0001766038")</f>
        <v>0001766038</v>
      </c>
      <c r="I159" t="s">
        <v>437</v>
      </c>
      <c r="J159">
        <v>1</v>
      </c>
      <c r="K159" t="s">
        <v>13</v>
      </c>
    </row>
    <row r="160" spans="1:11" x14ac:dyDescent="0.25">
      <c r="A160" t="s">
        <v>432</v>
      </c>
      <c r="B160" t="str">
        <f>HYPERLINK("http://service.sap.com/sap/support/notes/0001838385","0001838385")</f>
        <v>0001838385</v>
      </c>
      <c r="C160" t="s">
        <v>438</v>
      </c>
      <c r="D160" t="s">
        <v>10</v>
      </c>
      <c r="E160" t="s">
        <v>336</v>
      </c>
      <c r="F160">
        <v>1</v>
      </c>
      <c r="G160" t="s">
        <v>432</v>
      </c>
      <c r="H160" t="str">
        <f>HYPERLINK("http://service.sap.com/sap/support/notes/0002011818","0002011818")</f>
        <v>0002011818</v>
      </c>
      <c r="I160" t="s">
        <v>439</v>
      </c>
      <c r="J160">
        <v>1</v>
      </c>
      <c r="K160" t="s">
        <v>47</v>
      </c>
    </row>
    <row r="161" spans="1:11" x14ac:dyDescent="0.25">
      <c r="A161" t="s">
        <v>432</v>
      </c>
      <c r="B161" t="str">
        <f>HYPERLINK("http://service.sap.com/sap/support/notes/0001894136","0001894136")</f>
        <v>0001894136</v>
      </c>
      <c r="C161" t="s">
        <v>440</v>
      </c>
      <c r="D161" t="s">
        <v>10</v>
      </c>
      <c r="E161" t="s">
        <v>333</v>
      </c>
      <c r="F161">
        <v>1</v>
      </c>
      <c r="G161" t="s">
        <v>432</v>
      </c>
      <c r="H161" t="str">
        <f>HYPERLINK("http://service.sap.com/sap/support/notes/0002011818","0002011818")</f>
        <v>0002011818</v>
      </c>
      <c r="I161" t="s">
        <v>439</v>
      </c>
      <c r="J161">
        <v>1</v>
      </c>
      <c r="K161" t="s">
        <v>47</v>
      </c>
    </row>
    <row r="162" spans="1:11" x14ac:dyDescent="0.25">
      <c r="A162" t="s">
        <v>432</v>
      </c>
      <c r="B162" t="str">
        <f>HYPERLINK("http://service.sap.com/sap/support/notes/0001894200","0001894200")</f>
        <v>0001894200</v>
      </c>
      <c r="C162" t="s">
        <v>441</v>
      </c>
      <c r="D162" t="s">
        <v>10</v>
      </c>
      <c r="E162" t="s">
        <v>333</v>
      </c>
      <c r="F162">
        <v>2</v>
      </c>
      <c r="G162" t="s">
        <v>442</v>
      </c>
      <c r="H162" t="str">
        <f>HYPERLINK("http://service.sap.com/sap/support/notes/0001894148","0001894148")</f>
        <v>0001894148</v>
      </c>
      <c r="I162" t="s">
        <v>443</v>
      </c>
      <c r="J162">
        <v>1</v>
      </c>
      <c r="K162" t="s">
        <v>47</v>
      </c>
    </row>
    <row r="163" spans="1:11" x14ac:dyDescent="0.25">
      <c r="A163" t="s">
        <v>432</v>
      </c>
      <c r="B163" t="str">
        <f>HYPERLINK("http://service.sap.com/sap/support/notes/0001894200","0001894200")</f>
        <v>0001894200</v>
      </c>
      <c r="C163" t="s">
        <v>441</v>
      </c>
      <c r="D163" t="s">
        <v>10</v>
      </c>
      <c r="E163" t="s">
        <v>333</v>
      </c>
      <c r="F163">
        <v>2</v>
      </c>
      <c r="G163" t="s">
        <v>444</v>
      </c>
      <c r="H163" t="str">
        <f>HYPERLINK("http://service.sap.com/sap/support/notes/0002046804","0002046804")</f>
        <v>0002046804</v>
      </c>
      <c r="I163" t="s">
        <v>445</v>
      </c>
      <c r="J163">
        <v>1</v>
      </c>
      <c r="K163" t="s">
        <v>13</v>
      </c>
    </row>
    <row r="164" spans="1:11" x14ac:dyDescent="0.25">
      <c r="A164" t="s">
        <v>432</v>
      </c>
      <c r="B164" t="str">
        <f>HYPERLINK("http://service.sap.com/sap/support/notes/0001894222","0001894222")</f>
        <v>0001894222</v>
      </c>
      <c r="C164" t="s">
        <v>446</v>
      </c>
      <c r="D164" t="s">
        <v>10</v>
      </c>
      <c r="E164" t="s">
        <v>324</v>
      </c>
      <c r="F164">
        <v>3</v>
      </c>
      <c r="G164" t="s">
        <v>432</v>
      </c>
      <c r="H164" t="str">
        <f>HYPERLINK("http://service.sap.com/sap/support/notes/0002050798","0002050798")</f>
        <v>0002050798</v>
      </c>
      <c r="I164" t="s">
        <v>447</v>
      </c>
      <c r="J164">
        <v>1</v>
      </c>
      <c r="K164" t="s">
        <v>47</v>
      </c>
    </row>
    <row r="165" spans="1:11" x14ac:dyDescent="0.25">
      <c r="A165" t="s">
        <v>432</v>
      </c>
      <c r="B165" t="str">
        <f>HYPERLINK("http://service.sap.com/sap/support/notes/0001894223","0001894223")</f>
        <v>0001894223</v>
      </c>
      <c r="C165" t="s">
        <v>448</v>
      </c>
      <c r="D165" t="s">
        <v>10</v>
      </c>
      <c r="E165" t="s">
        <v>324</v>
      </c>
      <c r="F165">
        <v>3</v>
      </c>
      <c r="G165" t="s">
        <v>432</v>
      </c>
      <c r="H165" t="str">
        <f>HYPERLINK("http://service.sap.com/sap/support/notes/0002050798","0002050798")</f>
        <v>0002050798</v>
      </c>
      <c r="I165" t="s">
        <v>447</v>
      </c>
      <c r="J165">
        <v>1</v>
      </c>
      <c r="K165" t="s">
        <v>47</v>
      </c>
    </row>
    <row r="166" spans="1:11" x14ac:dyDescent="0.25">
      <c r="A166" t="s">
        <v>432</v>
      </c>
      <c r="B166" t="str">
        <f>HYPERLINK("http://service.sap.com/sap/support/notes/0001906210","0001906210")</f>
        <v>0001906210</v>
      </c>
      <c r="C166" t="s">
        <v>449</v>
      </c>
      <c r="D166" t="s">
        <v>10</v>
      </c>
      <c r="E166" t="s">
        <v>333</v>
      </c>
      <c r="F166">
        <v>2</v>
      </c>
      <c r="G166" t="s">
        <v>432</v>
      </c>
      <c r="H166" t="str">
        <f>HYPERLINK("http://service.sap.com/sap/support/notes/0002010856","0002010856")</f>
        <v>0002010856</v>
      </c>
      <c r="I166" t="s">
        <v>450</v>
      </c>
      <c r="J166">
        <v>1</v>
      </c>
      <c r="K166" t="s">
        <v>35</v>
      </c>
    </row>
    <row r="167" spans="1:11" x14ac:dyDescent="0.25">
      <c r="A167" t="s">
        <v>432</v>
      </c>
      <c r="B167" t="str">
        <f>HYPERLINK("http://service.sap.com/sap/support/notes/0001906210","0001906210")</f>
        <v>0001906210</v>
      </c>
      <c r="C167" t="s">
        <v>449</v>
      </c>
      <c r="D167" t="s">
        <v>10</v>
      </c>
      <c r="E167" t="s">
        <v>333</v>
      </c>
      <c r="F167">
        <v>2</v>
      </c>
      <c r="G167" t="s">
        <v>432</v>
      </c>
      <c r="H167" t="str">
        <f>HYPERLINK("http://service.sap.com/sap/support/notes/0002028717","0002028717")</f>
        <v>0002028717</v>
      </c>
      <c r="I167" t="s">
        <v>451</v>
      </c>
      <c r="J167">
        <v>1</v>
      </c>
      <c r="K167" t="s">
        <v>35</v>
      </c>
    </row>
    <row r="168" spans="1:11" x14ac:dyDescent="0.25">
      <c r="A168" t="s">
        <v>432</v>
      </c>
      <c r="B168" t="str">
        <f>HYPERLINK("http://service.sap.com/sap/support/notes/0002001080","0002001080")</f>
        <v>0002001080</v>
      </c>
      <c r="C168" t="s">
        <v>452</v>
      </c>
      <c r="D168" t="s">
        <v>10</v>
      </c>
      <c r="E168" t="s">
        <v>11</v>
      </c>
      <c r="F168">
        <v>1</v>
      </c>
      <c r="G168" t="s">
        <v>432</v>
      </c>
      <c r="H168" t="str">
        <f>HYPERLINK("http://service.sap.com/sap/support/notes/0002059611","0002059611")</f>
        <v>0002059611</v>
      </c>
      <c r="I168" t="s">
        <v>453</v>
      </c>
      <c r="J168">
        <v>1</v>
      </c>
      <c r="K168" t="s">
        <v>47</v>
      </c>
    </row>
    <row r="169" spans="1:11" x14ac:dyDescent="0.25">
      <c r="A169" t="s">
        <v>432</v>
      </c>
      <c r="B169" t="str">
        <f>HYPERLINK("http://service.sap.com/sap/support/notes/0002022398","0002022398")</f>
        <v>0002022398</v>
      </c>
      <c r="C169" t="s">
        <v>454</v>
      </c>
      <c r="D169" t="s">
        <v>10</v>
      </c>
      <c r="E169" t="s">
        <v>11</v>
      </c>
      <c r="F169">
        <v>2</v>
      </c>
      <c r="G169" t="s">
        <v>455</v>
      </c>
      <c r="H169" t="str">
        <f>HYPERLINK("http://service.sap.com/sap/support/notes/0002037466","0002037466")</f>
        <v>0002037466</v>
      </c>
      <c r="I169" t="s">
        <v>456</v>
      </c>
      <c r="J169">
        <v>1</v>
      </c>
      <c r="K169" t="s">
        <v>47</v>
      </c>
    </row>
    <row r="170" spans="1:11" x14ac:dyDescent="0.25">
      <c r="A170" t="s">
        <v>457</v>
      </c>
      <c r="B170" t="str">
        <f>HYPERLINK("http://service.sap.com/sap/support/notes/0001979698","0001979698")</f>
        <v>0001979698</v>
      </c>
      <c r="C170" t="s">
        <v>458</v>
      </c>
      <c r="D170" t="s">
        <v>10</v>
      </c>
      <c r="E170" t="s">
        <v>333</v>
      </c>
      <c r="F170">
        <v>2</v>
      </c>
      <c r="G170" t="s">
        <v>459</v>
      </c>
      <c r="H170" t="str">
        <f>HYPERLINK("http://service.sap.com/sap/support/notes/0001991817","0001991817")</f>
        <v>0001991817</v>
      </c>
      <c r="I170" t="s">
        <v>460</v>
      </c>
      <c r="J170">
        <v>1</v>
      </c>
      <c r="K170" t="s">
        <v>13</v>
      </c>
    </row>
    <row r="171" spans="1:11" x14ac:dyDescent="0.25">
      <c r="A171" t="s">
        <v>461</v>
      </c>
      <c r="B171" t="str">
        <f>HYPERLINK("http://service.sap.com/sap/support/notes/0001994571","0001994571")</f>
        <v>0001994571</v>
      </c>
      <c r="C171" t="s">
        <v>462</v>
      </c>
      <c r="D171" t="s">
        <v>10</v>
      </c>
      <c r="E171" t="s">
        <v>463</v>
      </c>
      <c r="F171">
        <v>2</v>
      </c>
      <c r="G171" t="s">
        <v>464</v>
      </c>
      <c r="H171" t="str">
        <f>HYPERLINK("http://service.sap.com/sap/support/notes/0002065826","0002065826")</f>
        <v>0002065826</v>
      </c>
      <c r="I171" t="s">
        <v>465</v>
      </c>
      <c r="J171">
        <v>1</v>
      </c>
      <c r="K171" t="s">
        <v>35</v>
      </c>
    </row>
    <row r="172" spans="1:11" x14ac:dyDescent="0.25">
      <c r="A172" t="s">
        <v>461</v>
      </c>
      <c r="B172" t="str">
        <f>HYPERLINK("http://service.sap.com/sap/support/notes/0002041849","0002041849")</f>
        <v>0002041849</v>
      </c>
      <c r="C172" t="s">
        <v>466</v>
      </c>
      <c r="D172" t="s">
        <v>10</v>
      </c>
      <c r="E172" t="s">
        <v>233</v>
      </c>
      <c r="F172">
        <v>2</v>
      </c>
      <c r="G172" t="s">
        <v>467</v>
      </c>
      <c r="H172" t="str">
        <f>HYPERLINK("http://service.sap.com/sap/support/notes/0002071090","0002071090")</f>
        <v>0002071090</v>
      </c>
      <c r="I172" t="s">
        <v>468</v>
      </c>
      <c r="J172">
        <v>1</v>
      </c>
      <c r="K172" t="s">
        <v>13</v>
      </c>
    </row>
    <row r="173" spans="1:11" x14ac:dyDescent="0.25">
      <c r="A173" t="s">
        <v>469</v>
      </c>
      <c r="B173" t="str">
        <f>HYPERLINK("http://service.sap.com/sap/support/notes/0001995867","0001995867")</f>
        <v>0001995867</v>
      </c>
      <c r="C173" t="s">
        <v>470</v>
      </c>
      <c r="D173" t="s">
        <v>10</v>
      </c>
      <c r="E173" t="s">
        <v>233</v>
      </c>
      <c r="F173">
        <v>13</v>
      </c>
      <c r="G173" t="s">
        <v>469</v>
      </c>
      <c r="H173" t="str">
        <f>HYPERLINK("http://service.sap.com/sap/support/notes/0002079381","0002079381")</f>
        <v>0002079381</v>
      </c>
      <c r="I173" t="s">
        <v>471</v>
      </c>
      <c r="J173">
        <v>1</v>
      </c>
      <c r="K173" t="s">
        <v>13</v>
      </c>
    </row>
    <row r="174" spans="1:11" x14ac:dyDescent="0.25">
      <c r="A174" t="s">
        <v>472</v>
      </c>
      <c r="B174" t="str">
        <f>HYPERLINK("http://service.sap.com/sap/support/notes/0001975281","0001975281")</f>
        <v>0001975281</v>
      </c>
      <c r="C174" t="s">
        <v>473</v>
      </c>
      <c r="D174" t="s">
        <v>10</v>
      </c>
      <c r="E174" t="s">
        <v>90</v>
      </c>
      <c r="F174">
        <v>3</v>
      </c>
      <c r="G174" t="s">
        <v>472</v>
      </c>
      <c r="H174" t="str">
        <f>HYPERLINK("http://service.sap.com/sap/support/notes/0002014437","0002014437")</f>
        <v>0002014437</v>
      </c>
      <c r="I174" t="s">
        <v>474</v>
      </c>
      <c r="J174">
        <v>1</v>
      </c>
      <c r="K174" t="s">
        <v>13</v>
      </c>
    </row>
    <row r="175" spans="1:11" x14ac:dyDescent="0.25">
      <c r="A175" t="s">
        <v>475</v>
      </c>
      <c r="B175" t="str">
        <f>HYPERLINK("http://service.sap.com/sap/support/notes/0001906078","0001906078")</f>
        <v>0001906078</v>
      </c>
      <c r="C175" t="s">
        <v>476</v>
      </c>
      <c r="D175" t="s">
        <v>10</v>
      </c>
      <c r="E175" t="s">
        <v>477</v>
      </c>
      <c r="F175">
        <v>35</v>
      </c>
      <c r="G175" t="s">
        <v>475</v>
      </c>
      <c r="H175" t="str">
        <f>HYPERLINK("http://service.sap.com/sap/support/notes/0002016265","0002016265")</f>
        <v>0002016265</v>
      </c>
      <c r="I175" t="s">
        <v>478</v>
      </c>
      <c r="J175">
        <v>1</v>
      </c>
      <c r="K175" t="s">
        <v>13</v>
      </c>
    </row>
    <row r="176" spans="1:11" x14ac:dyDescent="0.25">
      <c r="A176" t="s">
        <v>475</v>
      </c>
      <c r="B176" t="str">
        <f>HYPERLINK("http://service.sap.com/sap/support/notes/0001985498","0001985498")</f>
        <v>0001985498</v>
      </c>
      <c r="C176" t="s">
        <v>479</v>
      </c>
      <c r="D176" t="s">
        <v>10</v>
      </c>
      <c r="E176" t="s">
        <v>477</v>
      </c>
      <c r="F176">
        <v>1</v>
      </c>
      <c r="G176" t="s">
        <v>475</v>
      </c>
      <c r="H176" t="str">
        <f>HYPERLINK("http://service.sap.com/sap/support/notes/0002063987","0002063987")</f>
        <v>0002063987</v>
      </c>
      <c r="I176" t="s">
        <v>480</v>
      </c>
      <c r="J176">
        <v>1</v>
      </c>
      <c r="K176" t="s">
        <v>35</v>
      </c>
    </row>
    <row r="177" spans="1:11" x14ac:dyDescent="0.25">
      <c r="A177" t="s">
        <v>475</v>
      </c>
      <c r="B177" t="str">
        <f>HYPERLINK("http://service.sap.com/sap/support/notes/0002002469","0002002469")</f>
        <v>0002002469</v>
      </c>
      <c r="C177" t="s">
        <v>481</v>
      </c>
      <c r="D177" t="s">
        <v>10</v>
      </c>
      <c r="E177" t="s">
        <v>482</v>
      </c>
      <c r="F177">
        <v>5</v>
      </c>
      <c r="G177" t="s">
        <v>475</v>
      </c>
      <c r="H177" t="str">
        <f>HYPERLINK("http://service.sap.com/sap/support/notes/0002069351","0002069351")</f>
        <v>0002069351</v>
      </c>
      <c r="I177" t="s">
        <v>483</v>
      </c>
      <c r="J177">
        <v>1</v>
      </c>
      <c r="K177" t="s">
        <v>13</v>
      </c>
    </row>
    <row r="178" spans="1:11" x14ac:dyDescent="0.25">
      <c r="A178" t="s">
        <v>484</v>
      </c>
      <c r="B178" t="str">
        <f>HYPERLINK("http://service.sap.com/sap/support/notes/0002000807","0002000807")</f>
        <v>0002000807</v>
      </c>
      <c r="C178" t="s">
        <v>485</v>
      </c>
      <c r="D178" t="s">
        <v>10</v>
      </c>
      <c r="E178" t="s">
        <v>11</v>
      </c>
      <c r="F178">
        <v>1</v>
      </c>
      <c r="G178" t="s">
        <v>484</v>
      </c>
      <c r="H178" t="str">
        <f>HYPERLINK("http://service.sap.com/sap/support/notes/0002040584","0002040584")</f>
        <v>0002040584</v>
      </c>
      <c r="I178" t="s">
        <v>486</v>
      </c>
      <c r="J178">
        <v>1</v>
      </c>
      <c r="K178" t="s">
        <v>47</v>
      </c>
    </row>
    <row r="179" spans="1:11" x14ac:dyDescent="0.25">
      <c r="A179" t="s">
        <v>487</v>
      </c>
      <c r="B179" t="str">
        <f>HYPERLINK("http://service.sap.com/sap/support/notes/0001898227","0001898227")</f>
        <v>0001898227</v>
      </c>
      <c r="C179" t="s">
        <v>488</v>
      </c>
      <c r="D179" t="s">
        <v>10</v>
      </c>
      <c r="E179" t="s">
        <v>33</v>
      </c>
      <c r="F179">
        <v>1</v>
      </c>
      <c r="G179" t="s">
        <v>487</v>
      </c>
      <c r="H179" t="str">
        <f>HYPERLINK("http://service.sap.com/sap/support/notes/0002040003","0002040003")</f>
        <v>0002040003</v>
      </c>
      <c r="I179" t="s">
        <v>489</v>
      </c>
      <c r="J179">
        <v>1</v>
      </c>
      <c r="K179" t="s">
        <v>13</v>
      </c>
    </row>
    <row r="180" spans="1:11" x14ac:dyDescent="0.25">
      <c r="A180" t="s">
        <v>487</v>
      </c>
      <c r="B180" t="str">
        <f>HYPERLINK("http://service.sap.com/sap/support/notes/0001908505","0001908505")</f>
        <v>0001908505</v>
      </c>
      <c r="C180" t="s">
        <v>490</v>
      </c>
      <c r="D180" t="s">
        <v>10</v>
      </c>
      <c r="E180" t="s">
        <v>33</v>
      </c>
      <c r="F180">
        <v>1</v>
      </c>
      <c r="G180" t="s">
        <v>487</v>
      </c>
      <c r="H180" t="str">
        <f>HYPERLINK("http://service.sap.com/sap/support/notes/0001908824","0001908824")</f>
        <v>0001908824</v>
      </c>
      <c r="I180" t="s">
        <v>491</v>
      </c>
      <c r="J180">
        <v>1</v>
      </c>
      <c r="K180" t="s">
        <v>13</v>
      </c>
    </row>
    <row r="181" spans="1:11" x14ac:dyDescent="0.25">
      <c r="A181" t="s">
        <v>487</v>
      </c>
      <c r="B181" t="str">
        <f>HYPERLINK("http://service.sap.com/sap/support/notes/0001908731","0001908731")</f>
        <v>0001908731</v>
      </c>
      <c r="C181" t="s">
        <v>492</v>
      </c>
      <c r="D181" t="s">
        <v>10</v>
      </c>
      <c r="E181" t="s">
        <v>493</v>
      </c>
      <c r="F181">
        <v>4</v>
      </c>
      <c r="G181" t="s">
        <v>487</v>
      </c>
      <c r="H181" t="str">
        <f>HYPERLINK("http://service.sap.com/sap/support/notes/0002082430","0002082430")</f>
        <v>0002082430</v>
      </c>
      <c r="I181" t="s">
        <v>494</v>
      </c>
      <c r="J181">
        <v>1</v>
      </c>
      <c r="K181" t="s">
        <v>13</v>
      </c>
    </row>
    <row r="182" spans="1:11" x14ac:dyDescent="0.25">
      <c r="A182" t="s">
        <v>487</v>
      </c>
      <c r="B182" t="str">
        <f>HYPERLINK("http://service.sap.com/sap/support/notes/0001914200","0001914200")</f>
        <v>0001914200</v>
      </c>
      <c r="C182" t="s">
        <v>495</v>
      </c>
      <c r="D182" t="s">
        <v>10</v>
      </c>
      <c r="E182" t="s">
        <v>33</v>
      </c>
      <c r="F182">
        <v>1</v>
      </c>
      <c r="G182" t="s">
        <v>434</v>
      </c>
      <c r="H182" t="str">
        <f>HYPERLINK("http://service.sap.com/sap/support/notes/0001916798","0001916798")</f>
        <v>0001916798</v>
      </c>
      <c r="I182" t="s">
        <v>496</v>
      </c>
      <c r="J182">
        <v>1</v>
      </c>
      <c r="K182" t="s">
        <v>13</v>
      </c>
    </row>
    <row r="183" spans="1:11" x14ac:dyDescent="0.25">
      <c r="A183" t="s">
        <v>487</v>
      </c>
      <c r="B183" t="str">
        <f>HYPERLINK("http://service.sap.com/sap/support/notes/0001916084","0001916084")</f>
        <v>0001916084</v>
      </c>
      <c r="C183" t="s">
        <v>497</v>
      </c>
      <c r="D183" t="s">
        <v>10</v>
      </c>
      <c r="E183" t="s">
        <v>33</v>
      </c>
      <c r="F183">
        <v>1</v>
      </c>
      <c r="G183" t="s">
        <v>487</v>
      </c>
      <c r="H183" t="str">
        <f>HYPERLINK("http://service.sap.com/sap/support/notes/0001916089","0001916089")</f>
        <v>0001916089</v>
      </c>
      <c r="I183" t="s">
        <v>498</v>
      </c>
      <c r="J183">
        <v>1</v>
      </c>
      <c r="K183" t="s">
        <v>13</v>
      </c>
    </row>
    <row r="184" spans="1:11" x14ac:dyDescent="0.25">
      <c r="A184" t="s">
        <v>487</v>
      </c>
      <c r="B184" t="str">
        <f>HYPERLINK("http://service.sap.com/sap/support/notes/0001917744","0001917744")</f>
        <v>0001917744</v>
      </c>
      <c r="C184" t="s">
        <v>499</v>
      </c>
      <c r="D184" t="s">
        <v>10</v>
      </c>
      <c r="E184" t="s">
        <v>33</v>
      </c>
      <c r="F184">
        <v>1</v>
      </c>
      <c r="G184" t="s">
        <v>487</v>
      </c>
      <c r="H184" t="str">
        <f>HYPERLINK("http://service.sap.com/sap/support/notes/0001885462","0001885462")</f>
        <v>0001885462</v>
      </c>
      <c r="I184" t="s">
        <v>500</v>
      </c>
      <c r="J184">
        <v>1</v>
      </c>
      <c r="K184" t="s">
        <v>35</v>
      </c>
    </row>
    <row r="185" spans="1:11" x14ac:dyDescent="0.25">
      <c r="A185" t="s">
        <v>487</v>
      </c>
      <c r="B185" t="str">
        <f>HYPERLINK("http://service.sap.com/sap/support/notes/0001943995","0001943995")</f>
        <v>0001943995</v>
      </c>
      <c r="C185" t="s">
        <v>501</v>
      </c>
      <c r="D185" t="s">
        <v>10</v>
      </c>
      <c r="E185" t="s">
        <v>502</v>
      </c>
      <c r="F185">
        <v>1</v>
      </c>
      <c r="G185" t="s">
        <v>487</v>
      </c>
      <c r="H185" t="str">
        <f>HYPERLINK("http://service.sap.com/sap/support/notes/0001970838","0001970838")</f>
        <v>0001970838</v>
      </c>
      <c r="I185" t="s">
        <v>503</v>
      </c>
      <c r="J185">
        <v>1</v>
      </c>
      <c r="K185" t="s">
        <v>13</v>
      </c>
    </row>
    <row r="186" spans="1:11" x14ac:dyDescent="0.25">
      <c r="A186" t="s">
        <v>504</v>
      </c>
      <c r="B186" t="str">
        <f>HYPERLINK("http://service.sap.com/sap/support/notes/0002011164","0002011164")</f>
        <v>0002011164</v>
      </c>
      <c r="C186" t="s">
        <v>505</v>
      </c>
      <c r="D186" t="s">
        <v>10</v>
      </c>
      <c r="E186" t="s">
        <v>11</v>
      </c>
      <c r="F186">
        <v>5</v>
      </c>
      <c r="G186" t="s">
        <v>504</v>
      </c>
      <c r="H186" t="str">
        <f>HYPERLINK("http://service.sap.com/sap/support/notes/0002025373","0002025373")</f>
        <v>0002025373</v>
      </c>
      <c r="I186" t="s">
        <v>506</v>
      </c>
      <c r="J186">
        <v>1</v>
      </c>
      <c r="K186" t="s">
        <v>13</v>
      </c>
    </row>
    <row r="187" spans="1:11" x14ac:dyDescent="0.25">
      <c r="A187" t="s">
        <v>507</v>
      </c>
      <c r="B187" t="str">
        <f>HYPERLINK("http://service.sap.com/sap/support/notes/0002005851","0002005851")</f>
        <v>0002005851</v>
      </c>
      <c r="C187" t="s">
        <v>508</v>
      </c>
      <c r="D187" t="s">
        <v>10</v>
      </c>
      <c r="E187" t="s">
        <v>11</v>
      </c>
      <c r="F187">
        <v>3</v>
      </c>
      <c r="G187" t="s">
        <v>507</v>
      </c>
      <c r="H187" t="str">
        <f>HYPERLINK("http://service.sap.com/sap/support/notes/0002055642","0002055642")</f>
        <v>0002055642</v>
      </c>
      <c r="I187" t="s">
        <v>509</v>
      </c>
      <c r="J187">
        <v>1</v>
      </c>
      <c r="K187" t="s">
        <v>13</v>
      </c>
    </row>
    <row r="188" spans="1:11" x14ac:dyDescent="0.25">
      <c r="A188" t="s">
        <v>510</v>
      </c>
      <c r="B188" t="str">
        <f>HYPERLINK("http://service.sap.com/sap/support/notes/0002003309","0002003309")</f>
        <v>0002003309</v>
      </c>
      <c r="C188" t="s">
        <v>511</v>
      </c>
      <c r="D188" t="s">
        <v>10</v>
      </c>
      <c r="E188" t="s">
        <v>11</v>
      </c>
      <c r="F188">
        <v>2</v>
      </c>
      <c r="G188" t="s">
        <v>510</v>
      </c>
      <c r="H188" t="str">
        <f>HYPERLINK("http://service.sap.com/sap/support/notes/0002013829","0002013829")</f>
        <v>0002013829</v>
      </c>
      <c r="I188" t="s">
        <v>512</v>
      </c>
      <c r="J188">
        <v>1</v>
      </c>
      <c r="K188" t="s">
        <v>13</v>
      </c>
    </row>
    <row r="189" spans="1:11" x14ac:dyDescent="0.25">
      <c r="A189" t="s">
        <v>513</v>
      </c>
      <c r="B189" t="str">
        <f>HYPERLINK("http://service.sap.com/sap/support/notes/0001953517","0001953517")</f>
        <v>0001953517</v>
      </c>
      <c r="C189" t="s">
        <v>514</v>
      </c>
      <c r="D189" t="s">
        <v>10</v>
      </c>
      <c r="E189" t="s">
        <v>333</v>
      </c>
      <c r="F189">
        <v>3</v>
      </c>
      <c r="G189" t="s">
        <v>513</v>
      </c>
      <c r="H189" t="str">
        <f>HYPERLINK("http://service.sap.com/sap/support/notes/0002069695","0002069695")</f>
        <v>0002069695</v>
      </c>
      <c r="I189" t="s">
        <v>515</v>
      </c>
      <c r="J189">
        <v>1</v>
      </c>
      <c r="K189" t="s">
        <v>13</v>
      </c>
    </row>
    <row r="190" spans="1:11" x14ac:dyDescent="0.25">
      <c r="A190" t="s">
        <v>516</v>
      </c>
      <c r="B190" t="str">
        <f>HYPERLINK("http://service.sap.com/sap/support/notes/0001997872","0001997872")</f>
        <v>0001997872</v>
      </c>
      <c r="C190" t="s">
        <v>517</v>
      </c>
      <c r="D190" t="s">
        <v>10</v>
      </c>
      <c r="E190" t="s">
        <v>518</v>
      </c>
      <c r="F190">
        <v>2</v>
      </c>
      <c r="G190" t="s">
        <v>519</v>
      </c>
      <c r="H190" t="str">
        <f>HYPERLINK("http://service.sap.com/sap/support/notes/0002005938","0002005938")</f>
        <v>0002005938</v>
      </c>
      <c r="I190" t="s">
        <v>520</v>
      </c>
      <c r="J190">
        <v>1</v>
      </c>
      <c r="K190" t="s">
        <v>13</v>
      </c>
    </row>
    <row r="191" spans="1:11" x14ac:dyDescent="0.25">
      <c r="A191" t="s">
        <v>516</v>
      </c>
      <c r="B191" t="str">
        <f>HYPERLINK("http://service.sap.com/sap/support/notes/0002017661","0002017661")</f>
        <v>0002017661</v>
      </c>
      <c r="C191" t="s">
        <v>521</v>
      </c>
      <c r="D191" t="s">
        <v>10</v>
      </c>
      <c r="E191" t="s">
        <v>522</v>
      </c>
      <c r="F191">
        <v>2</v>
      </c>
      <c r="G191" t="s">
        <v>516</v>
      </c>
      <c r="H191" t="str">
        <f>HYPERLINK("http://service.sap.com/sap/support/notes/0002053296","0002053296")</f>
        <v>0002053296</v>
      </c>
      <c r="I191" t="s">
        <v>523</v>
      </c>
      <c r="J191">
        <v>1</v>
      </c>
      <c r="K191" t="s">
        <v>13</v>
      </c>
    </row>
    <row r="192" spans="1:11" x14ac:dyDescent="0.25">
      <c r="A192" t="s">
        <v>516</v>
      </c>
      <c r="B192" t="str">
        <f>HYPERLINK("http://service.sap.com/sap/support/notes/0002048999","0002048999")</f>
        <v>0002048999</v>
      </c>
      <c r="C192" t="s">
        <v>524</v>
      </c>
      <c r="D192" t="s">
        <v>10</v>
      </c>
      <c r="E192" t="s">
        <v>522</v>
      </c>
      <c r="F192">
        <v>2</v>
      </c>
      <c r="G192" t="s">
        <v>516</v>
      </c>
      <c r="H192" t="str">
        <f>HYPERLINK("http://service.sap.com/sap/support/notes/0002061782","0002061782")</f>
        <v>0002061782</v>
      </c>
      <c r="I192" t="s">
        <v>524</v>
      </c>
      <c r="J192">
        <v>1</v>
      </c>
      <c r="K192" t="s">
        <v>47</v>
      </c>
    </row>
    <row r="193" spans="1:11" x14ac:dyDescent="0.25">
      <c r="A193" t="s">
        <v>525</v>
      </c>
      <c r="B193" t="str">
        <f>HYPERLINK("http://service.sap.com/sap/support/notes/0001941597","0001941597")</f>
        <v>0001941597</v>
      </c>
      <c r="C193" t="s">
        <v>526</v>
      </c>
      <c r="D193" t="s">
        <v>10</v>
      </c>
      <c r="E193" t="s">
        <v>493</v>
      </c>
      <c r="F193">
        <v>2</v>
      </c>
      <c r="G193" t="s">
        <v>527</v>
      </c>
      <c r="H193" t="str">
        <f>HYPERLINK("http://service.sap.com/sap/support/notes/0002013575","0002013575")</f>
        <v>0002013575</v>
      </c>
      <c r="I193" t="s">
        <v>528</v>
      </c>
      <c r="J193">
        <v>1</v>
      </c>
      <c r="K193" t="s">
        <v>13</v>
      </c>
    </row>
    <row r="194" spans="1:11" x14ac:dyDescent="0.25">
      <c r="A194" t="s">
        <v>525</v>
      </c>
      <c r="B194" t="str">
        <f>HYPERLINK("http://service.sap.com/sap/support/notes/0001947333","0001947333")</f>
        <v>0001947333</v>
      </c>
      <c r="C194" t="s">
        <v>529</v>
      </c>
      <c r="D194" t="s">
        <v>10</v>
      </c>
      <c r="E194" t="s">
        <v>86</v>
      </c>
      <c r="F194">
        <v>2</v>
      </c>
      <c r="G194" t="s">
        <v>525</v>
      </c>
      <c r="H194" t="str">
        <f>HYPERLINK("http://service.sap.com/sap/support/notes/0001968874","0001968874")</f>
        <v>0001968874</v>
      </c>
      <c r="I194" t="s">
        <v>530</v>
      </c>
      <c r="J194">
        <v>1</v>
      </c>
      <c r="K194" t="s">
        <v>13</v>
      </c>
    </row>
    <row r="195" spans="1:11" x14ac:dyDescent="0.25">
      <c r="A195" t="s">
        <v>525</v>
      </c>
      <c r="B195" t="str">
        <f>HYPERLINK("http://service.sap.com/sap/support/notes/0001949386","0001949386")</f>
        <v>0001949386</v>
      </c>
      <c r="C195" t="s">
        <v>531</v>
      </c>
      <c r="D195" t="s">
        <v>10</v>
      </c>
      <c r="E195" t="s">
        <v>532</v>
      </c>
      <c r="F195">
        <v>1</v>
      </c>
      <c r="G195" t="s">
        <v>533</v>
      </c>
      <c r="H195" t="str">
        <f>HYPERLINK("http://service.sap.com/sap/support/notes/0001966906","0001966906")</f>
        <v>0001966906</v>
      </c>
      <c r="I195" t="s">
        <v>534</v>
      </c>
      <c r="J195">
        <v>1</v>
      </c>
      <c r="K195" t="s">
        <v>13</v>
      </c>
    </row>
    <row r="196" spans="1:11" x14ac:dyDescent="0.25">
      <c r="A196" t="s">
        <v>535</v>
      </c>
      <c r="B196" t="str">
        <f>HYPERLINK("http://service.sap.com/sap/support/notes/0001944691","0001944691")</f>
        <v>0001944691</v>
      </c>
      <c r="C196" t="s">
        <v>536</v>
      </c>
      <c r="D196" t="s">
        <v>10</v>
      </c>
      <c r="E196" t="s">
        <v>537</v>
      </c>
      <c r="F196">
        <v>2</v>
      </c>
      <c r="G196" t="s">
        <v>535</v>
      </c>
      <c r="H196" t="str">
        <f>HYPERLINK("http://service.sap.com/sap/support/notes/0001951595","0001951595")</f>
        <v>0001951595</v>
      </c>
      <c r="I196" t="s">
        <v>538</v>
      </c>
      <c r="J196">
        <v>1</v>
      </c>
      <c r="K196" t="s">
        <v>13</v>
      </c>
    </row>
    <row r="197" spans="1:11" x14ac:dyDescent="0.25">
      <c r="A197" t="s">
        <v>535</v>
      </c>
      <c r="B197" t="str">
        <f>HYPERLINK("http://service.sap.com/sap/support/notes/0001996393","0001996393")</f>
        <v>0001996393</v>
      </c>
      <c r="C197" t="s">
        <v>539</v>
      </c>
      <c r="D197" t="s">
        <v>10</v>
      </c>
      <c r="E197" t="s">
        <v>540</v>
      </c>
      <c r="F197">
        <v>2</v>
      </c>
      <c r="G197" t="s">
        <v>535</v>
      </c>
      <c r="H197" t="str">
        <f>HYPERLINK("http://service.sap.com/sap/support/notes/0002074526","0002074526")</f>
        <v>0002074526</v>
      </c>
      <c r="I197" t="s">
        <v>541</v>
      </c>
      <c r="J197">
        <v>1</v>
      </c>
      <c r="K197" t="s">
        <v>47</v>
      </c>
    </row>
    <row r="198" spans="1:11" x14ac:dyDescent="0.25">
      <c r="A198" t="s">
        <v>535</v>
      </c>
      <c r="B198" t="str">
        <f>HYPERLINK("http://service.sap.com/sap/support/notes/0002026600","0002026600")</f>
        <v>0002026600</v>
      </c>
      <c r="C198" t="s">
        <v>542</v>
      </c>
      <c r="D198" t="s">
        <v>10</v>
      </c>
      <c r="E198" t="s">
        <v>543</v>
      </c>
      <c r="F198">
        <v>1</v>
      </c>
      <c r="G198" t="s">
        <v>535</v>
      </c>
      <c r="H198" t="str">
        <f>HYPERLINK("http://service.sap.com/sap/support/notes/0002059054","0002059054")</f>
        <v>0002059054</v>
      </c>
      <c r="I198" t="s">
        <v>544</v>
      </c>
      <c r="J198">
        <v>1</v>
      </c>
      <c r="K198" t="s">
        <v>13</v>
      </c>
    </row>
    <row r="199" spans="1:11" x14ac:dyDescent="0.25">
      <c r="A199" t="s">
        <v>545</v>
      </c>
      <c r="B199" t="str">
        <f>HYPERLINK("http://service.sap.com/sap/support/notes/0001987460","0001987460")</f>
        <v>0001987460</v>
      </c>
      <c r="C199" t="s">
        <v>546</v>
      </c>
      <c r="D199" t="s">
        <v>10</v>
      </c>
      <c r="E199" t="s">
        <v>547</v>
      </c>
      <c r="F199">
        <v>1</v>
      </c>
      <c r="G199" t="s">
        <v>545</v>
      </c>
      <c r="H199" t="str">
        <f>HYPERLINK("http://service.sap.com/sap/support/notes/0002026965","0002026965")</f>
        <v>0002026965</v>
      </c>
      <c r="I199" t="s">
        <v>548</v>
      </c>
      <c r="J199">
        <v>1</v>
      </c>
      <c r="K199" t="s">
        <v>13</v>
      </c>
    </row>
    <row r="200" spans="1:11" x14ac:dyDescent="0.25">
      <c r="A200" t="s">
        <v>116</v>
      </c>
      <c r="B200" t="str">
        <f>HYPERLINK("http://service.sap.com/sap/support/notes/0001995340","0001995340")</f>
        <v>0001995340</v>
      </c>
      <c r="C200" t="s">
        <v>549</v>
      </c>
      <c r="D200" t="s">
        <v>10</v>
      </c>
      <c r="E200" t="s">
        <v>550</v>
      </c>
      <c r="F200">
        <v>3</v>
      </c>
      <c r="G200" t="s">
        <v>116</v>
      </c>
      <c r="H200" t="str">
        <f>HYPERLINK("http://service.sap.com/sap/support/notes/0002084209","0002084209")</f>
        <v>0002084209</v>
      </c>
      <c r="I200" t="s">
        <v>551</v>
      </c>
      <c r="J200">
        <v>1</v>
      </c>
      <c r="K200" t="s">
        <v>13</v>
      </c>
    </row>
    <row r="201" spans="1:11" x14ac:dyDescent="0.25">
      <c r="A201" t="s">
        <v>116</v>
      </c>
      <c r="B201" t="str">
        <f>HYPERLINK("http://service.sap.com/sap/support/notes/0002046890","0002046890")</f>
        <v>0002046890</v>
      </c>
      <c r="C201" t="s">
        <v>552</v>
      </c>
      <c r="D201" t="s">
        <v>553</v>
      </c>
      <c r="E201" t="s">
        <v>550</v>
      </c>
      <c r="F201">
        <v>5</v>
      </c>
      <c r="G201" t="s">
        <v>554</v>
      </c>
      <c r="H201" t="str">
        <f>HYPERLINK("http://service.sap.com/sap/support/notes/0002054203","0002054203")</f>
        <v>0002054203</v>
      </c>
      <c r="I201" t="s">
        <v>555</v>
      </c>
      <c r="J201">
        <v>1</v>
      </c>
      <c r="K201" t="s">
        <v>13</v>
      </c>
    </row>
    <row r="202" spans="1:11" x14ac:dyDescent="0.25">
      <c r="A202" t="s">
        <v>116</v>
      </c>
      <c r="B202" t="str">
        <f>HYPERLINK("http://service.sap.com/sap/support/notes/0002046890","0002046890")</f>
        <v>0002046890</v>
      </c>
      <c r="C202" t="s">
        <v>552</v>
      </c>
      <c r="D202" t="s">
        <v>553</v>
      </c>
      <c r="E202" t="s">
        <v>550</v>
      </c>
      <c r="F202">
        <v>5</v>
      </c>
      <c r="G202" t="s">
        <v>554</v>
      </c>
      <c r="H202" t="str">
        <f>HYPERLINK("http://service.sap.com/sap/support/notes/0002054670","0002054670")</f>
        <v>0002054670</v>
      </c>
      <c r="I202" t="s">
        <v>556</v>
      </c>
      <c r="J202">
        <v>1</v>
      </c>
      <c r="K202" t="s">
        <v>13</v>
      </c>
    </row>
    <row r="203" spans="1:11" x14ac:dyDescent="0.25">
      <c r="A203" t="s">
        <v>116</v>
      </c>
      <c r="B203" t="str">
        <f>HYPERLINK("http://service.sap.com/sap/support/notes/0002046890","0002046890")</f>
        <v>0002046890</v>
      </c>
      <c r="C203" t="s">
        <v>552</v>
      </c>
      <c r="D203" t="s">
        <v>553</v>
      </c>
      <c r="E203" t="s">
        <v>550</v>
      </c>
      <c r="F203">
        <v>5</v>
      </c>
      <c r="G203" t="s">
        <v>557</v>
      </c>
      <c r="H203" t="str">
        <f>HYPERLINK("http://service.sap.com/sap/support/notes/0002059101","0002059101")</f>
        <v>0002059101</v>
      </c>
      <c r="I203" t="s">
        <v>558</v>
      </c>
      <c r="J203">
        <v>1</v>
      </c>
      <c r="K203" t="s">
        <v>13</v>
      </c>
    </row>
    <row r="204" spans="1:11" x14ac:dyDescent="0.25">
      <c r="A204" t="s">
        <v>116</v>
      </c>
      <c r="B204" t="str">
        <f>HYPERLINK("http://service.sap.com/sap/support/notes/0002046890","0002046890")</f>
        <v>0002046890</v>
      </c>
      <c r="C204" t="s">
        <v>552</v>
      </c>
      <c r="D204" t="s">
        <v>553</v>
      </c>
      <c r="E204" t="s">
        <v>550</v>
      </c>
      <c r="F204">
        <v>5</v>
      </c>
      <c r="G204" t="s">
        <v>557</v>
      </c>
      <c r="H204" t="str">
        <f>HYPERLINK("http://service.sap.com/sap/support/notes/0002059618","0002059618")</f>
        <v>0002059618</v>
      </c>
      <c r="I204" t="s">
        <v>559</v>
      </c>
      <c r="J204">
        <v>1</v>
      </c>
      <c r="K204" t="s">
        <v>13</v>
      </c>
    </row>
    <row r="205" spans="1:11" x14ac:dyDescent="0.25">
      <c r="A205" t="s">
        <v>554</v>
      </c>
      <c r="B205" t="str">
        <f>HYPERLINK("http://service.sap.com/sap/support/notes/0001870743","0001870743")</f>
        <v>0001870743</v>
      </c>
      <c r="C205" t="s">
        <v>560</v>
      </c>
      <c r="D205" t="s">
        <v>10</v>
      </c>
      <c r="E205" t="s">
        <v>561</v>
      </c>
      <c r="F205">
        <v>1</v>
      </c>
      <c r="G205" t="s">
        <v>554</v>
      </c>
      <c r="H205" t="str">
        <f>HYPERLINK("http://service.sap.com/sap/support/notes/0001935398","0001935398")</f>
        <v>0001935398</v>
      </c>
      <c r="I205" t="s">
        <v>562</v>
      </c>
      <c r="J205">
        <v>1</v>
      </c>
      <c r="K205" t="s">
        <v>13</v>
      </c>
    </row>
    <row r="206" spans="1:11" x14ac:dyDescent="0.25">
      <c r="A206" t="s">
        <v>554</v>
      </c>
      <c r="B206" t="str">
        <f>HYPERLINK("http://service.sap.com/sap/support/notes/0002052012","0002052012")</f>
        <v>0002052012</v>
      </c>
      <c r="C206" t="s">
        <v>563</v>
      </c>
      <c r="D206" t="s">
        <v>564</v>
      </c>
      <c r="E206" t="s">
        <v>550</v>
      </c>
      <c r="F206">
        <v>3</v>
      </c>
      <c r="G206" t="s">
        <v>554</v>
      </c>
      <c r="H206" t="str">
        <f>HYPERLINK("http://service.sap.com/sap/support/notes/0002054203","0002054203")</f>
        <v>0002054203</v>
      </c>
      <c r="I206" t="s">
        <v>555</v>
      </c>
      <c r="J206">
        <v>1</v>
      </c>
      <c r="K206" t="s">
        <v>13</v>
      </c>
    </row>
    <row r="207" spans="1:11" x14ac:dyDescent="0.25">
      <c r="A207" t="s">
        <v>565</v>
      </c>
      <c r="B207" t="str">
        <f>HYPERLINK("http://service.sap.com/sap/support/notes/0002045936","0002045936")</f>
        <v>0002045936</v>
      </c>
      <c r="C207" t="s">
        <v>566</v>
      </c>
      <c r="D207" t="s">
        <v>10</v>
      </c>
      <c r="E207" t="s">
        <v>550</v>
      </c>
      <c r="F207">
        <v>2</v>
      </c>
      <c r="G207" t="s">
        <v>565</v>
      </c>
      <c r="H207" t="str">
        <f>HYPERLINK("http://service.sap.com/sap/support/notes/0002083647","0002083647")</f>
        <v>0002083647</v>
      </c>
      <c r="I207" t="s">
        <v>567</v>
      </c>
      <c r="J207">
        <v>1</v>
      </c>
      <c r="K207" t="s">
        <v>13</v>
      </c>
    </row>
    <row r="208" spans="1:11" x14ac:dyDescent="0.25">
      <c r="A208" t="s">
        <v>565</v>
      </c>
      <c r="B208" t="str">
        <f>HYPERLINK("http://service.sap.com/sap/support/notes/0002045936","0002045936")</f>
        <v>0002045936</v>
      </c>
      <c r="C208" t="s">
        <v>566</v>
      </c>
      <c r="D208" t="s">
        <v>10</v>
      </c>
      <c r="E208" t="s">
        <v>550</v>
      </c>
      <c r="F208">
        <v>2</v>
      </c>
      <c r="G208" t="s">
        <v>568</v>
      </c>
      <c r="H208" t="str">
        <f>HYPERLINK("http://service.sap.com/sap/support/notes/0002057740","0002057740")</f>
        <v>0002057740</v>
      </c>
      <c r="I208" t="s">
        <v>569</v>
      </c>
      <c r="J208">
        <v>1</v>
      </c>
      <c r="K208" t="s">
        <v>13</v>
      </c>
    </row>
    <row r="209" spans="1:11" x14ac:dyDescent="0.25">
      <c r="A209" t="s">
        <v>557</v>
      </c>
      <c r="B209" t="str">
        <f>HYPERLINK("http://service.sap.com/sap/support/notes/0001867627","0001867627")</f>
        <v>0001867627</v>
      </c>
      <c r="C209" t="s">
        <v>570</v>
      </c>
      <c r="D209" t="s">
        <v>571</v>
      </c>
      <c r="E209" t="s">
        <v>561</v>
      </c>
      <c r="F209">
        <v>12</v>
      </c>
      <c r="G209" t="s">
        <v>557</v>
      </c>
      <c r="H209" t="str">
        <f>HYPERLINK("http://service.sap.com/sap/support/notes/0002066507","0002066507")</f>
        <v>0002066507</v>
      </c>
      <c r="I209" t="s">
        <v>572</v>
      </c>
      <c r="J209">
        <v>2</v>
      </c>
      <c r="K209" t="s">
        <v>13</v>
      </c>
    </row>
    <row r="210" spans="1:11" x14ac:dyDescent="0.25">
      <c r="A210" t="s">
        <v>573</v>
      </c>
      <c r="B210" t="str">
        <f>HYPERLINK("http://service.sap.com/sap/support/notes/0001908360","0001908360")</f>
        <v>0001908360</v>
      </c>
      <c r="C210" t="s">
        <v>574</v>
      </c>
      <c r="D210" t="s">
        <v>10</v>
      </c>
      <c r="E210" t="s">
        <v>561</v>
      </c>
      <c r="F210">
        <v>2</v>
      </c>
      <c r="G210" t="s">
        <v>573</v>
      </c>
      <c r="H210" t="str">
        <f>HYPERLINK("http://service.sap.com/sap/support/notes/0002068688","0002068688")</f>
        <v>0002068688</v>
      </c>
      <c r="I210" t="s">
        <v>575</v>
      </c>
      <c r="J210">
        <v>1</v>
      </c>
      <c r="K210" t="s">
        <v>13</v>
      </c>
    </row>
    <row r="211" spans="1:11" x14ac:dyDescent="0.25">
      <c r="A211" t="s">
        <v>576</v>
      </c>
      <c r="B211" t="str">
        <f>HYPERLINK("http://service.sap.com/sap/support/notes/0002035960","0002035960")</f>
        <v>0002035960</v>
      </c>
      <c r="C211" t="s">
        <v>577</v>
      </c>
      <c r="D211" t="s">
        <v>10</v>
      </c>
      <c r="E211" t="s">
        <v>230</v>
      </c>
      <c r="F211">
        <v>2</v>
      </c>
      <c r="G211" t="s">
        <v>576</v>
      </c>
      <c r="H211" t="str">
        <f>HYPERLINK("http://service.sap.com/sap/support/notes/0002078447","0002078447")</f>
        <v>0002078447</v>
      </c>
      <c r="I211" t="s">
        <v>578</v>
      </c>
      <c r="J211">
        <v>1</v>
      </c>
      <c r="K211" t="s">
        <v>13</v>
      </c>
    </row>
    <row r="212" spans="1:11" x14ac:dyDescent="0.25">
      <c r="A212" t="s">
        <v>579</v>
      </c>
      <c r="B212" t="str">
        <f>HYPERLINK("http://service.sap.com/sap/support/notes/0001990210","0001990210")</f>
        <v>0001990210</v>
      </c>
      <c r="C212" t="s">
        <v>580</v>
      </c>
      <c r="D212" t="s">
        <v>10</v>
      </c>
      <c r="E212" t="s">
        <v>482</v>
      </c>
      <c r="F212">
        <v>2</v>
      </c>
      <c r="G212" t="s">
        <v>579</v>
      </c>
      <c r="H212" t="str">
        <f>HYPERLINK("http://service.sap.com/sap/support/notes/0002003212","0002003212")</f>
        <v>0002003212</v>
      </c>
      <c r="I212" t="s">
        <v>581</v>
      </c>
      <c r="J212">
        <v>1</v>
      </c>
      <c r="K212" t="s">
        <v>13</v>
      </c>
    </row>
    <row r="213" spans="1:11" x14ac:dyDescent="0.25">
      <c r="A213" t="s">
        <v>582</v>
      </c>
      <c r="B213" t="str">
        <f>HYPERLINK("http://service.sap.com/sap/support/notes/0001861173","0001861173")</f>
        <v>0001861173</v>
      </c>
      <c r="C213" t="s">
        <v>583</v>
      </c>
      <c r="D213" t="s">
        <v>10</v>
      </c>
      <c r="E213" t="s">
        <v>230</v>
      </c>
      <c r="F213">
        <v>2</v>
      </c>
      <c r="G213" t="s">
        <v>584</v>
      </c>
      <c r="H213" t="str">
        <f>HYPERLINK("http://service.sap.com/sap/support/notes/0002065759","0002065759")</f>
        <v>0002065759</v>
      </c>
      <c r="I213" t="s">
        <v>585</v>
      </c>
      <c r="J213">
        <v>1</v>
      </c>
      <c r="K213" t="s">
        <v>13</v>
      </c>
    </row>
    <row r="214" spans="1:11" x14ac:dyDescent="0.25">
      <c r="A214" t="s">
        <v>586</v>
      </c>
      <c r="B214" t="str">
        <f>HYPERLINK("http://service.sap.com/sap/support/notes/0001933923","0001933923")</f>
        <v>0001933923</v>
      </c>
      <c r="C214" t="s">
        <v>587</v>
      </c>
      <c r="D214" t="s">
        <v>10</v>
      </c>
      <c r="E214" t="s">
        <v>477</v>
      </c>
      <c r="F214">
        <v>2</v>
      </c>
      <c r="G214" t="s">
        <v>588</v>
      </c>
      <c r="H214" t="str">
        <f>HYPERLINK("http://service.sap.com/sap/support/notes/0002077973","0002077973")</f>
        <v>0002077973</v>
      </c>
      <c r="I214" t="s">
        <v>589</v>
      </c>
      <c r="J214">
        <v>1</v>
      </c>
      <c r="K214" t="s">
        <v>13</v>
      </c>
    </row>
    <row r="215" spans="1:11" x14ac:dyDescent="0.25">
      <c r="A215" t="s">
        <v>590</v>
      </c>
      <c r="B215" t="str">
        <f>HYPERLINK("http://service.sap.com/sap/support/notes/0002003388","0002003388")</f>
        <v>0002003388</v>
      </c>
      <c r="C215" t="s">
        <v>591</v>
      </c>
      <c r="D215" t="s">
        <v>10</v>
      </c>
      <c r="E215" t="s">
        <v>230</v>
      </c>
      <c r="F215">
        <v>2</v>
      </c>
      <c r="G215" t="s">
        <v>584</v>
      </c>
      <c r="H215" t="str">
        <f>HYPERLINK("http://service.sap.com/sap/support/notes/0002065759","0002065759")</f>
        <v>0002065759</v>
      </c>
      <c r="I215" t="s">
        <v>585</v>
      </c>
      <c r="J215">
        <v>1</v>
      </c>
      <c r="K215" t="s">
        <v>13</v>
      </c>
    </row>
    <row r="216" spans="1:11" x14ac:dyDescent="0.25">
      <c r="A216" t="s">
        <v>592</v>
      </c>
      <c r="B216" t="str">
        <f>HYPERLINK("http://service.sap.com/sap/support/notes/0002008175","0002008175")</f>
        <v>0002008175</v>
      </c>
      <c r="C216" t="s">
        <v>593</v>
      </c>
      <c r="D216" t="s">
        <v>10</v>
      </c>
      <c r="E216" t="s">
        <v>482</v>
      </c>
      <c r="F216">
        <v>2</v>
      </c>
      <c r="G216" t="s">
        <v>592</v>
      </c>
      <c r="H216" t="str">
        <f>HYPERLINK("http://service.sap.com/sap/support/notes/0002069832","0002069832")</f>
        <v>0002069832</v>
      </c>
      <c r="I216" t="s">
        <v>594</v>
      </c>
      <c r="J216">
        <v>1</v>
      </c>
      <c r="K216" t="s">
        <v>13</v>
      </c>
    </row>
    <row r="217" spans="1:11" x14ac:dyDescent="0.25">
      <c r="A217" t="s">
        <v>595</v>
      </c>
      <c r="B217" t="str">
        <f>HYPERLINK("http://service.sap.com/sap/support/notes/0002012389","0002012389")</f>
        <v>0002012389</v>
      </c>
      <c r="C217" t="s">
        <v>596</v>
      </c>
      <c r="D217" t="s">
        <v>10</v>
      </c>
      <c r="E217" t="s">
        <v>223</v>
      </c>
      <c r="F217">
        <v>3</v>
      </c>
      <c r="G217" t="s">
        <v>595</v>
      </c>
      <c r="H217" t="str">
        <f>HYPERLINK("http://service.sap.com/sap/support/notes/0002068634","0002068634")</f>
        <v>0002068634</v>
      </c>
      <c r="I217" t="s">
        <v>597</v>
      </c>
      <c r="J217">
        <v>1</v>
      </c>
      <c r="K217" t="s">
        <v>13</v>
      </c>
    </row>
    <row r="218" spans="1:11" x14ac:dyDescent="0.25">
      <c r="A218" t="s">
        <v>595</v>
      </c>
      <c r="B218" t="str">
        <f>HYPERLINK("http://service.sap.com/sap/support/notes/0002021933","0002021933")</f>
        <v>0002021933</v>
      </c>
      <c r="C218" t="s">
        <v>598</v>
      </c>
      <c r="D218" t="s">
        <v>10</v>
      </c>
      <c r="E218" t="s">
        <v>223</v>
      </c>
      <c r="F218">
        <v>1</v>
      </c>
      <c r="G218" t="s">
        <v>595</v>
      </c>
      <c r="H218" t="str">
        <f>HYPERLINK("http://service.sap.com/sap/support/notes/0002080064","0002080064")</f>
        <v>0002080064</v>
      </c>
      <c r="I218" t="s">
        <v>599</v>
      </c>
      <c r="J218">
        <v>1</v>
      </c>
      <c r="K218" t="s">
        <v>13</v>
      </c>
    </row>
    <row r="219" spans="1:11" x14ac:dyDescent="0.25">
      <c r="A219" t="s">
        <v>600</v>
      </c>
      <c r="B219" t="str">
        <f>HYPERLINK("http://service.sap.com/sap/support/notes/0001876824","0001876824")</f>
        <v>0001876824</v>
      </c>
      <c r="C219" t="s">
        <v>601</v>
      </c>
      <c r="D219" t="s">
        <v>10</v>
      </c>
      <c r="E219" t="s">
        <v>602</v>
      </c>
      <c r="F219">
        <v>31</v>
      </c>
      <c r="G219" t="s">
        <v>600</v>
      </c>
      <c r="H219" t="str">
        <f>HYPERLINK("http://service.sap.com/sap/support/notes/0002030341","0002030341")</f>
        <v>0002030341</v>
      </c>
      <c r="I219" t="s">
        <v>603</v>
      </c>
      <c r="J219">
        <v>1</v>
      </c>
      <c r="K219" t="s">
        <v>13</v>
      </c>
    </row>
    <row r="220" spans="1:11" x14ac:dyDescent="0.25">
      <c r="A220" t="s">
        <v>604</v>
      </c>
      <c r="B220" t="str">
        <f>HYPERLINK("http://service.sap.com/sap/support/notes/0001968346","0001968346")</f>
        <v>0001968346</v>
      </c>
      <c r="C220" t="s">
        <v>605</v>
      </c>
      <c r="D220" t="s">
        <v>10</v>
      </c>
      <c r="E220" t="s">
        <v>482</v>
      </c>
      <c r="F220">
        <v>5</v>
      </c>
      <c r="G220" t="s">
        <v>606</v>
      </c>
      <c r="H220" t="str">
        <f>HYPERLINK("http://service.sap.com/sap/support/notes/0002062228","0002062228")</f>
        <v>0002062228</v>
      </c>
      <c r="I220" t="s">
        <v>607</v>
      </c>
      <c r="J220">
        <v>1</v>
      </c>
      <c r="K220" t="s">
        <v>13</v>
      </c>
    </row>
    <row r="221" spans="1:11" x14ac:dyDescent="0.25">
      <c r="A221" t="s">
        <v>608</v>
      </c>
      <c r="B221" t="str">
        <f>HYPERLINK("http://service.sap.com/sap/support/notes/0002052946","0002052946")</f>
        <v>0002052946</v>
      </c>
      <c r="C221" t="s">
        <v>609</v>
      </c>
      <c r="D221" t="s">
        <v>10</v>
      </c>
      <c r="E221" t="s">
        <v>391</v>
      </c>
      <c r="F221">
        <v>2</v>
      </c>
      <c r="G221" t="s">
        <v>608</v>
      </c>
      <c r="H221" t="str">
        <f>HYPERLINK("http://service.sap.com/sap/support/notes/0002073382","0002073382")</f>
        <v>0002073382</v>
      </c>
      <c r="I221" t="s">
        <v>610</v>
      </c>
      <c r="J221">
        <v>1</v>
      </c>
      <c r="K221" t="s">
        <v>13</v>
      </c>
    </row>
    <row r="222" spans="1:11" x14ac:dyDescent="0.25">
      <c r="A222" t="s">
        <v>611</v>
      </c>
      <c r="B222" t="str">
        <f>HYPERLINK("http://service.sap.com/sap/support/notes/0001877120","0001877120")</f>
        <v>0001877120</v>
      </c>
      <c r="C222" t="s">
        <v>612</v>
      </c>
      <c r="D222" t="s">
        <v>10</v>
      </c>
      <c r="E222" t="s">
        <v>613</v>
      </c>
      <c r="F222">
        <v>19</v>
      </c>
      <c r="G222" t="s">
        <v>611</v>
      </c>
      <c r="H222" t="str">
        <f>HYPERLINK("http://service.sap.com/sap/support/notes/0001955366","0001955366")</f>
        <v>0001955366</v>
      </c>
      <c r="I222" t="s">
        <v>614</v>
      </c>
      <c r="J222">
        <v>1</v>
      </c>
      <c r="K222" t="s">
        <v>13</v>
      </c>
    </row>
    <row r="223" spans="1:11" x14ac:dyDescent="0.25">
      <c r="A223" t="s">
        <v>615</v>
      </c>
      <c r="B223" t="str">
        <f>HYPERLINK("http://service.sap.com/sap/support/notes/0001940281","0001940281")</f>
        <v>0001940281</v>
      </c>
      <c r="C223" t="s">
        <v>616</v>
      </c>
      <c r="D223" t="s">
        <v>10</v>
      </c>
      <c r="E223" t="s">
        <v>617</v>
      </c>
      <c r="F223">
        <v>4</v>
      </c>
      <c r="G223" t="s">
        <v>615</v>
      </c>
      <c r="H223" t="str">
        <f>HYPERLINK("http://service.sap.com/sap/support/notes/0002082775","0002082775")</f>
        <v>0002082775</v>
      </c>
      <c r="I223" t="s">
        <v>618</v>
      </c>
      <c r="J223">
        <v>1</v>
      </c>
      <c r="K223" t="s">
        <v>13</v>
      </c>
    </row>
    <row r="224" spans="1:11" x14ac:dyDescent="0.25">
      <c r="A224" t="s">
        <v>615</v>
      </c>
      <c r="B224" t="str">
        <f>HYPERLINK("http://service.sap.com/sap/support/notes/0001967889","0001967889")</f>
        <v>0001967889</v>
      </c>
      <c r="C224" t="s">
        <v>619</v>
      </c>
      <c r="D224" t="s">
        <v>10</v>
      </c>
      <c r="E224" t="s">
        <v>617</v>
      </c>
      <c r="F224">
        <v>9</v>
      </c>
      <c r="G224" t="s">
        <v>620</v>
      </c>
      <c r="H224" t="str">
        <f>HYPERLINK("http://service.sap.com/sap/support/notes/0002047830","0002047830")</f>
        <v>0002047830</v>
      </c>
      <c r="I224" t="s">
        <v>621</v>
      </c>
      <c r="J224">
        <v>1</v>
      </c>
      <c r="K224" t="s">
        <v>13</v>
      </c>
    </row>
    <row r="225" spans="1:11" x14ac:dyDescent="0.25">
      <c r="A225" t="s">
        <v>615</v>
      </c>
      <c r="B225" t="str">
        <f>HYPERLINK("http://service.sap.com/sap/support/notes/0002054885","0002054885")</f>
        <v>0002054885</v>
      </c>
      <c r="C225" t="s">
        <v>622</v>
      </c>
      <c r="D225" t="s">
        <v>10</v>
      </c>
      <c r="E225" t="s">
        <v>623</v>
      </c>
      <c r="F225">
        <v>2</v>
      </c>
      <c r="G225" t="s">
        <v>615</v>
      </c>
      <c r="H225" t="str">
        <f>HYPERLINK("http://service.sap.com/sap/support/notes/0002071855","0002071855")</f>
        <v>0002071855</v>
      </c>
      <c r="I225" t="s">
        <v>622</v>
      </c>
      <c r="J225">
        <v>1</v>
      </c>
      <c r="K225" t="s">
        <v>13</v>
      </c>
    </row>
    <row r="226" spans="1:11" x14ac:dyDescent="0.25">
      <c r="A226" t="s">
        <v>624</v>
      </c>
      <c r="B226" t="str">
        <f>HYPERLINK("http://service.sap.com/sap/support/notes/0002059815","0002059815")</f>
        <v>0002059815</v>
      </c>
      <c r="C226" t="s">
        <v>625</v>
      </c>
      <c r="D226" t="s">
        <v>10</v>
      </c>
      <c r="E226" t="s">
        <v>623</v>
      </c>
      <c r="F226">
        <v>1</v>
      </c>
      <c r="G226" t="s">
        <v>626</v>
      </c>
      <c r="H226" t="str">
        <f>HYPERLINK("http://service.sap.com/sap/support/notes/0002077330","0002077330")</f>
        <v>0002077330</v>
      </c>
      <c r="I226" t="s">
        <v>627</v>
      </c>
      <c r="J226">
        <v>1</v>
      </c>
      <c r="K226" t="s">
        <v>13</v>
      </c>
    </row>
    <row r="227" spans="1:11" x14ac:dyDescent="0.25">
      <c r="A227" t="s">
        <v>628</v>
      </c>
      <c r="B227" t="str">
        <f>HYPERLINK("http://service.sap.com/sap/support/notes/0001960352","0001960352")</f>
        <v>0001960352</v>
      </c>
      <c r="C227" t="s">
        <v>629</v>
      </c>
      <c r="D227" t="s">
        <v>10</v>
      </c>
      <c r="E227" t="s">
        <v>361</v>
      </c>
      <c r="F227">
        <v>8</v>
      </c>
      <c r="G227" t="s">
        <v>628</v>
      </c>
      <c r="H227" t="str">
        <f>HYPERLINK("http://service.sap.com/sap/support/notes/0002079373","0002079373")</f>
        <v>0002079373</v>
      </c>
      <c r="I227" t="s">
        <v>630</v>
      </c>
      <c r="J227">
        <v>1</v>
      </c>
      <c r="K227" t="s">
        <v>13</v>
      </c>
    </row>
    <row r="228" spans="1:11" x14ac:dyDescent="0.25">
      <c r="A228" t="s">
        <v>631</v>
      </c>
      <c r="B228" t="str">
        <f>HYPERLINK("http://service.sap.com/sap/support/notes/0002035833","0002035833")</f>
        <v>0002035833</v>
      </c>
      <c r="C228" t="s">
        <v>632</v>
      </c>
      <c r="D228" t="s">
        <v>10</v>
      </c>
      <c r="E228" t="s">
        <v>230</v>
      </c>
      <c r="F228">
        <v>2</v>
      </c>
      <c r="G228" t="s">
        <v>631</v>
      </c>
      <c r="H228" t="str">
        <f>HYPERLINK("http://service.sap.com/sap/support/notes/0002062888","0002062888")</f>
        <v>0002062888</v>
      </c>
      <c r="I228" t="s">
        <v>633</v>
      </c>
      <c r="J228">
        <v>1</v>
      </c>
      <c r="K228" t="s">
        <v>47</v>
      </c>
    </row>
    <row r="229" spans="1:11" x14ac:dyDescent="0.25">
      <c r="A229" t="s">
        <v>634</v>
      </c>
      <c r="B229" t="str">
        <f>HYPERLINK("http://service.sap.com/sap/support/notes/0001979378","0001979378")</f>
        <v>0001979378</v>
      </c>
      <c r="C229" t="s">
        <v>635</v>
      </c>
      <c r="D229" t="s">
        <v>10</v>
      </c>
      <c r="E229" t="s">
        <v>477</v>
      </c>
      <c r="F229">
        <v>1</v>
      </c>
      <c r="G229" t="s">
        <v>634</v>
      </c>
      <c r="H229" t="str">
        <f>HYPERLINK("http://service.sap.com/sap/support/notes/0002068099","0002068099")</f>
        <v>0002068099</v>
      </c>
      <c r="I229" t="s">
        <v>636</v>
      </c>
      <c r="J229">
        <v>1</v>
      </c>
      <c r="K229" t="s">
        <v>13</v>
      </c>
    </row>
    <row r="230" spans="1:11" x14ac:dyDescent="0.25">
      <c r="A230" t="s">
        <v>637</v>
      </c>
      <c r="B230" t="str">
        <f>HYPERLINK("http://service.sap.com/sap/support/notes/0001973140","0001973140")</f>
        <v>0001973140</v>
      </c>
      <c r="C230" t="s">
        <v>638</v>
      </c>
      <c r="D230" t="s">
        <v>10</v>
      </c>
      <c r="E230" t="s">
        <v>639</v>
      </c>
      <c r="F230">
        <v>1</v>
      </c>
      <c r="G230" t="s">
        <v>640</v>
      </c>
      <c r="H230" t="str">
        <f>HYPERLINK("http://service.sap.com/sap/support/notes/0001966505","0001966505")</f>
        <v>0001966505</v>
      </c>
      <c r="I230" t="s">
        <v>641</v>
      </c>
      <c r="J230">
        <v>2</v>
      </c>
      <c r="K230" t="s">
        <v>13</v>
      </c>
    </row>
    <row r="231" spans="1:11" x14ac:dyDescent="0.25">
      <c r="A231" t="s">
        <v>637</v>
      </c>
      <c r="B231" t="str">
        <f>HYPERLINK("http://service.sap.com/sap/support/notes/0001979106","0001979106")</f>
        <v>0001979106</v>
      </c>
      <c r="C231" t="s">
        <v>642</v>
      </c>
      <c r="D231" t="s">
        <v>10</v>
      </c>
      <c r="E231" t="s">
        <v>230</v>
      </c>
      <c r="F231">
        <v>1</v>
      </c>
      <c r="G231" t="s">
        <v>637</v>
      </c>
      <c r="H231" t="str">
        <f>HYPERLINK("http://service.sap.com/sap/support/notes/0002070305","0002070305")</f>
        <v>0002070305</v>
      </c>
      <c r="I231" t="s">
        <v>643</v>
      </c>
      <c r="J231">
        <v>1</v>
      </c>
      <c r="K231" t="s">
        <v>35</v>
      </c>
    </row>
    <row r="232" spans="1:11" x14ac:dyDescent="0.25">
      <c r="A232" t="s">
        <v>637</v>
      </c>
      <c r="B232" t="str">
        <f>HYPERLINK("http://service.sap.com/sap/support/notes/0001979106","0001979106")</f>
        <v>0001979106</v>
      </c>
      <c r="C232" t="s">
        <v>642</v>
      </c>
      <c r="D232" t="s">
        <v>10</v>
      </c>
      <c r="E232" t="s">
        <v>644</v>
      </c>
      <c r="F232">
        <v>1</v>
      </c>
      <c r="G232" t="s">
        <v>637</v>
      </c>
      <c r="H232" t="str">
        <f>HYPERLINK("http://service.sap.com/sap/support/notes/0002070305","0002070305")</f>
        <v>0002070305</v>
      </c>
      <c r="I232" t="s">
        <v>643</v>
      </c>
      <c r="J232">
        <v>1</v>
      </c>
      <c r="K232" t="s">
        <v>35</v>
      </c>
    </row>
    <row r="233" spans="1:11" x14ac:dyDescent="0.25">
      <c r="A233" t="s">
        <v>645</v>
      </c>
      <c r="B233" t="str">
        <f>HYPERLINK("http://service.sap.com/sap/support/notes/0001957980","0001957980")</f>
        <v>0001957980</v>
      </c>
      <c r="C233" t="s">
        <v>646</v>
      </c>
      <c r="D233" t="s">
        <v>10</v>
      </c>
      <c r="E233" t="s">
        <v>477</v>
      </c>
      <c r="F233">
        <v>7</v>
      </c>
      <c r="G233" t="s">
        <v>647</v>
      </c>
      <c r="H233" t="str">
        <f>HYPERLINK("http://service.sap.com/sap/support/notes/0002016557","0002016557")</f>
        <v>0002016557</v>
      </c>
      <c r="I233" t="s">
        <v>648</v>
      </c>
      <c r="J233">
        <v>1</v>
      </c>
      <c r="K233" t="s">
        <v>13</v>
      </c>
    </row>
    <row r="234" spans="1:11" x14ac:dyDescent="0.25">
      <c r="A234" t="s">
        <v>645</v>
      </c>
      <c r="B234" t="str">
        <f>HYPERLINK("http://service.sap.com/sap/support/notes/0001961687","0001961687")</f>
        <v>0001961687</v>
      </c>
      <c r="C234" t="s">
        <v>649</v>
      </c>
      <c r="D234" t="s">
        <v>650</v>
      </c>
      <c r="E234" t="s">
        <v>477</v>
      </c>
      <c r="F234">
        <v>5</v>
      </c>
      <c r="G234" t="s">
        <v>645</v>
      </c>
      <c r="H234" t="str">
        <f>HYPERLINK("http://service.sap.com/sap/support/notes/0002017034","0002017034")</f>
        <v>0002017034</v>
      </c>
      <c r="I234" t="s">
        <v>651</v>
      </c>
      <c r="J234">
        <v>1</v>
      </c>
      <c r="K234" t="s">
        <v>47</v>
      </c>
    </row>
    <row r="235" spans="1:11" x14ac:dyDescent="0.25">
      <c r="A235" t="s">
        <v>645</v>
      </c>
      <c r="B235" t="str">
        <f>HYPERLINK("http://service.sap.com/sap/support/notes/0002028579","0002028579")</f>
        <v>0002028579</v>
      </c>
      <c r="C235" t="s">
        <v>652</v>
      </c>
      <c r="D235" t="s">
        <v>10</v>
      </c>
      <c r="E235" t="s">
        <v>230</v>
      </c>
      <c r="F235">
        <v>1</v>
      </c>
      <c r="G235" t="s">
        <v>645</v>
      </c>
      <c r="H235" t="str">
        <f>HYPERLINK("http://service.sap.com/sap/support/notes/0001636111","0001636111")</f>
        <v>0001636111</v>
      </c>
      <c r="I235" t="s">
        <v>653</v>
      </c>
      <c r="J235">
        <v>1</v>
      </c>
      <c r="K235" t="s">
        <v>13</v>
      </c>
    </row>
    <row r="236" spans="1:11" x14ac:dyDescent="0.25">
      <c r="A236" t="s">
        <v>654</v>
      </c>
      <c r="B236" t="str">
        <f>HYPERLINK("http://service.sap.com/sap/support/notes/0002001977","0002001977")</f>
        <v>0002001977</v>
      </c>
      <c r="C236" t="s">
        <v>655</v>
      </c>
      <c r="D236" t="s">
        <v>10</v>
      </c>
      <c r="E236" t="s">
        <v>230</v>
      </c>
      <c r="F236">
        <v>1</v>
      </c>
      <c r="G236" t="s">
        <v>654</v>
      </c>
      <c r="H236" t="str">
        <f>HYPERLINK("http://service.sap.com/sap/support/notes/0002048316","0002048316")</f>
        <v>0002048316</v>
      </c>
      <c r="I236" t="s">
        <v>655</v>
      </c>
      <c r="J236">
        <v>1</v>
      </c>
      <c r="K236" t="s">
        <v>13</v>
      </c>
    </row>
    <row r="237" spans="1:11" x14ac:dyDescent="0.25">
      <c r="A237" t="s">
        <v>656</v>
      </c>
      <c r="B237" t="str">
        <f>HYPERLINK("http://service.sap.com/sap/support/notes/0002051329","0002051329")</f>
        <v>0002051329</v>
      </c>
      <c r="C237" t="s">
        <v>657</v>
      </c>
      <c r="D237" t="s">
        <v>10</v>
      </c>
      <c r="E237" t="s">
        <v>230</v>
      </c>
      <c r="F237">
        <v>1</v>
      </c>
      <c r="G237" t="s">
        <v>656</v>
      </c>
      <c r="H237" t="str">
        <f>HYPERLINK("http://service.sap.com/sap/support/notes/0002064126","0002064126")</f>
        <v>0002064126</v>
      </c>
      <c r="I237" t="s">
        <v>658</v>
      </c>
      <c r="J237">
        <v>1</v>
      </c>
      <c r="K237" t="s">
        <v>13</v>
      </c>
    </row>
    <row r="238" spans="1:11" x14ac:dyDescent="0.25">
      <c r="A238" t="s">
        <v>659</v>
      </c>
      <c r="B238" t="str">
        <f>HYPERLINK("http://service.sap.com/sap/support/notes/0001986640","0001986640")</f>
        <v>0001986640</v>
      </c>
      <c r="C238" t="s">
        <v>660</v>
      </c>
      <c r="D238" t="s">
        <v>10</v>
      </c>
      <c r="E238" t="s">
        <v>477</v>
      </c>
      <c r="F238">
        <v>1</v>
      </c>
      <c r="G238" t="s">
        <v>661</v>
      </c>
      <c r="H238" t="str">
        <f>HYPERLINK("http://service.sap.com/sap/support/notes/0001990112","0001990112")</f>
        <v>0001990112</v>
      </c>
      <c r="I238" t="s">
        <v>662</v>
      </c>
      <c r="J238">
        <v>1</v>
      </c>
      <c r="K238" t="s">
        <v>13</v>
      </c>
    </row>
    <row r="239" spans="1:11" x14ac:dyDescent="0.25">
      <c r="A239" t="s">
        <v>663</v>
      </c>
      <c r="B239" t="str">
        <f>HYPERLINK("http://service.sap.com/sap/support/notes/0001875266","0001875266")</f>
        <v>0001875266</v>
      </c>
      <c r="C239" t="s">
        <v>664</v>
      </c>
      <c r="D239" t="s">
        <v>10</v>
      </c>
      <c r="E239" t="s">
        <v>482</v>
      </c>
      <c r="F239">
        <v>18</v>
      </c>
      <c r="G239" t="s">
        <v>663</v>
      </c>
      <c r="H239" t="str">
        <f>HYPERLINK("http://service.sap.com/sap/support/notes/0002031260","0002031260")</f>
        <v>0002031260</v>
      </c>
      <c r="I239" t="s">
        <v>665</v>
      </c>
      <c r="J239">
        <v>1</v>
      </c>
      <c r="K239" t="s">
        <v>13</v>
      </c>
    </row>
    <row r="240" spans="1:11" x14ac:dyDescent="0.25">
      <c r="A240" t="s">
        <v>663</v>
      </c>
      <c r="B240" t="str">
        <f>HYPERLINK("http://service.sap.com/sap/support/notes/0001988150","0001988150")</f>
        <v>0001988150</v>
      </c>
      <c r="C240" t="s">
        <v>666</v>
      </c>
      <c r="D240" t="s">
        <v>10</v>
      </c>
      <c r="E240" t="s">
        <v>477</v>
      </c>
      <c r="F240">
        <v>1</v>
      </c>
      <c r="G240" t="s">
        <v>663</v>
      </c>
      <c r="H240" t="str">
        <f>HYPERLINK("http://service.sap.com/sap/support/notes/0001994877","0001994877")</f>
        <v>0001994877</v>
      </c>
      <c r="I240" t="s">
        <v>667</v>
      </c>
      <c r="J240">
        <v>1</v>
      </c>
      <c r="K240" t="s">
        <v>13</v>
      </c>
    </row>
    <row r="241" spans="1:11" x14ac:dyDescent="0.25">
      <c r="A241" t="s">
        <v>663</v>
      </c>
      <c r="B241" t="str">
        <f>HYPERLINK("http://service.sap.com/sap/support/notes/0001988150","0001988150")</f>
        <v>0001988150</v>
      </c>
      <c r="C241" t="s">
        <v>666</v>
      </c>
      <c r="D241" t="s">
        <v>10</v>
      </c>
      <c r="E241" t="s">
        <v>477</v>
      </c>
      <c r="F241">
        <v>1</v>
      </c>
      <c r="G241" t="s">
        <v>663</v>
      </c>
      <c r="H241" t="str">
        <f>HYPERLINK("http://service.sap.com/sap/support/notes/0002079270","0002079270")</f>
        <v>0002079270</v>
      </c>
      <c r="I241" t="s">
        <v>668</v>
      </c>
      <c r="J241">
        <v>1</v>
      </c>
      <c r="K241" t="s">
        <v>13</v>
      </c>
    </row>
    <row r="242" spans="1:11" x14ac:dyDescent="0.25">
      <c r="A242" t="s">
        <v>669</v>
      </c>
      <c r="B242" t="str">
        <f>HYPERLINK("http://service.sap.com/sap/support/notes/0002003928","0002003928")</f>
        <v>0002003928</v>
      </c>
      <c r="C242" t="s">
        <v>670</v>
      </c>
      <c r="D242" t="s">
        <v>10</v>
      </c>
      <c r="E242" t="s">
        <v>482</v>
      </c>
      <c r="F242">
        <v>1</v>
      </c>
      <c r="G242" t="s">
        <v>669</v>
      </c>
      <c r="H242" t="str">
        <f>HYPERLINK("http://service.sap.com/sap/support/notes/0001913503","0001913503")</f>
        <v>0001913503</v>
      </c>
      <c r="I242" t="s">
        <v>671</v>
      </c>
      <c r="J242">
        <v>1</v>
      </c>
      <c r="K242" t="s">
        <v>13</v>
      </c>
    </row>
    <row r="243" spans="1:11" x14ac:dyDescent="0.25">
      <c r="A243" t="s">
        <v>647</v>
      </c>
      <c r="B243" t="str">
        <f>HYPERLINK("http://service.sap.com/sap/support/notes/0001926256","0001926256")</f>
        <v>0001926256</v>
      </c>
      <c r="C243" t="s">
        <v>672</v>
      </c>
      <c r="D243" t="s">
        <v>10</v>
      </c>
      <c r="E243" t="s">
        <v>477</v>
      </c>
      <c r="F243">
        <v>1</v>
      </c>
      <c r="G243" t="s">
        <v>647</v>
      </c>
      <c r="H243" t="str">
        <f>HYPERLINK("http://service.sap.com/sap/support/notes/0002066856","0002066856")</f>
        <v>0002066856</v>
      </c>
      <c r="I243" t="s">
        <v>673</v>
      </c>
      <c r="J243">
        <v>1</v>
      </c>
      <c r="K243" t="s">
        <v>13</v>
      </c>
    </row>
    <row r="244" spans="1:11" x14ac:dyDescent="0.25">
      <c r="A244" t="s">
        <v>647</v>
      </c>
      <c r="B244" t="str">
        <f>HYPERLINK("http://service.sap.com/sap/support/notes/0001953446","0001953446")</f>
        <v>0001953446</v>
      </c>
      <c r="C244" t="s">
        <v>674</v>
      </c>
      <c r="D244" t="s">
        <v>10</v>
      </c>
      <c r="E244" t="s">
        <v>477</v>
      </c>
      <c r="F244">
        <v>2</v>
      </c>
      <c r="G244" t="s">
        <v>647</v>
      </c>
      <c r="H244" t="str">
        <f>HYPERLINK("http://service.sap.com/sap/support/notes/0002066370","0002066370")</f>
        <v>0002066370</v>
      </c>
      <c r="I244" t="s">
        <v>675</v>
      </c>
      <c r="J244">
        <v>1</v>
      </c>
      <c r="K244" t="s">
        <v>13</v>
      </c>
    </row>
    <row r="245" spans="1:11" x14ac:dyDescent="0.25">
      <c r="A245" t="s">
        <v>676</v>
      </c>
      <c r="B245" t="str">
        <f>HYPERLINK("http://service.sap.com/sap/support/notes/0001976636","0001976636")</f>
        <v>0001976636</v>
      </c>
      <c r="C245" t="s">
        <v>677</v>
      </c>
      <c r="D245" t="s">
        <v>10</v>
      </c>
      <c r="E245" t="s">
        <v>477</v>
      </c>
      <c r="F245">
        <v>3</v>
      </c>
      <c r="G245" t="s">
        <v>676</v>
      </c>
      <c r="H245" t="str">
        <f>HYPERLINK("http://service.sap.com/sap/support/notes/0002078317","0002078317")</f>
        <v>0002078317</v>
      </c>
      <c r="I245" t="s">
        <v>678</v>
      </c>
      <c r="J245">
        <v>1</v>
      </c>
      <c r="K245" t="s">
        <v>13</v>
      </c>
    </row>
    <row r="246" spans="1:11" x14ac:dyDescent="0.25">
      <c r="A246" t="s">
        <v>679</v>
      </c>
      <c r="B246" t="str">
        <f>HYPERLINK("http://service.sap.com/sap/support/notes/0001944161","0001944161")</f>
        <v>0001944161</v>
      </c>
      <c r="C246" t="s">
        <v>680</v>
      </c>
      <c r="D246" t="s">
        <v>10</v>
      </c>
      <c r="E246" t="s">
        <v>477</v>
      </c>
      <c r="F246">
        <v>10</v>
      </c>
      <c r="G246" t="s">
        <v>681</v>
      </c>
      <c r="H246" t="str">
        <f>HYPERLINK("http://service.sap.com/sap/support/notes/0002074849","0002074849")</f>
        <v>0002074849</v>
      </c>
      <c r="I246" t="s">
        <v>682</v>
      </c>
      <c r="J246">
        <v>1</v>
      </c>
      <c r="K246" t="s">
        <v>13</v>
      </c>
    </row>
    <row r="247" spans="1:11" x14ac:dyDescent="0.25">
      <c r="A247" t="s">
        <v>683</v>
      </c>
      <c r="B247" t="str">
        <f>HYPERLINK("http://service.sap.com/sap/support/notes/0001986292","0001986292")</f>
        <v>0001986292</v>
      </c>
      <c r="C247" t="s">
        <v>684</v>
      </c>
      <c r="D247" t="s">
        <v>10</v>
      </c>
      <c r="E247" t="s">
        <v>685</v>
      </c>
      <c r="F247">
        <v>2</v>
      </c>
      <c r="G247" t="s">
        <v>686</v>
      </c>
      <c r="H247" t="str">
        <f>HYPERLINK("http://service.sap.com/sap/support/notes/0001923376","0001923376")</f>
        <v>0001923376</v>
      </c>
      <c r="I247" t="s">
        <v>687</v>
      </c>
      <c r="J247">
        <v>2</v>
      </c>
      <c r="K247" t="s">
        <v>13</v>
      </c>
    </row>
    <row r="248" spans="1:11" x14ac:dyDescent="0.25">
      <c r="A248" t="s">
        <v>688</v>
      </c>
      <c r="B248" t="str">
        <f>HYPERLINK("http://service.sap.com/sap/support/notes/0001901807","0001901807")</f>
        <v>0001901807</v>
      </c>
      <c r="C248" t="s">
        <v>689</v>
      </c>
      <c r="D248" t="s">
        <v>10</v>
      </c>
      <c r="E248" t="s">
        <v>477</v>
      </c>
      <c r="F248">
        <v>5</v>
      </c>
      <c r="G248" t="s">
        <v>690</v>
      </c>
      <c r="H248" t="str">
        <f>HYPERLINK("http://service.sap.com/sap/support/notes/0001865662","0001865662")</f>
        <v>0001865662</v>
      </c>
      <c r="I248" t="s">
        <v>691</v>
      </c>
      <c r="J248">
        <v>1</v>
      </c>
      <c r="K248" t="s">
        <v>13</v>
      </c>
    </row>
    <row r="249" spans="1:11" x14ac:dyDescent="0.25">
      <c r="A249" t="s">
        <v>692</v>
      </c>
      <c r="B249" t="str">
        <f>HYPERLINK("http://service.sap.com/sap/support/notes/0001953410","0001953410")</f>
        <v>0001953410</v>
      </c>
      <c r="C249" t="s">
        <v>693</v>
      </c>
      <c r="D249" t="s">
        <v>10</v>
      </c>
      <c r="E249" t="s">
        <v>477</v>
      </c>
      <c r="F249">
        <v>3</v>
      </c>
      <c r="G249" t="s">
        <v>692</v>
      </c>
      <c r="H249" t="str">
        <f>HYPERLINK("http://service.sap.com/sap/support/notes/0002053544","0002053544")</f>
        <v>0002053544</v>
      </c>
      <c r="I249" t="s">
        <v>694</v>
      </c>
      <c r="J249">
        <v>1</v>
      </c>
      <c r="K249" t="s">
        <v>47</v>
      </c>
    </row>
    <row r="250" spans="1:11" x14ac:dyDescent="0.25">
      <c r="A250" t="s">
        <v>692</v>
      </c>
      <c r="B250" t="str">
        <f>HYPERLINK("http://service.sap.com/sap/support/notes/0001953410","0001953410")</f>
        <v>0001953410</v>
      </c>
      <c r="C250" t="s">
        <v>693</v>
      </c>
      <c r="D250" t="s">
        <v>10</v>
      </c>
      <c r="E250" t="s">
        <v>477</v>
      </c>
      <c r="F250">
        <v>3</v>
      </c>
      <c r="G250" t="s">
        <v>692</v>
      </c>
      <c r="H250" t="str">
        <f>HYPERLINK("http://service.sap.com/sap/support/notes/0002004155","0002004155")</f>
        <v>0002004155</v>
      </c>
      <c r="I250" t="s">
        <v>695</v>
      </c>
      <c r="J250">
        <v>1</v>
      </c>
      <c r="K250" t="s">
        <v>13</v>
      </c>
    </row>
    <row r="251" spans="1:11" x14ac:dyDescent="0.25">
      <c r="A251" t="s">
        <v>692</v>
      </c>
      <c r="B251" t="str">
        <f>HYPERLINK("http://service.sap.com/sap/support/notes/0001953410","0001953410")</f>
        <v>0001953410</v>
      </c>
      <c r="C251" t="s">
        <v>693</v>
      </c>
      <c r="D251" t="s">
        <v>10</v>
      </c>
      <c r="E251" t="s">
        <v>493</v>
      </c>
      <c r="F251">
        <v>3</v>
      </c>
      <c r="G251" t="s">
        <v>692</v>
      </c>
      <c r="H251" t="str">
        <f>HYPERLINK("http://service.sap.com/sap/support/notes/0002053544","0002053544")</f>
        <v>0002053544</v>
      </c>
      <c r="I251" t="s">
        <v>694</v>
      </c>
      <c r="J251">
        <v>1</v>
      </c>
      <c r="K251" t="s">
        <v>47</v>
      </c>
    </row>
    <row r="252" spans="1:11" x14ac:dyDescent="0.25">
      <c r="A252" t="s">
        <v>692</v>
      </c>
      <c r="B252" t="str">
        <f>HYPERLINK("http://service.sap.com/sap/support/notes/0002038691","0002038691")</f>
        <v>0002038691</v>
      </c>
      <c r="C252" t="s">
        <v>696</v>
      </c>
      <c r="D252" t="s">
        <v>10</v>
      </c>
      <c r="E252" t="s">
        <v>230</v>
      </c>
      <c r="F252">
        <v>3</v>
      </c>
      <c r="G252" t="s">
        <v>692</v>
      </c>
      <c r="H252" t="str">
        <f>HYPERLINK("http://service.sap.com/sap/support/notes/0002064112","0002064112")</f>
        <v>0002064112</v>
      </c>
      <c r="I252" t="s">
        <v>697</v>
      </c>
      <c r="J252">
        <v>1</v>
      </c>
      <c r="K252" t="s">
        <v>13</v>
      </c>
    </row>
    <row r="253" spans="1:11" x14ac:dyDescent="0.25">
      <c r="A253" t="s">
        <v>698</v>
      </c>
      <c r="B253" t="str">
        <f>HYPERLINK("http://service.sap.com/sap/support/notes/0002045486","0002045486")</f>
        <v>0002045486</v>
      </c>
      <c r="C253" t="s">
        <v>699</v>
      </c>
      <c r="D253" t="s">
        <v>10</v>
      </c>
      <c r="E253" t="s">
        <v>230</v>
      </c>
      <c r="F253">
        <v>10</v>
      </c>
      <c r="G253" t="s">
        <v>698</v>
      </c>
      <c r="H253" t="str">
        <f>HYPERLINK("http://service.sap.com/sap/support/notes/0002061384","0002061384")</f>
        <v>0002061384</v>
      </c>
      <c r="I253" t="s">
        <v>700</v>
      </c>
      <c r="J253">
        <v>7</v>
      </c>
      <c r="K253" t="s">
        <v>13</v>
      </c>
    </row>
    <row r="254" spans="1:11" x14ac:dyDescent="0.25">
      <c r="A254" t="s">
        <v>701</v>
      </c>
      <c r="B254" t="str">
        <f>HYPERLINK("http://service.sap.com/sap/support/notes/0001956829","0001956829")</f>
        <v>0001956829</v>
      </c>
      <c r="C254" t="s">
        <v>702</v>
      </c>
      <c r="D254" t="s">
        <v>10</v>
      </c>
      <c r="E254" t="s">
        <v>493</v>
      </c>
      <c r="F254">
        <v>6</v>
      </c>
      <c r="G254" t="s">
        <v>701</v>
      </c>
      <c r="H254" t="str">
        <f>HYPERLINK("http://service.sap.com/sap/support/notes/0002067364","0002067364")</f>
        <v>0002067364</v>
      </c>
      <c r="I254" t="s">
        <v>703</v>
      </c>
      <c r="J254">
        <v>1</v>
      </c>
      <c r="K254" t="s">
        <v>13</v>
      </c>
    </row>
    <row r="255" spans="1:11" x14ac:dyDescent="0.25">
      <c r="A255" t="s">
        <v>701</v>
      </c>
      <c r="B255" t="str">
        <f>HYPERLINK("http://service.sap.com/sap/support/notes/0001956829","0001956829")</f>
        <v>0001956829</v>
      </c>
      <c r="C255" t="s">
        <v>702</v>
      </c>
      <c r="D255" t="s">
        <v>10</v>
      </c>
      <c r="E255" t="s">
        <v>482</v>
      </c>
      <c r="F255">
        <v>7</v>
      </c>
      <c r="G255" t="s">
        <v>701</v>
      </c>
      <c r="H255" t="str">
        <f>HYPERLINK("http://service.sap.com/sap/support/notes/0002067364","0002067364")</f>
        <v>0002067364</v>
      </c>
      <c r="I255" t="s">
        <v>703</v>
      </c>
      <c r="J255">
        <v>1</v>
      </c>
      <c r="K255" t="s">
        <v>13</v>
      </c>
    </row>
    <row r="256" spans="1:11" x14ac:dyDescent="0.25">
      <c r="A256" t="s">
        <v>701</v>
      </c>
      <c r="B256" t="str">
        <f>HYPERLINK("http://service.sap.com/sap/support/notes/0001983548","0001983548")</f>
        <v>0001983548</v>
      </c>
      <c r="C256" t="s">
        <v>704</v>
      </c>
      <c r="D256" t="s">
        <v>10</v>
      </c>
      <c r="E256" t="s">
        <v>477</v>
      </c>
      <c r="F256">
        <v>3</v>
      </c>
      <c r="G256" t="s">
        <v>701</v>
      </c>
      <c r="H256" t="str">
        <f>HYPERLINK("http://service.sap.com/sap/support/notes/0002046877","0002046877")</f>
        <v>0002046877</v>
      </c>
      <c r="I256" t="s">
        <v>705</v>
      </c>
      <c r="J256">
        <v>1</v>
      </c>
      <c r="K256" t="s">
        <v>13</v>
      </c>
    </row>
    <row r="257" spans="1:11" x14ac:dyDescent="0.25">
      <c r="A257" t="s">
        <v>706</v>
      </c>
      <c r="B257" t="str">
        <f>HYPERLINK("http://service.sap.com/sap/support/notes/0001878955","0001878955")</f>
        <v>0001878955</v>
      </c>
      <c r="C257" t="s">
        <v>707</v>
      </c>
      <c r="D257" t="s">
        <v>10</v>
      </c>
      <c r="E257" t="s">
        <v>477</v>
      </c>
      <c r="F257">
        <v>6</v>
      </c>
      <c r="G257" t="s">
        <v>706</v>
      </c>
      <c r="H257" t="str">
        <f>HYPERLINK("http://service.sap.com/sap/support/notes/0002079684","0002079684")</f>
        <v>0002079684</v>
      </c>
      <c r="I257" t="s">
        <v>708</v>
      </c>
      <c r="J257">
        <v>1</v>
      </c>
      <c r="K257" t="s">
        <v>13</v>
      </c>
    </row>
    <row r="258" spans="1:11" x14ac:dyDescent="0.25">
      <c r="A258" t="s">
        <v>709</v>
      </c>
      <c r="B258" t="str">
        <f>HYPERLINK("http://service.sap.com/sap/support/notes/0002045737","0002045737")</f>
        <v>0002045737</v>
      </c>
      <c r="C258" t="s">
        <v>710</v>
      </c>
      <c r="D258" t="s">
        <v>10</v>
      </c>
      <c r="E258" t="s">
        <v>230</v>
      </c>
      <c r="F258">
        <v>4</v>
      </c>
      <c r="G258" t="s">
        <v>709</v>
      </c>
      <c r="H258" t="str">
        <f>HYPERLINK("http://service.sap.com/sap/support/notes/0002076489","0002076489")</f>
        <v>0002076489</v>
      </c>
      <c r="I258" t="s">
        <v>711</v>
      </c>
      <c r="J258">
        <v>1</v>
      </c>
      <c r="K258" t="s">
        <v>13</v>
      </c>
    </row>
    <row r="259" spans="1:11" x14ac:dyDescent="0.25">
      <c r="A259" t="s">
        <v>712</v>
      </c>
      <c r="B259" t="str">
        <f>HYPERLINK("http://service.sap.com/sap/support/notes/0001447914","0001447914")</f>
        <v>0001447914</v>
      </c>
      <c r="C259" t="s">
        <v>713</v>
      </c>
      <c r="D259" t="s">
        <v>10</v>
      </c>
      <c r="E259" t="s">
        <v>547</v>
      </c>
      <c r="F259">
        <v>2</v>
      </c>
      <c r="G259" t="s">
        <v>712</v>
      </c>
      <c r="H259" t="str">
        <f>HYPERLINK("http://service.sap.com/sap/support/notes/0001846657","0001846657")</f>
        <v>0001846657</v>
      </c>
      <c r="I259" t="s">
        <v>714</v>
      </c>
      <c r="J259">
        <v>1</v>
      </c>
      <c r="K259" t="s">
        <v>13</v>
      </c>
    </row>
    <row r="260" spans="1:11" x14ac:dyDescent="0.25">
      <c r="A260" t="s">
        <v>712</v>
      </c>
      <c r="B260" t="str">
        <f>HYPERLINK("http://service.sap.com/sap/support/notes/0002062644","0002062644")</f>
        <v>0002062644</v>
      </c>
      <c r="C260" t="s">
        <v>715</v>
      </c>
      <c r="D260" t="s">
        <v>10</v>
      </c>
      <c r="E260" t="s">
        <v>716</v>
      </c>
      <c r="F260">
        <v>2</v>
      </c>
      <c r="G260" t="s">
        <v>717</v>
      </c>
      <c r="H260" t="str">
        <f>HYPERLINK("http://service.sap.com/sap/support/notes/0002070568","0002070568")</f>
        <v>0002070568</v>
      </c>
      <c r="I260" t="s">
        <v>718</v>
      </c>
      <c r="J260">
        <v>1</v>
      </c>
      <c r="K260" t="s">
        <v>13</v>
      </c>
    </row>
    <row r="261" spans="1:11" x14ac:dyDescent="0.25">
      <c r="A261" t="s">
        <v>717</v>
      </c>
      <c r="B261" t="str">
        <f>HYPERLINK("http://service.sap.com/sap/support/notes/0001939661","0001939661")</f>
        <v>0001939661</v>
      </c>
      <c r="C261" t="s">
        <v>719</v>
      </c>
      <c r="D261" t="s">
        <v>10</v>
      </c>
      <c r="E261" t="s">
        <v>720</v>
      </c>
      <c r="F261">
        <v>9</v>
      </c>
      <c r="G261" t="s">
        <v>717</v>
      </c>
      <c r="H261" t="str">
        <f>HYPERLINK("http://service.sap.com/sap/support/notes/0002056092","0002056092")</f>
        <v>0002056092</v>
      </c>
      <c r="I261" t="s">
        <v>721</v>
      </c>
      <c r="J261">
        <v>1</v>
      </c>
      <c r="K261" t="s">
        <v>13</v>
      </c>
    </row>
    <row r="262" spans="1:11" x14ac:dyDescent="0.25">
      <c r="A262" t="s">
        <v>717</v>
      </c>
      <c r="B262" t="str">
        <f>HYPERLINK("http://service.sap.com/sap/support/notes/0001962284","0001962284")</f>
        <v>0001962284</v>
      </c>
      <c r="C262" t="s">
        <v>722</v>
      </c>
      <c r="D262" t="s">
        <v>10</v>
      </c>
      <c r="E262" t="s">
        <v>723</v>
      </c>
      <c r="F262">
        <v>2</v>
      </c>
      <c r="G262" t="s">
        <v>717</v>
      </c>
      <c r="H262" t="str">
        <f>HYPERLINK("http://service.sap.com/sap/support/notes/0001996645","0001996645")</f>
        <v>0001996645</v>
      </c>
      <c r="I262" t="s">
        <v>724</v>
      </c>
      <c r="J262">
        <v>1</v>
      </c>
      <c r="K262" t="s">
        <v>13</v>
      </c>
    </row>
    <row r="263" spans="1:11" x14ac:dyDescent="0.25">
      <c r="A263" t="s">
        <v>717</v>
      </c>
      <c r="B263" t="str">
        <f>HYPERLINK("http://service.sap.com/sap/support/notes/0001962284","0001962284")</f>
        <v>0001962284</v>
      </c>
      <c r="C263" t="s">
        <v>722</v>
      </c>
      <c r="D263" t="s">
        <v>10</v>
      </c>
      <c r="E263" t="s">
        <v>725</v>
      </c>
      <c r="F263">
        <v>2</v>
      </c>
      <c r="G263" t="s">
        <v>717</v>
      </c>
      <c r="H263" t="str">
        <f>HYPERLINK("http://service.sap.com/sap/support/notes/0001996645","0001996645")</f>
        <v>0001996645</v>
      </c>
      <c r="I263" t="s">
        <v>724</v>
      </c>
      <c r="J263">
        <v>1</v>
      </c>
      <c r="K263" t="s">
        <v>13</v>
      </c>
    </row>
    <row r="264" spans="1:11" x14ac:dyDescent="0.25">
      <c r="A264" t="s">
        <v>717</v>
      </c>
      <c r="B264" t="str">
        <f>HYPERLINK("http://service.sap.com/sap/support/notes/0001971493","0001971493")</f>
        <v>0001971493</v>
      </c>
      <c r="C264" t="s">
        <v>726</v>
      </c>
      <c r="D264" t="s">
        <v>10</v>
      </c>
      <c r="E264" t="s">
        <v>727</v>
      </c>
      <c r="F264">
        <v>1</v>
      </c>
      <c r="G264" t="s">
        <v>717</v>
      </c>
      <c r="H264" t="str">
        <f>HYPERLINK("http://service.sap.com/sap/support/notes/0001996645","0001996645")</f>
        <v>0001996645</v>
      </c>
      <c r="I264" t="s">
        <v>724</v>
      </c>
      <c r="J264">
        <v>1</v>
      </c>
      <c r="K264" t="s">
        <v>13</v>
      </c>
    </row>
    <row r="265" spans="1:11" x14ac:dyDescent="0.25">
      <c r="A265" t="s">
        <v>717</v>
      </c>
      <c r="B265" t="str">
        <f>HYPERLINK("http://service.sap.com/sap/support/notes/0001971493","0001971493")</f>
        <v>0001971493</v>
      </c>
      <c r="C265" t="s">
        <v>726</v>
      </c>
      <c r="D265" t="s">
        <v>10</v>
      </c>
      <c r="E265" t="s">
        <v>728</v>
      </c>
      <c r="F265">
        <v>1</v>
      </c>
      <c r="G265" t="s">
        <v>717</v>
      </c>
      <c r="H265" t="str">
        <f>HYPERLINK("http://service.sap.com/sap/support/notes/0001996645","0001996645")</f>
        <v>0001996645</v>
      </c>
      <c r="I265" t="s">
        <v>724</v>
      </c>
      <c r="J265">
        <v>1</v>
      </c>
      <c r="K265" t="s">
        <v>13</v>
      </c>
    </row>
    <row r="266" spans="1:11" x14ac:dyDescent="0.25">
      <c r="A266" t="s">
        <v>717</v>
      </c>
      <c r="B266" t="str">
        <f>HYPERLINK("http://service.sap.com/sap/support/notes/0001988516","0001988516")</f>
        <v>0001988516</v>
      </c>
      <c r="C266" t="s">
        <v>729</v>
      </c>
      <c r="D266" t="s">
        <v>10</v>
      </c>
      <c r="E266" t="s">
        <v>547</v>
      </c>
      <c r="F266">
        <v>1</v>
      </c>
      <c r="G266" t="s">
        <v>717</v>
      </c>
      <c r="H266" t="str">
        <f>HYPERLINK("http://service.sap.com/sap/support/notes/0002084685","0002084685")</f>
        <v>0002084685</v>
      </c>
      <c r="I266" t="s">
        <v>730</v>
      </c>
      <c r="J266">
        <v>1</v>
      </c>
      <c r="K266" t="s">
        <v>13</v>
      </c>
    </row>
    <row r="267" spans="1:11" x14ac:dyDescent="0.25">
      <c r="A267" t="s">
        <v>731</v>
      </c>
      <c r="B267" t="str">
        <f>HYPERLINK("http://service.sap.com/sap/support/notes/0001897913","0001897913")</f>
        <v>0001897913</v>
      </c>
      <c r="C267" t="s">
        <v>732</v>
      </c>
      <c r="D267" t="s">
        <v>10</v>
      </c>
      <c r="E267" t="s">
        <v>733</v>
      </c>
      <c r="F267">
        <v>14</v>
      </c>
      <c r="G267" t="s">
        <v>731</v>
      </c>
      <c r="H267" t="str">
        <f>HYPERLINK("http://service.sap.com/sap/support/notes/0002076917","0002076917")</f>
        <v>0002076917</v>
      </c>
      <c r="I267" t="s">
        <v>734</v>
      </c>
      <c r="J267">
        <v>1</v>
      </c>
      <c r="K267" t="s">
        <v>47</v>
      </c>
    </row>
    <row r="268" spans="1:11" x14ac:dyDescent="0.25">
      <c r="A268" t="s">
        <v>735</v>
      </c>
      <c r="B268" t="str">
        <f>HYPERLINK("http://service.sap.com/sap/support/notes/0001731527","0001731527")</f>
        <v>0001731527</v>
      </c>
      <c r="C268" t="s">
        <v>736</v>
      </c>
      <c r="D268" t="s">
        <v>10</v>
      </c>
      <c r="E268" t="s">
        <v>720</v>
      </c>
      <c r="F268">
        <v>6</v>
      </c>
      <c r="G268" t="s">
        <v>735</v>
      </c>
      <c r="H268" t="str">
        <f>HYPERLINK("http://service.sap.com/sap/support/notes/0001830878","0001830878")</f>
        <v>0001830878</v>
      </c>
      <c r="I268" t="s">
        <v>737</v>
      </c>
      <c r="J268">
        <v>1</v>
      </c>
      <c r="K268" t="s">
        <v>13</v>
      </c>
    </row>
    <row r="269" spans="1:11" x14ac:dyDescent="0.25">
      <c r="A269" t="s">
        <v>735</v>
      </c>
      <c r="B269" t="str">
        <f>HYPERLINK("http://service.sap.com/sap/support/notes/0001987242","0001987242")</f>
        <v>0001987242</v>
      </c>
      <c r="C269" t="s">
        <v>738</v>
      </c>
      <c r="D269" t="s">
        <v>10</v>
      </c>
      <c r="E269" t="s">
        <v>739</v>
      </c>
      <c r="F269">
        <v>2</v>
      </c>
      <c r="G269" t="s">
        <v>735</v>
      </c>
      <c r="H269" t="str">
        <f>HYPERLINK("http://service.sap.com/sap/support/notes/0002069679","0002069679")</f>
        <v>0002069679</v>
      </c>
      <c r="I269" t="s">
        <v>740</v>
      </c>
      <c r="J269">
        <v>1</v>
      </c>
      <c r="K269" t="s">
        <v>13</v>
      </c>
    </row>
    <row r="270" spans="1:11" x14ac:dyDescent="0.25">
      <c r="A270" t="s">
        <v>735</v>
      </c>
      <c r="B270" t="str">
        <f>HYPERLINK("http://service.sap.com/sap/support/notes/0002006243","0002006243")</f>
        <v>0002006243</v>
      </c>
      <c r="C270" t="s">
        <v>741</v>
      </c>
      <c r="D270" t="s">
        <v>10</v>
      </c>
      <c r="E270" t="s">
        <v>547</v>
      </c>
      <c r="F270">
        <v>2</v>
      </c>
      <c r="G270" t="s">
        <v>735</v>
      </c>
      <c r="H270" t="str">
        <f>HYPERLINK("http://service.sap.com/sap/support/notes/0002082701","0002082701")</f>
        <v>0002082701</v>
      </c>
      <c r="I270" t="s">
        <v>742</v>
      </c>
      <c r="J270">
        <v>1</v>
      </c>
      <c r="K270" t="s">
        <v>13</v>
      </c>
    </row>
    <row r="271" spans="1:11" x14ac:dyDescent="0.25">
      <c r="A271" t="s">
        <v>743</v>
      </c>
      <c r="B271" t="str">
        <f>HYPERLINK("http://service.sap.com/sap/support/notes/0002034034","0002034034")</f>
        <v>0002034034</v>
      </c>
      <c r="C271" t="s">
        <v>744</v>
      </c>
      <c r="D271" t="s">
        <v>10</v>
      </c>
      <c r="E271" t="s">
        <v>230</v>
      </c>
      <c r="F271">
        <v>5</v>
      </c>
      <c r="G271" t="s">
        <v>743</v>
      </c>
      <c r="H271" t="str">
        <f>HYPERLINK("http://service.sap.com/sap/support/notes/0002037173","0002037173")</f>
        <v>0002037173</v>
      </c>
      <c r="I271" t="s">
        <v>745</v>
      </c>
      <c r="J271">
        <v>1</v>
      </c>
      <c r="K271" t="s">
        <v>13</v>
      </c>
    </row>
    <row r="272" spans="1:11" x14ac:dyDescent="0.25">
      <c r="A272" t="s">
        <v>746</v>
      </c>
      <c r="B272" t="str">
        <f>HYPERLINK("http://service.sap.com/sap/support/notes/0002046195","0002046195")</f>
        <v>0002046195</v>
      </c>
      <c r="C272" t="s">
        <v>747</v>
      </c>
      <c r="D272" t="s">
        <v>10</v>
      </c>
      <c r="E272" t="s">
        <v>748</v>
      </c>
      <c r="F272">
        <v>1</v>
      </c>
      <c r="G272" t="s">
        <v>746</v>
      </c>
      <c r="H272" t="str">
        <f>HYPERLINK("http://service.sap.com/sap/support/notes/0002069113","0002069113")</f>
        <v>0002069113</v>
      </c>
      <c r="I272" t="s">
        <v>749</v>
      </c>
      <c r="J272">
        <v>1</v>
      </c>
      <c r="K272" t="s">
        <v>13</v>
      </c>
    </row>
    <row r="273" spans="1:11" x14ac:dyDescent="0.25">
      <c r="A273" t="s">
        <v>750</v>
      </c>
      <c r="B273" t="str">
        <f>HYPERLINK("http://service.sap.com/sap/support/notes/0001943794","0001943794")</f>
        <v>0001943794</v>
      </c>
      <c r="C273" t="s">
        <v>751</v>
      </c>
      <c r="D273" t="s">
        <v>10</v>
      </c>
      <c r="E273" t="s">
        <v>477</v>
      </c>
      <c r="F273">
        <v>2</v>
      </c>
      <c r="G273" t="s">
        <v>750</v>
      </c>
      <c r="H273" t="str">
        <f>HYPERLINK("http://service.sap.com/sap/support/notes/0002080786","0002080786")</f>
        <v>0002080786</v>
      </c>
      <c r="I273" t="s">
        <v>752</v>
      </c>
      <c r="J273">
        <v>1</v>
      </c>
      <c r="K273" t="s">
        <v>13</v>
      </c>
    </row>
    <row r="274" spans="1:11" x14ac:dyDescent="0.25">
      <c r="A274" t="s">
        <v>750</v>
      </c>
      <c r="B274" t="str">
        <f>HYPERLINK("http://service.sap.com/sap/support/notes/0002006588","0002006588")</f>
        <v>0002006588</v>
      </c>
      <c r="C274" t="s">
        <v>753</v>
      </c>
      <c r="D274" t="s">
        <v>10</v>
      </c>
      <c r="E274" t="s">
        <v>482</v>
      </c>
      <c r="F274">
        <v>1</v>
      </c>
      <c r="G274" t="s">
        <v>750</v>
      </c>
      <c r="H274" t="str">
        <f>HYPERLINK("http://service.sap.com/sap/support/notes/0002076545","0002076545")</f>
        <v>0002076545</v>
      </c>
      <c r="I274" t="s">
        <v>754</v>
      </c>
      <c r="J274">
        <v>1</v>
      </c>
      <c r="K274" t="s">
        <v>13</v>
      </c>
    </row>
    <row r="275" spans="1:11" x14ac:dyDescent="0.25">
      <c r="A275" t="s">
        <v>750</v>
      </c>
      <c r="B275" t="str">
        <f>HYPERLINK("http://service.sap.com/sap/support/notes/0002041931","0002041931")</f>
        <v>0002041931</v>
      </c>
      <c r="C275" t="s">
        <v>755</v>
      </c>
      <c r="D275" t="s">
        <v>10</v>
      </c>
      <c r="E275" t="s">
        <v>230</v>
      </c>
      <c r="F275">
        <v>3</v>
      </c>
      <c r="G275" t="s">
        <v>750</v>
      </c>
      <c r="H275" t="str">
        <f>HYPERLINK("http://service.sap.com/sap/support/notes/0002052668","0002052668")</f>
        <v>0002052668</v>
      </c>
      <c r="I275" t="s">
        <v>756</v>
      </c>
      <c r="J275">
        <v>1</v>
      </c>
      <c r="K275" t="s">
        <v>47</v>
      </c>
    </row>
    <row r="276" spans="1:11" x14ac:dyDescent="0.25">
      <c r="A276" t="s">
        <v>757</v>
      </c>
      <c r="B276" t="str">
        <f>HYPERLINK("http://service.sap.com/sap/support/notes/0002007624","0002007624")</f>
        <v>0002007624</v>
      </c>
      <c r="C276" t="s">
        <v>758</v>
      </c>
      <c r="D276" t="s">
        <v>10</v>
      </c>
      <c r="E276" t="s">
        <v>759</v>
      </c>
      <c r="F276">
        <v>1</v>
      </c>
      <c r="G276" t="s">
        <v>757</v>
      </c>
      <c r="H276" t="str">
        <f>HYPERLINK("http://service.sap.com/sap/support/notes/0002021382","0002021382")</f>
        <v>0002021382</v>
      </c>
      <c r="I276" t="s">
        <v>760</v>
      </c>
      <c r="J276">
        <v>1</v>
      </c>
      <c r="K276" t="s">
        <v>13</v>
      </c>
    </row>
    <row r="277" spans="1:11" x14ac:dyDescent="0.25">
      <c r="A277" t="s">
        <v>757</v>
      </c>
      <c r="B277" t="str">
        <f>HYPERLINK("http://service.sap.com/sap/support/notes/0002011744","0002011744")</f>
        <v>0002011744</v>
      </c>
      <c r="C277" t="s">
        <v>761</v>
      </c>
      <c r="D277" t="s">
        <v>10</v>
      </c>
      <c r="E277" t="s">
        <v>759</v>
      </c>
      <c r="F277">
        <v>1</v>
      </c>
      <c r="G277" t="s">
        <v>434</v>
      </c>
      <c r="H277" t="str">
        <f>HYPERLINK("http://service.sap.com/sap/support/notes/0002074317","0002074317")</f>
        <v>0002074317</v>
      </c>
      <c r="I277" t="s">
        <v>762</v>
      </c>
      <c r="J277">
        <v>1</v>
      </c>
      <c r="K277" t="s">
        <v>13</v>
      </c>
    </row>
    <row r="278" spans="1:11" x14ac:dyDescent="0.25">
      <c r="A278" t="s">
        <v>763</v>
      </c>
      <c r="B278" t="str">
        <f>HYPERLINK("http://service.sap.com/sap/support/notes/0002045143","0002045143")</f>
        <v>0002045143</v>
      </c>
      <c r="C278" t="s">
        <v>764</v>
      </c>
      <c r="D278" t="s">
        <v>10</v>
      </c>
      <c r="E278" t="s">
        <v>765</v>
      </c>
      <c r="F278">
        <v>1</v>
      </c>
      <c r="G278" t="s">
        <v>763</v>
      </c>
      <c r="H278" t="str">
        <f>HYPERLINK("http://service.sap.com/sap/support/notes/0002064116","0002064116")</f>
        <v>0002064116</v>
      </c>
      <c r="I278" t="s">
        <v>766</v>
      </c>
      <c r="J278">
        <v>1</v>
      </c>
      <c r="K278" t="s">
        <v>13</v>
      </c>
    </row>
    <row r="279" spans="1:11" x14ac:dyDescent="0.25">
      <c r="A279" t="s">
        <v>767</v>
      </c>
      <c r="B279" t="str">
        <f>HYPERLINK("http://service.sap.com/sap/support/notes/0002014737","0002014737")</f>
        <v>0002014737</v>
      </c>
      <c r="C279" t="s">
        <v>768</v>
      </c>
      <c r="D279" t="s">
        <v>10</v>
      </c>
      <c r="E279" t="s">
        <v>759</v>
      </c>
      <c r="F279">
        <v>1</v>
      </c>
      <c r="G279" t="s">
        <v>767</v>
      </c>
      <c r="H279" t="str">
        <f>HYPERLINK("http://service.sap.com/sap/support/notes/0002072819","0002072819")</f>
        <v>0002072819</v>
      </c>
      <c r="I279" t="s">
        <v>769</v>
      </c>
      <c r="J279">
        <v>1</v>
      </c>
      <c r="K279" t="s">
        <v>13</v>
      </c>
    </row>
    <row r="280" spans="1:11" x14ac:dyDescent="0.25">
      <c r="A280" t="s">
        <v>434</v>
      </c>
      <c r="B280" t="str">
        <f>HYPERLINK("http://service.sap.com/sap/support/notes/0001998402","0001998402")</f>
        <v>0001998402</v>
      </c>
      <c r="C280" t="s">
        <v>770</v>
      </c>
      <c r="D280" t="s">
        <v>10</v>
      </c>
      <c r="E280" t="s">
        <v>759</v>
      </c>
      <c r="F280">
        <v>2</v>
      </c>
      <c r="G280" t="s">
        <v>434</v>
      </c>
      <c r="H280" t="str">
        <f>HYPERLINK("http://service.sap.com/sap/support/notes/0002080915","0002080915")</f>
        <v>0002080915</v>
      </c>
      <c r="I280" t="s">
        <v>771</v>
      </c>
      <c r="J280">
        <v>1</v>
      </c>
      <c r="K280" t="s">
        <v>13</v>
      </c>
    </row>
    <row r="281" spans="1:11" x14ac:dyDescent="0.25">
      <c r="A281" t="s">
        <v>434</v>
      </c>
      <c r="B281" t="str">
        <f>HYPERLINK("http://service.sap.com/sap/support/notes/0001999723","0001999723")</f>
        <v>0001999723</v>
      </c>
      <c r="C281" t="s">
        <v>772</v>
      </c>
      <c r="D281" t="s">
        <v>10</v>
      </c>
      <c r="E281" t="s">
        <v>759</v>
      </c>
      <c r="F281">
        <v>9</v>
      </c>
      <c r="G281" t="s">
        <v>773</v>
      </c>
      <c r="H281" t="str">
        <f>HYPERLINK("http://service.sap.com/sap/support/notes/0002048206","0002048206")</f>
        <v>0002048206</v>
      </c>
      <c r="I281" t="s">
        <v>774</v>
      </c>
      <c r="J281">
        <v>1</v>
      </c>
      <c r="K281" t="s">
        <v>13</v>
      </c>
    </row>
    <row r="282" spans="1:11" x14ac:dyDescent="0.25">
      <c r="A282" t="s">
        <v>434</v>
      </c>
      <c r="B282" t="str">
        <f>HYPERLINK("http://service.sap.com/sap/support/notes/0002064450","0002064450")</f>
        <v>0002064450</v>
      </c>
      <c r="C282" t="s">
        <v>775</v>
      </c>
      <c r="D282" t="s">
        <v>10</v>
      </c>
      <c r="E282" t="s">
        <v>765</v>
      </c>
      <c r="F282">
        <v>1</v>
      </c>
      <c r="G282" t="s">
        <v>434</v>
      </c>
      <c r="H282" t="str">
        <f>HYPERLINK("http://service.sap.com/sap/support/notes/0002072057","0002072057")</f>
        <v>0002072057</v>
      </c>
      <c r="I282" t="s">
        <v>776</v>
      </c>
      <c r="J282">
        <v>1</v>
      </c>
      <c r="K282" t="s">
        <v>13</v>
      </c>
    </row>
    <row r="283" spans="1:11" x14ac:dyDescent="0.25">
      <c r="A283" t="s">
        <v>773</v>
      </c>
      <c r="B283" t="str">
        <f>HYPERLINK("http://service.sap.com/sap/support/notes/0002016765","0002016765")</f>
        <v>0002016765</v>
      </c>
      <c r="C283" t="s">
        <v>777</v>
      </c>
      <c r="D283" t="s">
        <v>10</v>
      </c>
      <c r="E283" t="s">
        <v>759</v>
      </c>
      <c r="F283">
        <v>1</v>
      </c>
      <c r="G283" t="s">
        <v>773</v>
      </c>
      <c r="H283" t="str">
        <f>HYPERLINK("http://service.sap.com/sap/support/notes/0002023161","0002023161")</f>
        <v>0002023161</v>
      </c>
      <c r="I283" t="s">
        <v>778</v>
      </c>
      <c r="J283">
        <v>1</v>
      </c>
      <c r="K283" t="s">
        <v>13</v>
      </c>
    </row>
    <row r="284" spans="1:11" x14ac:dyDescent="0.25">
      <c r="A284" t="s">
        <v>779</v>
      </c>
      <c r="B284" t="str">
        <f>HYPERLINK("http://service.sap.com/sap/support/notes/0001998911","0001998911")</f>
        <v>0001998911</v>
      </c>
      <c r="C284" t="s">
        <v>780</v>
      </c>
      <c r="D284" t="s">
        <v>10</v>
      </c>
      <c r="E284" t="s">
        <v>759</v>
      </c>
      <c r="F284">
        <v>2</v>
      </c>
      <c r="G284" t="s">
        <v>779</v>
      </c>
      <c r="H284" t="str">
        <f>HYPERLINK("http://service.sap.com/sap/support/notes/0002044498","0002044498")</f>
        <v>0002044498</v>
      </c>
      <c r="I284" t="s">
        <v>780</v>
      </c>
      <c r="J284">
        <v>1</v>
      </c>
      <c r="K284" t="s">
        <v>13</v>
      </c>
    </row>
    <row r="285" spans="1:11" x14ac:dyDescent="0.25">
      <c r="A285" t="s">
        <v>781</v>
      </c>
      <c r="B285" t="str">
        <f>HYPERLINK("http://service.sap.com/sap/support/notes/0001976171","0001976171")</f>
        <v>0001976171</v>
      </c>
      <c r="C285" t="s">
        <v>782</v>
      </c>
      <c r="D285" t="s">
        <v>10</v>
      </c>
      <c r="E285" t="s">
        <v>783</v>
      </c>
      <c r="F285">
        <v>1</v>
      </c>
      <c r="G285" t="s">
        <v>781</v>
      </c>
      <c r="H285" t="str">
        <f>HYPERLINK("http://service.sap.com/sap/support/notes/0002012266","0002012266")</f>
        <v>0002012266</v>
      </c>
      <c r="I285" t="s">
        <v>784</v>
      </c>
      <c r="J285">
        <v>1</v>
      </c>
      <c r="K285" t="s">
        <v>35</v>
      </c>
    </row>
    <row r="286" spans="1:11" x14ac:dyDescent="0.25">
      <c r="A286" t="s">
        <v>781</v>
      </c>
      <c r="B286" t="str">
        <f>HYPERLINK("http://service.sap.com/sap/support/notes/0002026455","0002026455")</f>
        <v>0002026455</v>
      </c>
      <c r="C286" t="s">
        <v>785</v>
      </c>
      <c r="D286" t="s">
        <v>10</v>
      </c>
      <c r="E286" t="s">
        <v>759</v>
      </c>
      <c r="F286">
        <v>2</v>
      </c>
      <c r="G286" t="s">
        <v>434</v>
      </c>
      <c r="H286" t="str">
        <f>HYPERLINK("http://service.sap.com/sap/support/notes/0002075288","0002075288")</f>
        <v>0002075288</v>
      </c>
      <c r="I286" t="s">
        <v>786</v>
      </c>
      <c r="J286">
        <v>1</v>
      </c>
      <c r="K286" t="s">
        <v>13</v>
      </c>
    </row>
    <row r="287" spans="1:11" x14ac:dyDescent="0.25">
      <c r="A287" t="s">
        <v>781</v>
      </c>
      <c r="B287" t="str">
        <f>HYPERLINK("http://service.sap.com/sap/support/notes/0002027997","0002027997")</f>
        <v>0002027997</v>
      </c>
      <c r="C287" t="s">
        <v>787</v>
      </c>
      <c r="D287" t="s">
        <v>10</v>
      </c>
      <c r="E287" t="s">
        <v>765</v>
      </c>
      <c r="F287">
        <v>1</v>
      </c>
      <c r="G287" t="s">
        <v>781</v>
      </c>
      <c r="H287" t="str">
        <f>HYPERLINK("http://service.sap.com/sap/support/notes/0002070624","0002070624")</f>
        <v>0002070624</v>
      </c>
      <c r="I287" t="s">
        <v>788</v>
      </c>
      <c r="J287">
        <v>1</v>
      </c>
      <c r="K287" t="s">
        <v>13</v>
      </c>
    </row>
    <row r="288" spans="1:11" x14ac:dyDescent="0.25">
      <c r="A288" t="s">
        <v>789</v>
      </c>
      <c r="B288" t="str">
        <f>HYPERLINK("http://service.sap.com/sap/support/notes/0001771302","0001771302")</f>
        <v>0001771302</v>
      </c>
      <c r="C288" t="s">
        <v>790</v>
      </c>
      <c r="D288" t="s">
        <v>10</v>
      </c>
      <c r="E288" t="s">
        <v>791</v>
      </c>
      <c r="F288">
        <v>1</v>
      </c>
      <c r="G288" t="s">
        <v>789</v>
      </c>
      <c r="H288" t="str">
        <f>HYPERLINK("http://service.sap.com/sap/support/notes/0001980014","0001980014")</f>
        <v>0001980014</v>
      </c>
      <c r="I288" t="s">
        <v>792</v>
      </c>
      <c r="J288">
        <v>1</v>
      </c>
      <c r="K288" t="s">
        <v>47</v>
      </c>
    </row>
    <row r="289" spans="1:11" x14ac:dyDescent="0.25">
      <c r="A289" t="s">
        <v>793</v>
      </c>
      <c r="B289" t="str">
        <f>HYPERLINK("http://service.sap.com/sap/support/notes/0002042185","0002042185")</f>
        <v>0002042185</v>
      </c>
      <c r="C289" t="s">
        <v>794</v>
      </c>
      <c r="D289" t="s">
        <v>10</v>
      </c>
      <c r="E289" t="s">
        <v>795</v>
      </c>
      <c r="F289">
        <v>4</v>
      </c>
      <c r="G289" t="s">
        <v>793</v>
      </c>
      <c r="H289" t="str">
        <f>HYPERLINK("http://service.sap.com/sap/support/notes/0002076348","0002076348")</f>
        <v>0002076348</v>
      </c>
      <c r="I289" t="s">
        <v>796</v>
      </c>
      <c r="J289">
        <v>1</v>
      </c>
      <c r="K289" t="s">
        <v>13</v>
      </c>
    </row>
    <row r="290" spans="1:11" x14ac:dyDescent="0.25">
      <c r="A290" t="s">
        <v>797</v>
      </c>
      <c r="B290" t="str">
        <f>HYPERLINK("http://service.sap.com/sap/support/notes/0002059058","0002059058")</f>
        <v>0002059058</v>
      </c>
      <c r="C290" t="s">
        <v>798</v>
      </c>
      <c r="D290" t="s">
        <v>10</v>
      </c>
      <c r="E290" t="s">
        <v>233</v>
      </c>
      <c r="F290">
        <v>2</v>
      </c>
      <c r="G290" t="s">
        <v>797</v>
      </c>
      <c r="H290" t="str">
        <f>HYPERLINK("http://service.sap.com/sap/support/notes/0002071605","0002071605")</f>
        <v>0002071605</v>
      </c>
      <c r="I290" t="s">
        <v>799</v>
      </c>
      <c r="J290">
        <v>1</v>
      </c>
      <c r="K290" t="s">
        <v>13</v>
      </c>
    </row>
    <row r="291" spans="1:11" x14ac:dyDescent="0.25">
      <c r="A291" t="s">
        <v>800</v>
      </c>
      <c r="B291" t="str">
        <f>HYPERLINK("http://service.sap.com/sap/support/notes/0001922806","0001922806")</f>
        <v>0001922806</v>
      </c>
      <c r="C291" t="s">
        <v>801</v>
      </c>
      <c r="D291" t="s">
        <v>10</v>
      </c>
      <c r="E291" t="s">
        <v>324</v>
      </c>
      <c r="F291">
        <v>2</v>
      </c>
      <c r="G291" t="s">
        <v>800</v>
      </c>
      <c r="H291" t="str">
        <f>HYPERLINK("http://service.sap.com/sap/support/notes/0002026986","0002026986")</f>
        <v>0002026986</v>
      </c>
      <c r="I291" t="s">
        <v>802</v>
      </c>
      <c r="J291">
        <v>1</v>
      </c>
      <c r="K291" t="s">
        <v>13</v>
      </c>
    </row>
    <row r="292" spans="1:11" x14ac:dyDescent="0.25">
      <c r="A292" t="s">
        <v>800</v>
      </c>
      <c r="B292" t="str">
        <f>HYPERLINK("http://service.sap.com/sap/support/notes/0002023783","0002023783")</f>
        <v>0002023783</v>
      </c>
      <c r="C292" t="s">
        <v>803</v>
      </c>
      <c r="D292" t="s">
        <v>10</v>
      </c>
      <c r="E292" t="s">
        <v>11</v>
      </c>
      <c r="F292">
        <v>1</v>
      </c>
      <c r="G292" t="s">
        <v>800</v>
      </c>
      <c r="H292" t="str">
        <f>HYPERLINK("http://service.sap.com/sap/support/notes/0002048743","0002048743")</f>
        <v>0002048743</v>
      </c>
      <c r="I292" t="s">
        <v>804</v>
      </c>
      <c r="J292">
        <v>1</v>
      </c>
      <c r="K292" t="s">
        <v>35</v>
      </c>
    </row>
    <row r="293" spans="1:11" x14ac:dyDescent="0.25">
      <c r="A293" t="s">
        <v>805</v>
      </c>
      <c r="B293" t="str">
        <f>HYPERLINK("http://service.sap.com/sap/support/notes/0002055985","0002055985")</f>
        <v>0002055985</v>
      </c>
      <c r="C293" t="s">
        <v>806</v>
      </c>
      <c r="D293">
        <v>1</v>
      </c>
      <c r="E293" t="s">
        <v>807</v>
      </c>
      <c r="F293">
        <v>1</v>
      </c>
      <c r="G293" t="s">
        <v>805</v>
      </c>
      <c r="H293" t="str">
        <f>HYPERLINK("http://service.sap.com/sap/support/notes/0002070025","0002070025")</f>
        <v>0002070025</v>
      </c>
      <c r="I293" t="s">
        <v>808</v>
      </c>
      <c r="J293">
        <v>1</v>
      </c>
      <c r="K293" t="s">
        <v>35</v>
      </c>
    </row>
    <row r="294" spans="1:11" x14ac:dyDescent="0.25">
      <c r="A294" t="s">
        <v>809</v>
      </c>
      <c r="B294" t="str">
        <f>HYPERLINK("http://service.sap.com/sap/support/notes/0002044470","0002044470")</f>
        <v>0002044470</v>
      </c>
      <c r="C294" t="s">
        <v>810</v>
      </c>
      <c r="D294" t="s">
        <v>10</v>
      </c>
      <c r="E294" t="s">
        <v>807</v>
      </c>
      <c r="F294">
        <v>2</v>
      </c>
      <c r="G294" t="s">
        <v>809</v>
      </c>
      <c r="H294" t="str">
        <f>HYPERLINK("http://service.sap.com/sap/support/notes/0002073351","0002073351")</f>
        <v>0002073351</v>
      </c>
      <c r="I294" t="s">
        <v>811</v>
      </c>
      <c r="J294">
        <v>1</v>
      </c>
      <c r="K294" t="s">
        <v>13</v>
      </c>
    </row>
    <row r="295" spans="1:11" x14ac:dyDescent="0.25">
      <c r="A295" t="s">
        <v>809</v>
      </c>
      <c r="B295" t="str">
        <f>HYPERLINK("http://service.sap.com/sap/support/notes/0002044470","0002044470")</f>
        <v>0002044470</v>
      </c>
      <c r="C295" t="s">
        <v>810</v>
      </c>
      <c r="D295" t="s">
        <v>10</v>
      </c>
      <c r="E295" t="s">
        <v>807</v>
      </c>
      <c r="F295">
        <v>2</v>
      </c>
      <c r="G295" t="s">
        <v>809</v>
      </c>
      <c r="H295" t="str">
        <f>HYPERLINK("http://service.sap.com/sap/support/notes/0002071398","0002071398")</f>
        <v>0002071398</v>
      </c>
      <c r="I295" t="s">
        <v>812</v>
      </c>
      <c r="J295">
        <v>1</v>
      </c>
      <c r="K295" t="s">
        <v>13</v>
      </c>
    </row>
    <row r="296" spans="1:11" x14ac:dyDescent="0.25">
      <c r="A296" t="s">
        <v>813</v>
      </c>
      <c r="B296" t="str">
        <f>HYPERLINK("http://service.sap.com/sap/support/notes/0002010580","0002010580")</f>
        <v>0002010580</v>
      </c>
      <c r="C296" t="s">
        <v>814</v>
      </c>
      <c r="D296" t="s">
        <v>10</v>
      </c>
      <c r="E296" t="s">
        <v>815</v>
      </c>
      <c r="F296">
        <v>1</v>
      </c>
      <c r="G296" t="s">
        <v>813</v>
      </c>
      <c r="H296" t="str">
        <f>HYPERLINK("http://service.sap.com/sap/support/notes/0002064147","0002064147")</f>
        <v>0002064147</v>
      </c>
      <c r="I296" t="s">
        <v>816</v>
      </c>
      <c r="J296">
        <v>1</v>
      </c>
      <c r="K296" t="s">
        <v>13</v>
      </c>
    </row>
    <row r="297" spans="1:11" x14ac:dyDescent="0.25">
      <c r="A297" t="s">
        <v>442</v>
      </c>
      <c r="B297" t="str">
        <f>HYPERLINK("http://service.sap.com/sap/support/notes/0002005979","0002005979")</f>
        <v>0002005979</v>
      </c>
      <c r="C297" t="s">
        <v>817</v>
      </c>
      <c r="D297" t="s">
        <v>10</v>
      </c>
      <c r="E297" t="s">
        <v>759</v>
      </c>
      <c r="F297">
        <v>1</v>
      </c>
      <c r="G297" t="s">
        <v>442</v>
      </c>
      <c r="H297" t="str">
        <f>HYPERLINK("http://service.sap.com/sap/support/notes/0002076870","0002076870")</f>
        <v>0002076870</v>
      </c>
      <c r="I297" t="s">
        <v>818</v>
      </c>
      <c r="J297">
        <v>1</v>
      </c>
      <c r="K297" t="s">
        <v>13</v>
      </c>
    </row>
    <row r="298" spans="1:11" x14ac:dyDescent="0.25">
      <c r="A298" t="s">
        <v>819</v>
      </c>
      <c r="B298" t="str">
        <f>HYPERLINK("http://service.sap.com/sap/support/notes/0001972998","0001972998")</f>
        <v>0001972998</v>
      </c>
      <c r="C298" t="s">
        <v>820</v>
      </c>
      <c r="D298" t="s">
        <v>10</v>
      </c>
      <c r="E298" t="s">
        <v>783</v>
      </c>
      <c r="F298">
        <v>2</v>
      </c>
      <c r="G298" t="s">
        <v>821</v>
      </c>
      <c r="H298" t="str">
        <f>HYPERLINK("http://service.sap.com/sap/support/notes/0002069912","0002069912")</f>
        <v>0002069912</v>
      </c>
      <c r="I298" t="s">
        <v>822</v>
      </c>
      <c r="J298">
        <v>1</v>
      </c>
      <c r="K298" t="s">
        <v>13</v>
      </c>
    </row>
    <row r="299" spans="1:11" x14ac:dyDescent="0.25">
      <c r="A299" t="s">
        <v>823</v>
      </c>
      <c r="B299" t="str">
        <f>HYPERLINK("http://service.sap.com/sap/support/notes/0001991688","0001991688")</f>
        <v>0001991688</v>
      </c>
      <c r="C299" t="s">
        <v>824</v>
      </c>
      <c r="D299" t="s">
        <v>10</v>
      </c>
      <c r="E299" t="s">
        <v>783</v>
      </c>
      <c r="F299">
        <v>1</v>
      </c>
      <c r="G299" t="s">
        <v>823</v>
      </c>
      <c r="H299" t="str">
        <f>HYPERLINK("http://service.sap.com/sap/support/notes/0002064355","0002064355")</f>
        <v>0002064355</v>
      </c>
      <c r="I299" t="s">
        <v>825</v>
      </c>
      <c r="J299">
        <v>1</v>
      </c>
      <c r="K299" t="s">
        <v>13</v>
      </c>
    </row>
    <row r="300" spans="1:11" x14ac:dyDescent="0.25">
      <c r="A300" t="s">
        <v>826</v>
      </c>
      <c r="B300" t="str">
        <f>HYPERLINK("http://service.sap.com/sap/support/notes/0002016759","0002016759")</f>
        <v>0002016759</v>
      </c>
      <c r="C300" t="s">
        <v>827</v>
      </c>
      <c r="D300" t="s">
        <v>10</v>
      </c>
      <c r="E300" t="s">
        <v>759</v>
      </c>
      <c r="F300">
        <v>3</v>
      </c>
      <c r="G300" t="s">
        <v>826</v>
      </c>
      <c r="H300" t="str">
        <f>HYPERLINK("http://service.sap.com/sap/support/notes/0002079248","0002079248")</f>
        <v>0002079248</v>
      </c>
      <c r="I300" t="s">
        <v>828</v>
      </c>
      <c r="J300">
        <v>1</v>
      </c>
      <c r="K300" t="s">
        <v>13</v>
      </c>
    </row>
    <row r="301" spans="1:11" x14ac:dyDescent="0.25">
      <c r="A301" t="s">
        <v>829</v>
      </c>
      <c r="B301" t="str">
        <f>HYPERLINK("http://service.sap.com/sap/support/notes/0001890930","0001890930")</f>
        <v>0001890930</v>
      </c>
      <c r="C301" t="s">
        <v>830</v>
      </c>
      <c r="D301" t="s">
        <v>10</v>
      </c>
      <c r="E301" t="s">
        <v>336</v>
      </c>
      <c r="F301">
        <v>2</v>
      </c>
      <c r="G301" t="s">
        <v>831</v>
      </c>
      <c r="H301" t="str">
        <f>HYPERLINK("http://service.sap.com/sap/support/notes/0002061304","0002061304")</f>
        <v>0002061304</v>
      </c>
      <c r="I301" t="s">
        <v>832</v>
      </c>
      <c r="J301">
        <v>1</v>
      </c>
      <c r="K301" t="s">
        <v>13</v>
      </c>
    </row>
    <row r="302" spans="1:11" x14ac:dyDescent="0.25">
      <c r="A302" t="s">
        <v>833</v>
      </c>
      <c r="B302" t="str">
        <f>HYPERLINK("http://service.sap.com/sap/support/notes/0001920325","0001920325")</f>
        <v>0001920325</v>
      </c>
      <c r="C302" t="s">
        <v>834</v>
      </c>
      <c r="D302" t="s">
        <v>10</v>
      </c>
      <c r="E302" t="s">
        <v>783</v>
      </c>
      <c r="F302">
        <v>4</v>
      </c>
      <c r="G302" t="s">
        <v>835</v>
      </c>
      <c r="H302" t="str">
        <f>HYPERLINK("http://service.sap.com/sap/support/notes/0002071352","0002071352")</f>
        <v>0002071352</v>
      </c>
      <c r="I302" t="s">
        <v>836</v>
      </c>
      <c r="J302">
        <v>1</v>
      </c>
      <c r="K302" t="s">
        <v>13</v>
      </c>
    </row>
    <row r="303" spans="1:11" x14ac:dyDescent="0.25">
      <c r="A303" t="s">
        <v>837</v>
      </c>
      <c r="B303" t="str">
        <f>HYPERLINK("http://service.sap.com/sap/support/notes/0001980407","0001980407")</f>
        <v>0001980407</v>
      </c>
      <c r="C303" t="s">
        <v>838</v>
      </c>
      <c r="D303" t="s">
        <v>10</v>
      </c>
      <c r="E303" t="s">
        <v>839</v>
      </c>
      <c r="F303">
        <v>4</v>
      </c>
      <c r="G303" t="s">
        <v>840</v>
      </c>
      <c r="H303" t="str">
        <f>HYPERLINK("http://service.sap.com/sap/support/notes/0002036822","0002036822")</f>
        <v>0002036822</v>
      </c>
      <c r="I303" t="s">
        <v>841</v>
      </c>
      <c r="J303">
        <v>1</v>
      </c>
      <c r="K303" t="s">
        <v>13</v>
      </c>
    </row>
    <row r="304" spans="1:11" x14ac:dyDescent="0.25">
      <c r="A304" t="s">
        <v>842</v>
      </c>
      <c r="B304" t="str">
        <f>HYPERLINK("http://service.sap.com/sap/support/notes/0002010371","0002010371")</f>
        <v>0002010371</v>
      </c>
      <c r="C304" t="s">
        <v>843</v>
      </c>
      <c r="D304" t="s">
        <v>10</v>
      </c>
      <c r="E304" t="s">
        <v>482</v>
      </c>
      <c r="F304">
        <v>2</v>
      </c>
      <c r="G304" t="s">
        <v>842</v>
      </c>
      <c r="H304" t="str">
        <f>HYPERLINK("http://service.sap.com/sap/support/notes/0002026300","0002026300")</f>
        <v>0002026300</v>
      </c>
      <c r="I304" t="s">
        <v>844</v>
      </c>
      <c r="J304">
        <v>1</v>
      </c>
      <c r="K304" t="s">
        <v>35</v>
      </c>
    </row>
    <row r="305" spans="1:11" x14ac:dyDescent="0.25">
      <c r="A305" t="s">
        <v>845</v>
      </c>
      <c r="B305" t="str">
        <f>HYPERLINK("http://service.sap.com/sap/support/notes/0002051319","0002051319")</f>
        <v>0002051319</v>
      </c>
      <c r="C305" t="s">
        <v>846</v>
      </c>
      <c r="D305" t="s">
        <v>10</v>
      </c>
      <c r="E305" t="s">
        <v>233</v>
      </c>
      <c r="F305">
        <v>2</v>
      </c>
      <c r="G305" t="s">
        <v>845</v>
      </c>
      <c r="H305" t="str">
        <f>HYPERLINK("http://service.sap.com/sap/support/notes/0002051543","0002051543")</f>
        <v>0002051543</v>
      </c>
      <c r="I305" t="s">
        <v>846</v>
      </c>
      <c r="J305">
        <v>1</v>
      </c>
      <c r="K305" t="s">
        <v>13</v>
      </c>
    </row>
    <row r="306" spans="1:11" x14ac:dyDescent="0.25">
      <c r="A306" t="s">
        <v>179</v>
      </c>
      <c r="B306" t="str">
        <f>HYPERLINK("http://service.sap.com/sap/support/notes/0001981498","0001981498")</f>
        <v>0001981498</v>
      </c>
      <c r="C306" t="s">
        <v>180</v>
      </c>
      <c r="D306" t="s">
        <v>10</v>
      </c>
      <c r="E306" t="s">
        <v>623</v>
      </c>
      <c r="F306">
        <v>2</v>
      </c>
      <c r="G306" t="s">
        <v>179</v>
      </c>
      <c r="H306" t="str">
        <f>HYPERLINK("http://service.sap.com/sap/support/notes/0002073201","0002073201")</f>
        <v>0002073201</v>
      </c>
      <c r="I306" t="s">
        <v>847</v>
      </c>
      <c r="J306">
        <v>1</v>
      </c>
      <c r="K306" t="s">
        <v>13</v>
      </c>
    </row>
    <row r="307" spans="1:11" x14ac:dyDescent="0.25">
      <c r="A307" t="s">
        <v>848</v>
      </c>
      <c r="B307" t="str">
        <f>HYPERLINK("http://service.sap.com/sap/support/notes/0001977324","0001977324")</f>
        <v>0001977324</v>
      </c>
      <c r="C307" t="s">
        <v>849</v>
      </c>
      <c r="D307" t="s">
        <v>10</v>
      </c>
      <c r="E307" t="s">
        <v>850</v>
      </c>
      <c r="F307">
        <v>3</v>
      </c>
      <c r="G307" t="s">
        <v>848</v>
      </c>
      <c r="H307" t="str">
        <f>HYPERLINK("http://service.sap.com/sap/support/notes/0002062043","0002062043")</f>
        <v>0002062043</v>
      </c>
      <c r="I307" t="s">
        <v>851</v>
      </c>
      <c r="J307">
        <v>1</v>
      </c>
      <c r="K307" t="s">
        <v>13</v>
      </c>
    </row>
    <row r="308" spans="1:11" x14ac:dyDescent="0.25">
      <c r="A308" t="s">
        <v>852</v>
      </c>
      <c r="B308" t="str">
        <f>HYPERLINK("http://service.sap.com/sap/support/notes/0001987827","0001987827")</f>
        <v>0001987827</v>
      </c>
      <c r="C308" t="s">
        <v>853</v>
      </c>
      <c r="D308" t="s">
        <v>10</v>
      </c>
      <c r="E308" t="s">
        <v>854</v>
      </c>
      <c r="F308">
        <v>1</v>
      </c>
      <c r="G308" t="s">
        <v>852</v>
      </c>
      <c r="H308" t="str">
        <f>HYPERLINK("http://service.sap.com/sap/support/notes/0002068149","0002068149")</f>
        <v>0002068149</v>
      </c>
      <c r="I308" t="s">
        <v>855</v>
      </c>
      <c r="J308">
        <v>1</v>
      </c>
      <c r="K308" t="s">
        <v>13</v>
      </c>
    </row>
    <row r="309" spans="1:11" x14ac:dyDescent="0.25">
      <c r="A309" t="s">
        <v>856</v>
      </c>
      <c r="B309" t="str">
        <f>HYPERLINK("http://service.sap.com/sap/support/notes/0001970938","0001970938")</f>
        <v>0001970938</v>
      </c>
      <c r="C309" t="s">
        <v>857</v>
      </c>
      <c r="D309" t="s">
        <v>10</v>
      </c>
      <c r="E309" t="s">
        <v>493</v>
      </c>
      <c r="F309">
        <v>1</v>
      </c>
      <c r="G309" t="s">
        <v>856</v>
      </c>
      <c r="H309" t="str">
        <f>HYPERLINK("http://service.sap.com/sap/support/notes/0001970939","0001970939")</f>
        <v>0001970939</v>
      </c>
      <c r="I309" t="s">
        <v>858</v>
      </c>
      <c r="J309">
        <v>1</v>
      </c>
      <c r="K309" t="s">
        <v>13</v>
      </c>
    </row>
    <row r="310" spans="1:11" x14ac:dyDescent="0.25">
      <c r="A310" t="s">
        <v>859</v>
      </c>
      <c r="B310" t="str">
        <f>HYPERLINK("http://service.sap.com/sap/support/notes/0002050908","0002050908")</f>
        <v>0002050908</v>
      </c>
      <c r="C310" t="s">
        <v>860</v>
      </c>
      <c r="D310" t="s">
        <v>10</v>
      </c>
      <c r="E310" t="s">
        <v>861</v>
      </c>
      <c r="F310">
        <v>2</v>
      </c>
      <c r="G310" t="s">
        <v>859</v>
      </c>
      <c r="H310" t="str">
        <f>HYPERLINK("http://service.sap.com/sap/support/notes/0002071010","0002071010")</f>
        <v>0002071010</v>
      </c>
      <c r="I310" t="s">
        <v>862</v>
      </c>
      <c r="J310">
        <v>1</v>
      </c>
      <c r="K310" t="s">
        <v>47</v>
      </c>
    </row>
    <row r="311" spans="1:11" x14ac:dyDescent="0.25">
      <c r="A311" t="s">
        <v>863</v>
      </c>
      <c r="B311" t="str">
        <f>HYPERLINK("http://service.sap.com/sap/support/notes/0002058301","0002058301")</f>
        <v>0002058301</v>
      </c>
      <c r="C311" t="s">
        <v>864</v>
      </c>
      <c r="D311" t="s">
        <v>10</v>
      </c>
      <c r="E311" t="s">
        <v>865</v>
      </c>
      <c r="F311">
        <v>1</v>
      </c>
      <c r="G311" t="s">
        <v>863</v>
      </c>
      <c r="H311" t="str">
        <f>HYPERLINK("http://service.sap.com/sap/support/notes/0002067879","0002067879")</f>
        <v>0002067879</v>
      </c>
      <c r="I311" t="s">
        <v>866</v>
      </c>
      <c r="J311">
        <v>1</v>
      </c>
      <c r="K311" t="s">
        <v>13</v>
      </c>
    </row>
    <row r="312" spans="1:11" x14ac:dyDescent="0.25">
      <c r="A312" t="s">
        <v>867</v>
      </c>
      <c r="B312" t="str">
        <f>HYPERLINK("http://service.sap.com/sap/support/notes/0001964594","0001964594")</f>
        <v>0001964594</v>
      </c>
      <c r="C312" t="s">
        <v>868</v>
      </c>
      <c r="D312" t="s">
        <v>10</v>
      </c>
      <c r="E312" t="s">
        <v>869</v>
      </c>
      <c r="F312">
        <v>3</v>
      </c>
      <c r="G312" t="s">
        <v>867</v>
      </c>
      <c r="H312" t="str">
        <f>HYPERLINK("http://service.sap.com/sap/support/notes/0001976958","0001976958")</f>
        <v>0001976958</v>
      </c>
      <c r="I312" t="s">
        <v>870</v>
      </c>
      <c r="J312">
        <v>1</v>
      </c>
      <c r="K312" t="s">
        <v>13</v>
      </c>
    </row>
    <row r="313" spans="1:11" x14ac:dyDescent="0.25">
      <c r="A313" t="s">
        <v>867</v>
      </c>
      <c r="B313" t="str">
        <f>HYPERLINK("http://service.sap.com/sap/support/notes/0001965198","0001965198")</f>
        <v>0001965198</v>
      </c>
      <c r="C313" t="s">
        <v>871</v>
      </c>
      <c r="D313" t="s">
        <v>10</v>
      </c>
      <c r="E313" t="s">
        <v>869</v>
      </c>
      <c r="F313">
        <v>3</v>
      </c>
      <c r="G313" t="s">
        <v>867</v>
      </c>
      <c r="H313" t="str">
        <f>HYPERLINK("http://service.sap.com/sap/support/notes/0001988167","0001988167")</f>
        <v>0001988167</v>
      </c>
      <c r="I313" t="s">
        <v>872</v>
      </c>
      <c r="J313">
        <v>1</v>
      </c>
      <c r="K313" t="s">
        <v>13</v>
      </c>
    </row>
    <row r="314" spans="1:11" x14ac:dyDescent="0.25">
      <c r="A314" t="s">
        <v>873</v>
      </c>
      <c r="B314" t="str">
        <f>HYPERLINK("http://service.sap.com/sap/support/notes/0002064000","0002064000")</f>
        <v>0002064000</v>
      </c>
      <c r="C314" t="s">
        <v>874</v>
      </c>
      <c r="D314" t="s">
        <v>10</v>
      </c>
      <c r="E314" t="s">
        <v>865</v>
      </c>
      <c r="F314">
        <v>1</v>
      </c>
      <c r="G314" t="s">
        <v>873</v>
      </c>
      <c r="H314" t="str">
        <f>HYPERLINK("http://service.sap.com/sap/support/notes/0002067328","0002067328")</f>
        <v>0002067328</v>
      </c>
      <c r="I314" t="s">
        <v>875</v>
      </c>
      <c r="J314">
        <v>1</v>
      </c>
      <c r="K314" t="s">
        <v>13</v>
      </c>
    </row>
    <row r="315" spans="1:11" x14ac:dyDescent="0.25">
      <c r="A315" t="s">
        <v>876</v>
      </c>
      <c r="B315" t="str">
        <f>HYPERLINK("http://service.sap.com/sap/support/notes/0002057307","0002057307")</f>
        <v>0002057307</v>
      </c>
      <c r="C315" t="s">
        <v>877</v>
      </c>
      <c r="D315" t="s">
        <v>10</v>
      </c>
      <c r="E315" t="s">
        <v>865</v>
      </c>
      <c r="F315">
        <v>2</v>
      </c>
      <c r="G315" t="s">
        <v>876</v>
      </c>
      <c r="H315" t="str">
        <f>HYPERLINK("http://service.sap.com/sap/support/notes/0002070004","0002070004")</f>
        <v>0002070004</v>
      </c>
      <c r="I315" t="s">
        <v>878</v>
      </c>
      <c r="J315">
        <v>1</v>
      </c>
      <c r="K315" t="s">
        <v>13</v>
      </c>
    </row>
    <row r="316" spans="1:11" x14ac:dyDescent="0.25">
      <c r="A316" t="s">
        <v>876</v>
      </c>
      <c r="B316" t="str">
        <f>HYPERLINK("http://service.sap.com/sap/support/notes/0002059006","0002059006")</f>
        <v>0002059006</v>
      </c>
      <c r="C316" t="s">
        <v>879</v>
      </c>
      <c r="D316" t="s">
        <v>10</v>
      </c>
      <c r="E316" t="s">
        <v>865</v>
      </c>
      <c r="F316">
        <v>2</v>
      </c>
      <c r="G316" t="s">
        <v>876</v>
      </c>
      <c r="H316" t="str">
        <f>HYPERLINK("http://service.sap.com/sap/support/notes/0002074020","0002074020")</f>
        <v>0002074020</v>
      </c>
      <c r="I316" t="s">
        <v>880</v>
      </c>
      <c r="J316">
        <v>3</v>
      </c>
      <c r="K316" t="s">
        <v>13</v>
      </c>
    </row>
    <row r="317" spans="1:11" x14ac:dyDescent="0.25">
      <c r="A317" t="s">
        <v>881</v>
      </c>
      <c r="B317" t="str">
        <f t="shared" ref="B317:B322" si="1">HYPERLINK("http://service.sap.com/sap/support/notes/0002004451","0002004451")</f>
        <v>0002004451</v>
      </c>
      <c r="C317" t="s">
        <v>882</v>
      </c>
      <c r="D317" t="s">
        <v>10</v>
      </c>
      <c r="E317" t="s">
        <v>883</v>
      </c>
      <c r="F317">
        <v>1</v>
      </c>
      <c r="G317" t="s">
        <v>881</v>
      </c>
      <c r="H317" t="str">
        <f>HYPERLINK("http://service.sap.com/sap/support/notes/0002036933","0002036933")</f>
        <v>0002036933</v>
      </c>
      <c r="I317" t="s">
        <v>884</v>
      </c>
      <c r="J317">
        <v>1</v>
      </c>
      <c r="K317" t="s">
        <v>13</v>
      </c>
    </row>
    <row r="318" spans="1:11" x14ac:dyDescent="0.25">
      <c r="A318" t="s">
        <v>881</v>
      </c>
      <c r="B318" t="str">
        <f t="shared" si="1"/>
        <v>0002004451</v>
      </c>
      <c r="C318" t="s">
        <v>882</v>
      </c>
      <c r="D318" t="s">
        <v>10</v>
      </c>
      <c r="E318" t="s">
        <v>883</v>
      </c>
      <c r="F318">
        <v>1</v>
      </c>
      <c r="G318" t="s">
        <v>885</v>
      </c>
      <c r="H318" t="str">
        <f>HYPERLINK("http://service.sap.com/sap/support/notes/0002070083","0002070083")</f>
        <v>0002070083</v>
      </c>
      <c r="I318" t="s">
        <v>886</v>
      </c>
      <c r="J318">
        <v>1</v>
      </c>
      <c r="K318" t="s">
        <v>13</v>
      </c>
    </row>
    <row r="319" spans="1:11" x14ac:dyDescent="0.25">
      <c r="A319" t="s">
        <v>881</v>
      </c>
      <c r="B319" t="str">
        <f t="shared" si="1"/>
        <v>0002004451</v>
      </c>
      <c r="C319" t="s">
        <v>882</v>
      </c>
      <c r="D319" t="s">
        <v>10</v>
      </c>
      <c r="E319" t="s">
        <v>883</v>
      </c>
      <c r="F319">
        <v>1</v>
      </c>
      <c r="G319" t="s">
        <v>885</v>
      </c>
      <c r="H319" t="str">
        <f>HYPERLINK("http://service.sap.com/sap/support/notes/0002072014","0002072014")</f>
        <v>0002072014</v>
      </c>
      <c r="I319" t="s">
        <v>887</v>
      </c>
      <c r="J319">
        <v>1</v>
      </c>
      <c r="K319" t="s">
        <v>13</v>
      </c>
    </row>
    <row r="320" spans="1:11" x14ac:dyDescent="0.25">
      <c r="A320" t="s">
        <v>881</v>
      </c>
      <c r="B320" t="str">
        <f t="shared" si="1"/>
        <v>0002004451</v>
      </c>
      <c r="C320" t="s">
        <v>882</v>
      </c>
      <c r="D320" t="s">
        <v>10</v>
      </c>
      <c r="E320" t="s">
        <v>883</v>
      </c>
      <c r="F320">
        <v>1</v>
      </c>
      <c r="G320" t="s">
        <v>888</v>
      </c>
      <c r="H320" t="str">
        <f>HYPERLINK("http://service.sap.com/sap/support/notes/0002075996","0002075996")</f>
        <v>0002075996</v>
      </c>
      <c r="I320" t="s">
        <v>889</v>
      </c>
      <c r="J320">
        <v>1</v>
      </c>
      <c r="K320" t="s">
        <v>13</v>
      </c>
    </row>
    <row r="321" spans="1:11" x14ac:dyDescent="0.25">
      <c r="A321" t="s">
        <v>881</v>
      </c>
      <c r="B321" t="str">
        <f t="shared" si="1"/>
        <v>0002004451</v>
      </c>
      <c r="C321" t="s">
        <v>882</v>
      </c>
      <c r="D321" t="s">
        <v>10</v>
      </c>
      <c r="E321" t="s">
        <v>883</v>
      </c>
      <c r="F321">
        <v>1</v>
      </c>
      <c r="G321" t="s">
        <v>885</v>
      </c>
      <c r="H321" t="str">
        <f>HYPERLINK("http://service.sap.com/sap/support/notes/0002081769","0002081769")</f>
        <v>0002081769</v>
      </c>
      <c r="I321" t="s">
        <v>890</v>
      </c>
      <c r="J321">
        <v>1</v>
      </c>
      <c r="K321" t="s">
        <v>13</v>
      </c>
    </row>
    <row r="322" spans="1:11" x14ac:dyDescent="0.25">
      <c r="A322" t="s">
        <v>881</v>
      </c>
      <c r="B322" t="str">
        <f t="shared" si="1"/>
        <v>0002004451</v>
      </c>
      <c r="C322" t="s">
        <v>882</v>
      </c>
      <c r="D322" t="s">
        <v>10</v>
      </c>
      <c r="E322" t="s">
        <v>883</v>
      </c>
      <c r="F322">
        <v>1</v>
      </c>
      <c r="G322" t="s">
        <v>891</v>
      </c>
      <c r="H322" t="str">
        <f>HYPERLINK("http://service.sap.com/sap/support/notes/0002083525","0002083525")</f>
        <v>0002083525</v>
      </c>
      <c r="I322" t="s">
        <v>892</v>
      </c>
      <c r="J322">
        <v>1</v>
      </c>
      <c r="K322" t="s">
        <v>13</v>
      </c>
    </row>
    <row r="323" spans="1:11" x14ac:dyDescent="0.25">
      <c r="A323" t="s">
        <v>881</v>
      </c>
      <c r="B323" t="str">
        <f>HYPERLINK("http://service.sap.com/sap/support/notes/0002058738","0002058738")</f>
        <v>0002058738</v>
      </c>
      <c r="C323" t="s">
        <v>893</v>
      </c>
      <c r="D323" t="s">
        <v>10</v>
      </c>
      <c r="E323" t="s">
        <v>865</v>
      </c>
      <c r="F323">
        <v>3</v>
      </c>
      <c r="G323" t="s">
        <v>885</v>
      </c>
      <c r="H323" t="str">
        <f>HYPERLINK("http://service.sap.com/sap/support/notes/0002067334","0002067334")</f>
        <v>0002067334</v>
      </c>
      <c r="I323" t="s">
        <v>894</v>
      </c>
      <c r="J323">
        <v>1</v>
      </c>
      <c r="K323" t="s">
        <v>13</v>
      </c>
    </row>
    <row r="324" spans="1:11" x14ac:dyDescent="0.25">
      <c r="A324" t="s">
        <v>895</v>
      </c>
      <c r="B324" t="str">
        <f>HYPERLINK("http://service.sap.com/sap/support/notes/0001972731","0001972731")</f>
        <v>0001972731</v>
      </c>
      <c r="C324" t="s">
        <v>896</v>
      </c>
      <c r="D324" t="s">
        <v>10</v>
      </c>
      <c r="E324" t="s">
        <v>897</v>
      </c>
      <c r="F324">
        <v>1</v>
      </c>
      <c r="G324" t="s">
        <v>895</v>
      </c>
      <c r="H324" t="str">
        <f>HYPERLINK("http://service.sap.com/sap/support/notes/0002033242","0002033242")</f>
        <v>0002033242</v>
      </c>
      <c r="I324" t="s">
        <v>898</v>
      </c>
      <c r="J324">
        <v>1</v>
      </c>
      <c r="K324" t="s">
        <v>35</v>
      </c>
    </row>
    <row r="325" spans="1:11" x14ac:dyDescent="0.25">
      <c r="A325" t="s">
        <v>899</v>
      </c>
      <c r="B325" t="str">
        <f>HYPERLINK("http://service.sap.com/sap/support/notes/0001976547","0001976547")</f>
        <v>0001976547</v>
      </c>
      <c r="C325" t="s">
        <v>900</v>
      </c>
      <c r="D325" t="s">
        <v>10</v>
      </c>
      <c r="E325" t="s">
        <v>901</v>
      </c>
      <c r="F325">
        <v>2</v>
      </c>
      <c r="G325" t="s">
        <v>899</v>
      </c>
      <c r="H325" t="str">
        <f>HYPERLINK("http://service.sap.com/sap/support/notes/0002023445","0002023445")</f>
        <v>0002023445</v>
      </c>
      <c r="I325" t="s">
        <v>902</v>
      </c>
      <c r="J325">
        <v>1</v>
      </c>
      <c r="K325" t="s">
        <v>13</v>
      </c>
    </row>
    <row r="326" spans="1:11" x14ac:dyDescent="0.25">
      <c r="A326" t="s">
        <v>903</v>
      </c>
      <c r="B326" t="str">
        <f>HYPERLINK("http://service.sap.com/sap/support/notes/0001968671","0001968671")</f>
        <v>0001968671</v>
      </c>
      <c r="C326" t="s">
        <v>904</v>
      </c>
      <c r="D326" t="s">
        <v>10</v>
      </c>
      <c r="E326" t="s">
        <v>901</v>
      </c>
      <c r="F326">
        <v>2</v>
      </c>
      <c r="G326" t="s">
        <v>903</v>
      </c>
      <c r="H326" t="str">
        <f>HYPERLINK("http://service.sap.com/sap/support/notes/0002024253","0002024253")</f>
        <v>0002024253</v>
      </c>
      <c r="I326" t="s">
        <v>905</v>
      </c>
      <c r="J326">
        <v>1</v>
      </c>
      <c r="K326" t="s">
        <v>13</v>
      </c>
    </row>
    <row r="327" spans="1:11" x14ac:dyDescent="0.25">
      <c r="A327" t="s">
        <v>906</v>
      </c>
      <c r="B327" t="str">
        <f>HYPERLINK("http://service.sap.com/sap/support/notes/0002008879","0002008879")</f>
        <v>0002008879</v>
      </c>
      <c r="C327" t="s">
        <v>907</v>
      </c>
      <c r="D327" t="s">
        <v>10</v>
      </c>
      <c r="E327" t="s">
        <v>908</v>
      </c>
      <c r="F327">
        <v>5</v>
      </c>
      <c r="G327" t="s">
        <v>909</v>
      </c>
      <c r="H327" t="str">
        <f>HYPERLINK("http://service.sap.com/sap/support/notes/0002082987","0002082987")</f>
        <v>0002082987</v>
      </c>
      <c r="I327" t="s">
        <v>910</v>
      </c>
      <c r="J327">
        <v>1</v>
      </c>
      <c r="K327" t="s">
        <v>13</v>
      </c>
    </row>
    <row r="328" spans="1:11" x14ac:dyDescent="0.25">
      <c r="A328" t="s">
        <v>911</v>
      </c>
      <c r="B328" t="str">
        <f>HYPERLINK("http://service.sap.com/sap/support/notes/0002046927","0002046927")</f>
        <v>0002046927</v>
      </c>
      <c r="C328" t="s">
        <v>912</v>
      </c>
      <c r="D328" t="s">
        <v>10</v>
      </c>
      <c r="E328" t="s">
        <v>913</v>
      </c>
      <c r="F328">
        <v>1</v>
      </c>
      <c r="G328" t="s">
        <v>911</v>
      </c>
      <c r="H328" t="str">
        <f>HYPERLINK("http://service.sap.com/sap/support/notes/0002076725","0002076725")</f>
        <v>0002076725</v>
      </c>
      <c r="I328" t="s">
        <v>914</v>
      </c>
      <c r="J328">
        <v>1</v>
      </c>
      <c r="K328" t="s">
        <v>13</v>
      </c>
    </row>
    <row r="329" spans="1:11" x14ac:dyDescent="0.25">
      <c r="A329" t="s">
        <v>915</v>
      </c>
      <c r="B329" t="str">
        <f>HYPERLINK("http://service.sap.com/sap/support/notes/0001995815","0001995815")</f>
        <v>0001995815</v>
      </c>
      <c r="C329" t="s">
        <v>916</v>
      </c>
      <c r="D329" t="s">
        <v>10</v>
      </c>
      <c r="E329" t="s">
        <v>917</v>
      </c>
      <c r="F329">
        <v>0</v>
      </c>
      <c r="G329" t="s">
        <v>915</v>
      </c>
      <c r="H329" t="str">
        <f>HYPERLINK("http://service.sap.com/sap/support/notes/0002078792","0002078792")</f>
        <v>0002078792</v>
      </c>
      <c r="I329" t="s">
        <v>918</v>
      </c>
      <c r="J329">
        <v>1</v>
      </c>
      <c r="K329" t="s">
        <v>13</v>
      </c>
    </row>
    <row r="330" spans="1:11" x14ac:dyDescent="0.25">
      <c r="A330" t="s">
        <v>919</v>
      </c>
      <c r="B330" t="str">
        <f>HYPERLINK("http://service.sap.com/sap/support/notes/0001981670","0001981670")</f>
        <v>0001981670</v>
      </c>
      <c r="C330" t="s">
        <v>920</v>
      </c>
      <c r="D330" t="s">
        <v>10</v>
      </c>
      <c r="E330" t="s">
        <v>921</v>
      </c>
      <c r="F330">
        <v>2</v>
      </c>
      <c r="G330" t="s">
        <v>919</v>
      </c>
      <c r="H330" t="str">
        <f>HYPERLINK("http://service.sap.com/sap/support/notes/0001987549","0001987549")</f>
        <v>0001987549</v>
      </c>
      <c r="I330" t="s">
        <v>922</v>
      </c>
      <c r="J330">
        <v>3</v>
      </c>
      <c r="K330" t="s">
        <v>13</v>
      </c>
    </row>
    <row r="331" spans="1:11" x14ac:dyDescent="0.25">
      <c r="A331" t="s">
        <v>923</v>
      </c>
      <c r="B331" t="str">
        <f>HYPERLINK("http://service.sap.com/sap/support/notes/0001825716","0001825716")</f>
        <v>0001825716</v>
      </c>
      <c r="C331" t="s">
        <v>924</v>
      </c>
      <c r="D331" t="s">
        <v>10</v>
      </c>
      <c r="E331" t="s">
        <v>925</v>
      </c>
      <c r="F331">
        <v>3</v>
      </c>
      <c r="G331" t="s">
        <v>923</v>
      </c>
      <c r="H331" t="str">
        <f>HYPERLINK("http://service.sap.com/sap/support/notes/0002044452","0002044452")</f>
        <v>0002044452</v>
      </c>
      <c r="I331" t="s">
        <v>926</v>
      </c>
      <c r="J331">
        <v>1</v>
      </c>
      <c r="K331" t="s">
        <v>13</v>
      </c>
    </row>
    <row r="332" spans="1:11" x14ac:dyDescent="0.25">
      <c r="A332" t="s">
        <v>927</v>
      </c>
      <c r="B332" t="str">
        <f>HYPERLINK("http://service.sap.com/sap/support/notes/0001928673","0001928673")</f>
        <v>0001928673</v>
      </c>
      <c r="C332" t="s">
        <v>928</v>
      </c>
      <c r="D332" t="s">
        <v>10</v>
      </c>
      <c r="E332" t="s">
        <v>925</v>
      </c>
      <c r="F332">
        <v>2</v>
      </c>
      <c r="G332" t="s">
        <v>927</v>
      </c>
      <c r="H332" t="str">
        <f>HYPERLINK("http://service.sap.com/sap/support/notes/0001943985","0001943985")</f>
        <v>0001943985</v>
      </c>
      <c r="I332" t="s">
        <v>929</v>
      </c>
      <c r="J332">
        <v>1</v>
      </c>
      <c r="K332" t="s">
        <v>13</v>
      </c>
    </row>
    <row r="333" spans="1:11" x14ac:dyDescent="0.25">
      <c r="A333" t="s">
        <v>930</v>
      </c>
      <c r="B333" t="str">
        <f>HYPERLINK("http://service.sap.com/sap/support/notes/0002029762","0002029762")</f>
        <v>0002029762</v>
      </c>
      <c r="C333" t="s">
        <v>931</v>
      </c>
      <c r="D333" t="s">
        <v>10</v>
      </c>
      <c r="E333" t="s">
        <v>391</v>
      </c>
      <c r="F333">
        <v>2</v>
      </c>
      <c r="G333" t="s">
        <v>389</v>
      </c>
      <c r="H333" t="str">
        <f>HYPERLINK("http://service.sap.com/sap/support/notes/0002082117","0002082117")</f>
        <v>0002082117</v>
      </c>
      <c r="I333" t="s">
        <v>932</v>
      </c>
      <c r="J333">
        <v>1</v>
      </c>
      <c r="K333" t="s">
        <v>13</v>
      </c>
    </row>
    <row r="334" spans="1:11" x14ac:dyDescent="0.25">
      <c r="A334" t="s">
        <v>933</v>
      </c>
      <c r="B334" t="str">
        <f>HYPERLINK("http://service.sap.com/sap/support/notes/0002014061","0002014061")</f>
        <v>0002014061</v>
      </c>
      <c r="C334" t="s">
        <v>934</v>
      </c>
      <c r="D334" t="s">
        <v>10</v>
      </c>
      <c r="E334" t="s">
        <v>935</v>
      </c>
      <c r="F334">
        <v>2</v>
      </c>
      <c r="G334" t="s">
        <v>933</v>
      </c>
      <c r="H334" t="str">
        <f>HYPERLINK("http://service.sap.com/sap/support/notes/0002082621","0002082621")</f>
        <v>0002082621</v>
      </c>
      <c r="I334" t="s">
        <v>936</v>
      </c>
      <c r="J334">
        <v>1</v>
      </c>
      <c r="K334" t="s">
        <v>13</v>
      </c>
    </row>
    <row r="335" spans="1:11" x14ac:dyDescent="0.25">
      <c r="A335" t="s">
        <v>937</v>
      </c>
      <c r="B335" t="str">
        <f>HYPERLINK("http://service.sap.com/sap/support/notes/0002006603","0002006603")</f>
        <v>0002006603</v>
      </c>
      <c r="C335" t="s">
        <v>938</v>
      </c>
      <c r="D335" t="s">
        <v>10</v>
      </c>
      <c r="E335" t="s">
        <v>935</v>
      </c>
      <c r="F335">
        <v>2</v>
      </c>
      <c r="G335" t="s">
        <v>937</v>
      </c>
      <c r="H335" t="str">
        <f>HYPERLINK("http://service.sap.com/sap/support/notes/0002064800","0002064800")</f>
        <v>0002064800</v>
      </c>
      <c r="I335" t="s">
        <v>939</v>
      </c>
      <c r="J335">
        <v>1</v>
      </c>
      <c r="K335" t="s">
        <v>13</v>
      </c>
    </row>
    <row r="336" spans="1:11" x14ac:dyDescent="0.25">
      <c r="A336" t="s">
        <v>940</v>
      </c>
      <c r="B336" t="str">
        <f>HYPERLINK("http://service.sap.com/sap/support/notes/0001999427","0001999427")</f>
        <v>0001999427</v>
      </c>
      <c r="C336" t="s">
        <v>941</v>
      </c>
      <c r="D336" t="s">
        <v>10</v>
      </c>
      <c r="E336" t="s">
        <v>935</v>
      </c>
      <c r="F336">
        <v>1</v>
      </c>
      <c r="G336" t="s">
        <v>940</v>
      </c>
      <c r="H336" t="str">
        <f>HYPERLINK("http://service.sap.com/sap/support/notes/0002083109","0002083109")</f>
        <v>0002083109</v>
      </c>
      <c r="I336" t="s">
        <v>942</v>
      </c>
      <c r="J336">
        <v>1</v>
      </c>
      <c r="K336" t="s">
        <v>13</v>
      </c>
    </row>
    <row r="337" spans="1:11" x14ac:dyDescent="0.25">
      <c r="A337" t="s">
        <v>943</v>
      </c>
      <c r="B337" t="str">
        <f>HYPERLINK("http://service.sap.com/sap/support/notes/0001931507","0001931507")</f>
        <v>0001931507</v>
      </c>
      <c r="C337" t="s">
        <v>944</v>
      </c>
      <c r="D337" t="s">
        <v>10</v>
      </c>
      <c r="E337" t="s">
        <v>925</v>
      </c>
      <c r="F337">
        <v>4</v>
      </c>
      <c r="G337" t="s">
        <v>943</v>
      </c>
      <c r="H337" t="str">
        <f>HYPERLINK("http://service.sap.com/sap/support/notes/0002079838","0002079838")</f>
        <v>0002079838</v>
      </c>
      <c r="I337" t="s">
        <v>945</v>
      </c>
      <c r="J337">
        <v>1</v>
      </c>
      <c r="K337" t="s">
        <v>47</v>
      </c>
    </row>
    <row r="338" spans="1:11" x14ac:dyDescent="0.25">
      <c r="A338" t="s">
        <v>946</v>
      </c>
      <c r="B338" t="str">
        <f>HYPERLINK("http://service.sap.com/sap/support/notes/0002038081","0002038081")</f>
        <v>0002038081</v>
      </c>
      <c r="C338" t="s">
        <v>947</v>
      </c>
      <c r="D338" t="s">
        <v>10</v>
      </c>
      <c r="E338" t="s">
        <v>948</v>
      </c>
      <c r="F338">
        <v>1</v>
      </c>
      <c r="G338" t="s">
        <v>946</v>
      </c>
      <c r="H338" t="str">
        <f>HYPERLINK("http://service.sap.com/sap/support/notes/0002073552","0002073552")</f>
        <v>0002073552</v>
      </c>
      <c r="I338" t="s">
        <v>949</v>
      </c>
      <c r="J338">
        <v>1</v>
      </c>
      <c r="K338" t="s">
        <v>35</v>
      </c>
    </row>
    <row r="339" spans="1:11" x14ac:dyDescent="0.25">
      <c r="A339" t="s">
        <v>950</v>
      </c>
      <c r="B339" t="str">
        <f>HYPERLINK("http://service.sap.com/sap/support/notes/0002010912","0002010912")</f>
        <v>0002010912</v>
      </c>
      <c r="C339" t="s">
        <v>951</v>
      </c>
      <c r="D339" t="s">
        <v>10</v>
      </c>
      <c r="E339" t="s">
        <v>935</v>
      </c>
      <c r="F339">
        <v>1</v>
      </c>
      <c r="G339" t="s">
        <v>950</v>
      </c>
      <c r="H339" t="str">
        <f>HYPERLINK("http://service.sap.com/sap/support/notes/0002034035","0002034035")</f>
        <v>0002034035</v>
      </c>
      <c r="I339" t="s">
        <v>952</v>
      </c>
      <c r="J339">
        <v>1</v>
      </c>
      <c r="K339" t="s">
        <v>13</v>
      </c>
    </row>
    <row r="340" spans="1:11" x14ac:dyDescent="0.25">
      <c r="A340" t="s">
        <v>953</v>
      </c>
      <c r="B340" t="str">
        <f>HYPERLINK("http://service.sap.com/sap/support/notes/0002005732","0002005732")</f>
        <v>0002005732</v>
      </c>
      <c r="C340" t="s">
        <v>954</v>
      </c>
      <c r="D340" t="s">
        <v>10</v>
      </c>
      <c r="E340" t="s">
        <v>602</v>
      </c>
      <c r="F340">
        <v>3</v>
      </c>
      <c r="G340" t="s">
        <v>953</v>
      </c>
      <c r="H340" t="str">
        <f>HYPERLINK("http://service.sap.com/sap/support/notes/0002075484","0002075484")</f>
        <v>0002075484</v>
      </c>
      <c r="I340" t="s">
        <v>955</v>
      </c>
      <c r="J340">
        <v>1</v>
      </c>
      <c r="K340" t="s">
        <v>13</v>
      </c>
    </row>
    <row r="341" spans="1:11" x14ac:dyDescent="0.25">
      <c r="A341" t="s">
        <v>956</v>
      </c>
      <c r="B341" t="str">
        <f>HYPERLINK("http://service.sap.com/sap/support/notes/0001924577","0001924577")</f>
        <v>0001924577</v>
      </c>
      <c r="C341" t="s">
        <v>957</v>
      </c>
      <c r="D341" t="s">
        <v>10</v>
      </c>
      <c r="E341" t="s">
        <v>602</v>
      </c>
      <c r="F341">
        <v>1</v>
      </c>
      <c r="G341" t="s">
        <v>956</v>
      </c>
      <c r="H341" t="str">
        <f>HYPERLINK("http://service.sap.com/sap/support/notes/0002062407","0002062407")</f>
        <v>0002062407</v>
      </c>
      <c r="I341" t="s">
        <v>958</v>
      </c>
      <c r="J341">
        <v>1</v>
      </c>
      <c r="K341" t="s">
        <v>47</v>
      </c>
    </row>
    <row r="342" spans="1:11" x14ac:dyDescent="0.25">
      <c r="A342" t="s">
        <v>956</v>
      </c>
      <c r="B342" t="str">
        <f>HYPERLINK("http://service.sap.com/sap/support/notes/0001965005","0001965005")</f>
        <v>0001965005</v>
      </c>
      <c r="C342" t="s">
        <v>959</v>
      </c>
      <c r="D342" t="s">
        <v>10</v>
      </c>
      <c r="E342" t="s">
        <v>602</v>
      </c>
      <c r="F342">
        <v>1</v>
      </c>
      <c r="G342" t="s">
        <v>960</v>
      </c>
      <c r="H342" t="str">
        <f>HYPERLINK("http://service.sap.com/sap/support/notes/0002038453","0002038453")</f>
        <v>0002038453</v>
      </c>
      <c r="I342" t="s">
        <v>961</v>
      </c>
      <c r="J342">
        <v>1</v>
      </c>
      <c r="K342" t="s">
        <v>13</v>
      </c>
    </row>
    <row r="343" spans="1:11" x14ac:dyDescent="0.25">
      <c r="A343" t="s">
        <v>962</v>
      </c>
      <c r="B343" t="str">
        <f>HYPERLINK("http://service.sap.com/sap/support/notes/0001988482","0001988482")</f>
        <v>0001988482</v>
      </c>
      <c r="C343" t="s">
        <v>963</v>
      </c>
      <c r="D343" t="s">
        <v>10</v>
      </c>
      <c r="E343" t="s">
        <v>602</v>
      </c>
      <c r="F343">
        <v>3</v>
      </c>
      <c r="G343" t="s">
        <v>964</v>
      </c>
      <c r="H343" t="str">
        <f>HYPERLINK("http://service.sap.com/sap/support/notes/0002014589","0002014589")</f>
        <v>0002014589</v>
      </c>
      <c r="I343" t="s">
        <v>965</v>
      </c>
      <c r="J343">
        <v>1</v>
      </c>
      <c r="K343" t="s">
        <v>13</v>
      </c>
    </row>
    <row r="344" spans="1:11" x14ac:dyDescent="0.25">
      <c r="A344" t="s">
        <v>962</v>
      </c>
      <c r="B344" t="str">
        <f>HYPERLINK("http://service.sap.com/sap/support/notes/0002002740","0002002740")</f>
        <v>0002002740</v>
      </c>
      <c r="C344" t="s">
        <v>966</v>
      </c>
      <c r="D344" t="s">
        <v>10</v>
      </c>
      <c r="E344" t="s">
        <v>602</v>
      </c>
      <c r="F344">
        <v>2</v>
      </c>
      <c r="G344" t="s">
        <v>962</v>
      </c>
      <c r="H344" t="str">
        <f>HYPERLINK("http://service.sap.com/sap/support/notes/0002076601","0002076601")</f>
        <v>0002076601</v>
      </c>
      <c r="I344" t="s">
        <v>967</v>
      </c>
      <c r="J344">
        <v>1</v>
      </c>
      <c r="K344" t="s">
        <v>13</v>
      </c>
    </row>
    <row r="345" spans="1:11" x14ac:dyDescent="0.25">
      <c r="A345" t="s">
        <v>968</v>
      </c>
      <c r="B345" t="str">
        <f>HYPERLINK("http://service.sap.com/sap/support/notes/0001902958","0001902958")</f>
        <v>0001902958</v>
      </c>
      <c r="C345" t="s">
        <v>969</v>
      </c>
      <c r="D345" t="s">
        <v>10</v>
      </c>
      <c r="E345" t="s">
        <v>602</v>
      </c>
      <c r="F345">
        <v>4</v>
      </c>
      <c r="G345" t="s">
        <v>968</v>
      </c>
      <c r="H345" t="str">
        <f>HYPERLINK("http://service.sap.com/sap/support/notes/0002078060","0002078060")</f>
        <v>0002078060</v>
      </c>
      <c r="I345" t="s">
        <v>970</v>
      </c>
      <c r="J345">
        <v>1</v>
      </c>
      <c r="K345" t="s">
        <v>13</v>
      </c>
    </row>
    <row r="346" spans="1:11" x14ac:dyDescent="0.25">
      <c r="A346" t="s">
        <v>968</v>
      </c>
      <c r="B346" t="str">
        <f>HYPERLINK("http://service.sap.com/sap/support/notes/0002018630","0002018630")</f>
        <v>0002018630</v>
      </c>
      <c r="C346" t="s">
        <v>971</v>
      </c>
      <c r="D346" t="s">
        <v>10</v>
      </c>
      <c r="E346" t="s">
        <v>233</v>
      </c>
      <c r="F346">
        <v>6</v>
      </c>
      <c r="G346" t="s">
        <v>972</v>
      </c>
      <c r="H346" t="str">
        <f>HYPERLINK("http://service.sap.com/sap/support/notes/0002057302","0002057302")</f>
        <v>0002057302</v>
      </c>
      <c r="I346" t="s">
        <v>973</v>
      </c>
      <c r="J346">
        <v>1</v>
      </c>
      <c r="K346" t="s">
        <v>13</v>
      </c>
    </row>
    <row r="347" spans="1:11" x14ac:dyDescent="0.25">
      <c r="A347" t="s">
        <v>974</v>
      </c>
      <c r="B347" t="str">
        <f>HYPERLINK("http://service.sap.com/sap/support/notes/0001955362","0001955362")</f>
        <v>0001955362</v>
      </c>
      <c r="C347" t="s">
        <v>975</v>
      </c>
      <c r="D347" t="s">
        <v>10</v>
      </c>
      <c r="E347" t="s">
        <v>493</v>
      </c>
      <c r="F347">
        <v>3</v>
      </c>
      <c r="G347" t="s">
        <v>976</v>
      </c>
      <c r="H347" t="str">
        <f>HYPERLINK("http://service.sap.com/sap/support/notes/0001963567","0001963567")</f>
        <v>0001963567</v>
      </c>
      <c r="I347" t="s">
        <v>977</v>
      </c>
      <c r="J347">
        <v>1</v>
      </c>
      <c r="K347" t="s">
        <v>13</v>
      </c>
    </row>
    <row r="348" spans="1:11" x14ac:dyDescent="0.25">
      <c r="A348" t="s">
        <v>978</v>
      </c>
      <c r="B348" t="str">
        <f>HYPERLINK("http://service.sap.com/sap/support/notes/0001997493","0001997493")</f>
        <v>0001997493</v>
      </c>
      <c r="C348" t="s">
        <v>979</v>
      </c>
      <c r="D348" t="s">
        <v>10</v>
      </c>
      <c r="E348" t="s">
        <v>233</v>
      </c>
      <c r="F348">
        <v>3</v>
      </c>
      <c r="G348" t="s">
        <v>980</v>
      </c>
      <c r="H348" t="str">
        <f>HYPERLINK("http://service.sap.com/sap/support/notes/0002069830","0002069830")</f>
        <v>0002069830</v>
      </c>
      <c r="I348" t="s">
        <v>981</v>
      </c>
      <c r="J348">
        <v>1</v>
      </c>
      <c r="K348" t="s">
        <v>13</v>
      </c>
    </row>
    <row r="349" spans="1:11" x14ac:dyDescent="0.25">
      <c r="A349" t="s">
        <v>982</v>
      </c>
      <c r="B349" t="str">
        <f>HYPERLINK("http://service.sap.com/sap/support/notes/0001976724","0001976724")</f>
        <v>0001976724</v>
      </c>
      <c r="C349" t="s">
        <v>983</v>
      </c>
      <c r="D349" t="s">
        <v>10</v>
      </c>
      <c r="E349" t="s">
        <v>493</v>
      </c>
      <c r="F349">
        <v>1</v>
      </c>
      <c r="G349" t="s">
        <v>984</v>
      </c>
      <c r="H349" t="str">
        <f>HYPERLINK("http://service.sap.com/sap/support/notes/0001987735","0001987735")</f>
        <v>0001987735</v>
      </c>
      <c r="I349" t="s">
        <v>985</v>
      </c>
      <c r="J349">
        <v>1</v>
      </c>
      <c r="K349" t="s">
        <v>13</v>
      </c>
    </row>
    <row r="350" spans="1:11" x14ac:dyDescent="0.25">
      <c r="A350" t="s">
        <v>986</v>
      </c>
      <c r="B350" t="str">
        <f>HYPERLINK("http://service.sap.com/sap/support/notes/0001937789","0001937789")</f>
        <v>0001937789</v>
      </c>
      <c r="C350" t="s">
        <v>987</v>
      </c>
      <c r="D350" t="s">
        <v>10</v>
      </c>
      <c r="E350" t="s">
        <v>988</v>
      </c>
      <c r="F350">
        <v>2</v>
      </c>
      <c r="G350" t="s">
        <v>989</v>
      </c>
      <c r="H350" t="str">
        <f>HYPERLINK("http://service.sap.com/sap/support/notes/0002078478","0002078478")</f>
        <v>0002078478</v>
      </c>
      <c r="I350" t="s">
        <v>990</v>
      </c>
      <c r="J350">
        <v>1</v>
      </c>
      <c r="K350" t="s">
        <v>13</v>
      </c>
    </row>
    <row r="351" spans="1:11" x14ac:dyDescent="0.25">
      <c r="A351" t="s">
        <v>986</v>
      </c>
      <c r="B351" t="str">
        <f>HYPERLINK("http://service.sap.com/sap/support/notes/0001991257","0001991257")</f>
        <v>0001991257</v>
      </c>
      <c r="C351" t="s">
        <v>991</v>
      </c>
      <c r="D351" t="s">
        <v>10</v>
      </c>
      <c r="E351" t="s">
        <v>988</v>
      </c>
      <c r="F351">
        <v>1</v>
      </c>
      <c r="G351" t="s">
        <v>972</v>
      </c>
      <c r="H351" t="str">
        <f>HYPERLINK("http://service.sap.com/sap/support/notes/0002071948","0002071948")</f>
        <v>0002071948</v>
      </c>
      <c r="I351" t="s">
        <v>992</v>
      </c>
      <c r="J351">
        <v>1</v>
      </c>
      <c r="K351" t="s">
        <v>13</v>
      </c>
    </row>
    <row r="352" spans="1:11" x14ac:dyDescent="0.25">
      <c r="A352" t="s">
        <v>989</v>
      </c>
      <c r="B352" t="str">
        <f>HYPERLINK("http://service.sap.com/sap/support/notes/0001882176","0001882176")</f>
        <v>0001882176</v>
      </c>
      <c r="C352" t="s">
        <v>993</v>
      </c>
      <c r="D352" t="s">
        <v>10</v>
      </c>
      <c r="E352" t="s">
        <v>988</v>
      </c>
      <c r="F352">
        <v>9</v>
      </c>
      <c r="G352" t="s">
        <v>989</v>
      </c>
      <c r="H352" t="str">
        <f>HYPERLINK("http://service.sap.com/sap/support/notes/0001912755","0001912755")</f>
        <v>0001912755</v>
      </c>
      <c r="I352" t="s">
        <v>994</v>
      </c>
      <c r="J352">
        <v>1</v>
      </c>
      <c r="K352" t="s">
        <v>47</v>
      </c>
    </row>
    <row r="353" spans="1:11" x14ac:dyDescent="0.25">
      <c r="A353" t="s">
        <v>989</v>
      </c>
      <c r="B353" t="str">
        <f>HYPERLINK("http://service.sap.com/sap/support/notes/0001882176","0001882176")</f>
        <v>0001882176</v>
      </c>
      <c r="C353" t="s">
        <v>993</v>
      </c>
      <c r="D353" t="s">
        <v>10</v>
      </c>
      <c r="E353" t="s">
        <v>988</v>
      </c>
      <c r="F353">
        <v>9</v>
      </c>
      <c r="G353" t="s">
        <v>989</v>
      </c>
      <c r="H353" t="str">
        <f>HYPERLINK("http://service.sap.com/sap/support/notes/0002064914","0002064914")</f>
        <v>0002064914</v>
      </c>
      <c r="I353" t="s">
        <v>995</v>
      </c>
      <c r="J353">
        <v>1</v>
      </c>
      <c r="K353" t="s">
        <v>13</v>
      </c>
    </row>
    <row r="354" spans="1:11" x14ac:dyDescent="0.25">
      <c r="A354" t="s">
        <v>996</v>
      </c>
      <c r="B354" t="str">
        <f>HYPERLINK("http://service.sap.com/sap/support/notes/0001968132","0001968132")</f>
        <v>0001968132</v>
      </c>
      <c r="C354" t="s">
        <v>997</v>
      </c>
      <c r="D354" t="s">
        <v>10</v>
      </c>
      <c r="E354" t="s">
        <v>493</v>
      </c>
      <c r="F354">
        <v>1</v>
      </c>
      <c r="G354" t="s">
        <v>996</v>
      </c>
      <c r="H354" t="str">
        <f>HYPERLINK("http://service.sap.com/sap/support/notes/0002070408","0002070408")</f>
        <v>0002070408</v>
      </c>
      <c r="I354" t="s">
        <v>998</v>
      </c>
      <c r="J354">
        <v>1</v>
      </c>
      <c r="K354" t="s">
        <v>13</v>
      </c>
    </row>
    <row r="355" spans="1:11" x14ac:dyDescent="0.25">
      <c r="A355" t="s">
        <v>999</v>
      </c>
      <c r="B355" t="str">
        <f>HYPERLINK("http://service.sap.com/sap/support/notes/0002007928","0002007928")</f>
        <v>0002007928</v>
      </c>
      <c r="C355" t="s">
        <v>1000</v>
      </c>
      <c r="D355" t="s">
        <v>10</v>
      </c>
      <c r="E355" t="s">
        <v>482</v>
      </c>
      <c r="F355">
        <v>1</v>
      </c>
      <c r="G355" t="s">
        <v>999</v>
      </c>
      <c r="H355" t="str">
        <f>HYPERLINK("http://service.sap.com/sap/support/notes/0002077460","0002077460")</f>
        <v>0002077460</v>
      </c>
      <c r="I355" t="s">
        <v>1001</v>
      </c>
      <c r="J355">
        <v>1</v>
      </c>
      <c r="K355" t="s">
        <v>47</v>
      </c>
    </row>
    <row r="356" spans="1:11" x14ac:dyDescent="0.25">
      <c r="A356" t="s">
        <v>999</v>
      </c>
      <c r="B356" t="str">
        <f>HYPERLINK("http://service.sap.com/sap/support/notes/0002007928","0002007928")</f>
        <v>0002007928</v>
      </c>
      <c r="C356" t="s">
        <v>1000</v>
      </c>
      <c r="D356" t="s">
        <v>10</v>
      </c>
      <c r="E356" t="s">
        <v>602</v>
      </c>
      <c r="F356">
        <v>1</v>
      </c>
      <c r="G356" t="s">
        <v>999</v>
      </c>
      <c r="H356" t="str">
        <f>HYPERLINK("http://service.sap.com/sap/support/notes/0002077460","0002077460")</f>
        <v>0002077460</v>
      </c>
      <c r="I356" t="s">
        <v>1001</v>
      </c>
      <c r="J356">
        <v>1</v>
      </c>
      <c r="K356" t="s">
        <v>47</v>
      </c>
    </row>
    <row r="357" spans="1:11" x14ac:dyDescent="0.25">
      <c r="A357" t="s">
        <v>1002</v>
      </c>
      <c r="B357" t="str">
        <f>HYPERLINK("http://service.sap.com/sap/support/notes/0002022165","0002022165")</f>
        <v>0002022165</v>
      </c>
      <c r="C357" t="s">
        <v>1003</v>
      </c>
      <c r="D357" t="s">
        <v>10</v>
      </c>
      <c r="E357" t="s">
        <v>602</v>
      </c>
      <c r="F357">
        <v>4</v>
      </c>
      <c r="G357" t="s">
        <v>1002</v>
      </c>
      <c r="H357" t="str">
        <f>HYPERLINK("http://service.sap.com/sap/support/notes/0002066984","0002066984")</f>
        <v>0002066984</v>
      </c>
      <c r="I357" t="s">
        <v>1004</v>
      </c>
      <c r="J357">
        <v>1</v>
      </c>
      <c r="K357" t="s">
        <v>13</v>
      </c>
    </row>
    <row r="358" spans="1:11" x14ac:dyDescent="0.25">
      <c r="A358" t="s">
        <v>1002</v>
      </c>
      <c r="B358" t="str">
        <f>HYPERLINK("http://service.sap.com/sap/support/notes/0002022770","0002022770")</f>
        <v>0002022770</v>
      </c>
      <c r="C358" t="s">
        <v>1005</v>
      </c>
      <c r="D358" t="s">
        <v>10</v>
      </c>
      <c r="E358" t="s">
        <v>233</v>
      </c>
      <c r="F358">
        <v>4</v>
      </c>
      <c r="G358" t="s">
        <v>1006</v>
      </c>
      <c r="H358" t="str">
        <f>HYPERLINK("http://service.sap.com/sap/support/notes/0002055345","0002055345")</f>
        <v>0002055345</v>
      </c>
      <c r="I358" t="s">
        <v>1007</v>
      </c>
      <c r="J358">
        <v>1</v>
      </c>
      <c r="K358" t="s">
        <v>13</v>
      </c>
    </row>
    <row r="359" spans="1:11" x14ac:dyDescent="0.25">
      <c r="A359" t="s">
        <v>1008</v>
      </c>
      <c r="B359" t="str">
        <f>HYPERLINK("http://service.sap.com/sap/support/notes/0002051966","0002051966")</f>
        <v>0002051966</v>
      </c>
      <c r="C359" t="s">
        <v>1009</v>
      </c>
      <c r="D359" t="s">
        <v>10</v>
      </c>
      <c r="E359" t="s">
        <v>1010</v>
      </c>
      <c r="F359">
        <v>1</v>
      </c>
      <c r="G359" t="s">
        <v>1008</v>
      </c>
      <c r="H359" t="str">
        <f>HYPERLINK("http://service.sap.com/sap/support/notes/0002054724","0002054724")</f>
        <v>0002054724</v>
      </c>
      <c r="I359" t="s">
        <v>1011</v>
      </c>
      <c r="J359">
        <v>1</v>
      </c>
      <c r="K359" t="s">
        <v>13</v>
      </c>
    </row>
    <row r="360" spans="1:11" x14ac:dyDescent="0.25">
      <c r="A360" t="s">
        <v>1012</v>
      </c>
      <c r="B360" t="str">
        <f>HYPERLINK("http://service.sap.com/sap/support/notes/0001963998","0001963998")</f>
        <v>0001963998</v>
      </c>
      <c r="C360" t="s">
        <v>1013</v>
      </c>
      <c r="D360" t="s">
        <v>10</v>
      </c>
      <c r="E360" t="s">
        <v>493</v>
      </c>
      <c r="F360">
        <v>1</v>
      </c>
      <c r="G360" t="s">
        <v>1012</v>
      </c>
      <c r="H360" t="str">
        <f>HYPERLINK("http://service.sap.com/sap/support/notes/0002023773","0002023773")</f>
        <v>0002023773</v>
      </c>
      <c r="I360" t="s">
        <v>1014</v>
      </c>
      <c r="J360">
        <v>1</v>
      </c>
      <c r="K360" t="s">
        <v>13</v>
      </c>
    </row>
    <row r="361" spans="1:11" x14ac:dyDescent="0.25">
      <c r="A361" t="s">
        <v>1015</v>
      </c>
      <c r="B361" t="str">
        <f>HYPERLINK("http://service.sap.com/sap/support/notes/0002025210","0002025210")</f>
        <v>0002025210</v>
      </c>
      <c r="C361" t="s">
        <v>1016</v>
      </c>
      <c r="D361" t="s">
        <v>10</v>
      </c>
      <c r="E361" t="s">
        <v>233</v>
      </c>
      <c r="F361">
        <v>2</v>
      </c>
      <c r="G361" t="s">
        <v>1017</v>
      </c>
      <c r="H361" t="str">
        <f>HYPERLINK("http://service.sap.com/sap/support/notes/0002067673","0002067673")</f>
        <v>0002067673</v>
      </c>
      <c r="I361" t="s">
        <v>1018</v>
      </c>
      <c r="J361">
        <v>1</v>
      </c>
      <c r="K361" t="s">
        <v>35</v>
      </c>
    </row>
    <row r="362" spans="1:11" x14ac:dyDescent="0.25">
      <c r="A362" t="s">
        <v>1015</v>
      </c>
      <c r="B362" t="str">
        <f>HYPERLINK("http://service.sap.com/sap/support/notes/0002025210","0002025210")</f>
        <v>0002025210</v>
      </c>
      <c r="C362" t="s">
        <v>1016</v>
      </c>
      <c r="D362" t="s">
        <v>10</v>
      </c>
      <c r="E362" t="s">
        <v>1010</v>
      </c>
      <c r="F362">
        <v>2</v>
      </c>
      <c r="G362" t="s">
        <v>1017</v>
      </c>
      <c r="H362" t="str">
        <f>HYPERLINK("http://service.sap.com/sap/support/notes/0002067673","0002067673")</f>
        <v>0002067673</v>
      </c>
      <c r="I362" t="s">
        <v>1018</v>
      </c>
      <c r="J362">
        <v>1</v>
      </c>
      <c r="K362" t="s">
        <v>35</v>
      </c>
    </row>
    <row r="363" spans="1:11" x14ac:dyDescent="0.25">
      <c r="A363" t="s">
        <v>1019</v>
      </c>
      <c r="B363" t="str">
        <f>HYPERLINK("http://service.sap.com/sap/support/notes/0002032327","0002032327")</f>
        <v>0002032327</v>
      </c>
      <c r="C363" t="s">
        <v>1020</v>
      </c>
      <c r="D363" t="s">
        <v>10</v>
      </c>
      <c r="E363" t="s">
        <v>233</v>
      </c>
      <c r="F363">
        <v>2</v>
      </c>
      <c r="G363" t="s">
        <v>1019</v>
      </c>
      <c r="H363" t="str">
        <f>HYPERLINK("http://service.sap.com/sap/support/notes/0002044592","0002044592")</f>
        <v>0002044592</v>
      </c>
      <c r="I363" t="s">
        <v>1021</v>
      </c>
      <c r="J363">
        <v>1</v>
      </c>
      <c r="K363" t="s">
        <v>35</v>
      </c>
    </row>
    <row r="364" spans="1:11" x14ac:dyDescent="0.25">
      <c r="A364" t="s">
        <v>1019</v>
      </c>
      <c r="B364" t="str">
        <f>HYPERLINK("http://service.sap.com/sap/support/notes/0002032327","0002032327")</f>
        <v>0002032327</v>
      </c>
      <c r="C364" t="s">
        <v>1020</v>
      </c>
      <c r="D364" t="s">
        <v>10</v>
      </c>
      <c r="E364" t="s">
        <v>233</v>
      </c>
      <c r="F364">
        <v>2</v>
      </c>
      <c r="G364" t="s">
        <v>1019</v>
      </c>
      <c r="H364" t="str">
        <f>HYPERLINK("http://service.sap.com/sap/support/notes/0002036931","0002036931")</f>
        <v>0002036931</v>
      </c>
      <c r="I364" t="s">
        <v>1022</v>
      </c>
      <c r="J364">
        <v>1</v>
      </c>
      <c r="K364" t="s">
        <v>13</v>
      </c>
    </row>
    <row r="365" spans="1:11" x14ac:dyDescent="0.25">
      <c r="A365" t="s">
        <v>1019</v>
      </c>
      <c r="B365" t="str">
        <f>HYPERLINK("http://service.sap.com/sap/support/notes/0002036635","0002036635")</f>
        <v>0002036635</v>
      </c>
      <c r="C365" t="s">
        <v>1023</v>
      </c>
      <c r="D365" t="s">
        <v>10</v>
      </c>
      <c r="E365" t="s">
        <v>233</v>
      </c>
      <c r="F365">
        <v>3</v>
      </c>
      <c r="G365" t="s">
        <v>1019</v>
      </c>
      <c r="H365" t="str">
        <f>HYPERLINK("http://service.sap.com/sap/support/notes/0002036931","0002036931")</f>
        <v>0002036931</v>
      </c>
      <c r="I365" t="s">
        <v>1022</v>
      </c>
      <c r="J365">
        <v>1</v>
      </c>
      <c r="K365" t="s">
        <v>13</v>
      </c>
    </row>
    <row r="366" spans="1:11" x14ac:dyDescent="0.25">
      <c r="A366" t="s">
        <v>1019</v>
      </c>
      <c r="B366" t="str">
        <f>HYPERLINK("http://service.sap.com/sap/support/notes/0002036807","0002036807")</f>
        <v>0002036807</v>
      </c>
      <c r="C366" t="s">
        <v>1024</v>
      </c>
      <c r="D366" t="s">
        <v>10</v>
      </c>
      <c r="E366" t="s">
        <v>233</v>
      </c>
      <c r="F366">
        <v>3</v>
      </c>
      <c r="G366" t="s">
        <v>1019</v>
      </c>
      <c r="H366" t="str">
        <f>HYPERLINK("http://service.sap.com/sap/support/notes/0002036931","0002036931")</f>
        <v>0002036931</v>
      </c>
      <c r="I366" t="s">
        <v>1022</v>
      </c>
      <c r="J366">
        <v>1</v>
      </c>
      <c r="K366" t="s">
        <v>13</v>
      </c>
    </row>
    <row r="367" spans="1:11" x14ac:dyDescent="0.25">
      <c r="A367" t="s">
        <v>1019</v>
      </c>
      <c r="B367" t="str">
        <f>HYPERLINK("http://service.sap.com/sap/support/notes/0002048533","0002048533")</f>
        <v>0002048533</v>
      </c>
      <c r="C367" t="s">
        <v>1025</v>
      </c>
      <c r="D367" t="s">
        <v>10</v>
      </c>
      <c r="E367" t="s">
        <v>233</v>
      </c>
      <c r="F367">
        <v>1</v>
      </c>
      <c r="G367" t="s">
        <v>1019</v>
      </c>
      <c r="H367" t="str">
        <f>HYPERLINK("http://service.sap.com/sap/support/notes/0002067836","0002067836")</f>
        <v>0002067836</v>
      </c>
      <c r="I367" t="s">
        <v>1026</v>
      </c>
      <c r="J367">
        <v>1</v>
      </c>
      <c r="K367" t="s">
        <v>35</v>
      </c>
    </row>
    <row r="368" spans="1:11" x14ac:dyDescent="0.25">
      <c r="A368" t="s">
        <v>1027</v>
      </c>
      <c r="B368" t="str">
        <f>HYPERLINK("http://service.sap.com/sap/support/notes/0001875669","0001875669")</f>
        <v>0001875669</v>
      </c>
      <c r="C368" t="s">
        <v>1028</v>
      </c>
      <c r="D368" t="s">
        <v>10</v>
      </c>
      <c r="E368" t="s">
        <v>602</v>
      </c>
      <c r="F368">
        <v>3</v>
      </c>
      <c r="G368" t="s">
        <v>1029</v>
      </c>
      <c r="H368" t="str">
        <f>HYPERLINK("http://service.sap.com/sap/support/notes/0002043159","0002043159")</f>
        <v>0002043159</v>
      </c>
      <c r="I368" t="s">
        <v>1030</v>
      </c>
      <c r="J368">
        <v>1</v>
      </c>
      <c r="K368" t="s">
        <v>47</v>
      </c>
    </row>
    <row r="369" spans="1:11" x14ac:dyDescent="0.25">
      <c r="A369" t="s">
        <v>373</v>
      </c>
      <c r="B369" t="str">
        <f>HYPERLINK("http://service.sap.com/sap/support/notes/0001947236","0001947236")</f>
        <v>0001947236</v>
      </c>
      <c r="C369" t="s">
        <v>1031</v>
      </c>
      <c r="D369" t="s">
        <v>10</v>
      </c>
      <c r="E369" t="s">
        <v>333</v>
      </c>
      <c r="F369">
        <v>2</v>
      </c>
      <c r="G369" t="s">
        <v>1032</v>
      </c>
      <c r="H369" t="str">
        <f>HYPERLINK("http://service.sap.com/sap/support/notes/0002039207","0002039207")</f>
        <v>0002039207</v>
      </c>
      <c r="I369" t="s">
        <v>1033</v>
      </c>
      <c r="J369">
        <v>1</v>
      </c>
      <c r="K369" t="s">
        <v>47</v>
      </c>
    </row>
    <row r="370" spans="1:11" x14ac:dyDescent="0.25">
      <c r="A370" t="s">
        <v>1034</v>
      </c>
      <c r="B370" t="str">
        <f>HYPERLINK("http://service.sap.com/sap/support/notes/0001971126","0001971126")</f>
        <v>0001971126</v>
      </c>
      <c r="C370" t="s">
        <v>1035</v>
      </c>
      <c r="D370" t="s">
        <v>10</v>
      </c>
      <c r="E370" t="s">
        <v>617</v>
      </c>
      <c r="F370">
        <v>1</v>
      </c>
      <c r="G370" t="s">
        <v>1034</v>
      </c>
      <c r="H370" t="str">
        <f>HYPERLINK("http://service.sap.com/sap/support/notes/0002071889","0002071889")</f>
        <v>0002071889</v>
      </c>
      <c r="I370" t="s">
        <v>1036</v>
      </c>
      <c r="J370">
        <v>1</v>
      </c>
      <c r="K370" t="s">
        <v>35</v>
      </c>
    </row>
    <row r="371" spans="1:11" x14ac:dyDescent="0.25">
      <c r="A371" t="s">
        <v>1032</v>
      </c>
      <c r="B371" t="str">
        <f>HYPERLINK("http://service.sap.com/sap/support/notes/0002014158","0002014158")</f>
        <v>0002014158</v>
      </c>
      <c r="C371" t="s">
        <v>1037</v>
      </c>
      <c r="D371" t="s">
        <v>10</v>
      </c>
      <c r="E371" t="s">
        <v>623</v>
      </c>
      <c r="F371">
        <v>4</v>
      </c>
      <c r="G371" t="s">
        <v>1032</v>
      </c>
      <c r="H371" t="str">
        <f>HYPERLINK("http://service.sap.com/sap/support/notes/0002066900","0002066900")</f>
        <v>0002066900</v>
      </c>
      <c r="I371" t="s">
        <v>1038</v>
      </c>
      <c r="J371">
        <v>1</v>
      </c>
      <c r="K371" t="s">
        <v>47</v>
      </c>
    </row>
    <row r="372" spans="1:11" x14ac:dyDescent="0.25">
      <c r="A372" t="s">
        <v>1039</v>
      </c>
      <c r="B372" t="str">
        <f>HYPERLINK("http://service.sap.com/sap/support/notes/0001919490","0001919490")</f>
        <v>0001919490</v>
      </c>
      <c r="C372" t="s">
        <v>1040</v>
      </c>
      <c r="D372" t="s">
        <v>10</v>
      </c>
      <c r="E372" t="s">
        <v>493</v>
      </c>
      <c r="F372">
        <v>2</v>
      </c>
      <c r="G372" t="s">
        <v>1041</v>
      </c>
      <c r="H372" t="str">
        <f>HYPERLINK("http://service.sap.com/sap/support/notes/0001993745","0001993745")</f>
        <v>0001993745</v>
      </c>
      <c r="I372" t="s">
        <v>1042</v>
      </c>
      <c r="J372">
        <v>1</v>
      </c>
      <c r="K372" t="s">
        <v>13</v>
      </c>
    </row>
    <row r="373" spans="1:11" x14ac:dyDescent="0.25">
      <c r="A373" t="s">
        <v>1039</v>
      </c>
      <c r="B373" t="str">
        <f>HYPERLINK("http://service.sap.com/sap/support/notes/0001919490","0001919490")</f>
        <v>0001919490</v>
      </c>
      <c r="C373" t="s">
        <v>1040</v>
      </c>
      <c r="D373" t="s">
        <v>10</v>
      </c>
      <c r="E373" t="s">
        <v>493</v>
      </c>
      <c r="F373">
        <v>2</v>
      </c>
      <c r="G373" t="s">
        <v>1041</v>
      </c>
      <c r="H373" t="str">
        <f>HYPERLINK("http://service.sap.com/sap/support/notes/0002007850","0002007850")</f>
        <v>0002007850</v>
      </c>
      <c r="I373" t="s">
        <v>1043</v>
      </c>
      <c r="J373">
        <v>1</v>
      </c>
      <c r="K373" t="s">
        <v>13</v>
      </c>
    </row>
    <row r="374" spans="1:11" x14ac:dyDescent="0.25">
      <c r="A374" t="s">
        <v>1044</v>
      </c>
      <c r="B374" t="str">
        <f>HYPERLINK("http://service.sap.com/sap/support/notes/0001904997","0001904997")</f>
        <v>0001904997</v>
      </c>
      <c r="C374" t="s">
        <v>1045</v>
      </c>
      <c r="D374" t="s">
        <v>10</v>
      </c>
      <c r="E374" t="s">
        <v>493</v>
      </c>
      <c r="F374">
        <v>4</v>
      </c>
      <c r="G374" t="s">
        <v>848</v>
      </c>
      <c r="H374" t="str">
        <f>HYPERLINK("http://service.sap.com/sap/support/notes/0002058214","0002058214")</f>
        <v>0002058214</v>
      </c>
      <c r="I374" t="s">
        <v>1046</v>
      </c>
      <c r="J374">
        <v>1</v>
      </c>
      <c r="K374" t="s">
        <v>13</v>
      </c>
    </row>
    <row r="375" spans="1:11" x14ac:dyDescent="0.25">
      <c r="A375" t="s">
        <v>1047</v>
      </c>
      <c r="B375" t="str">
        <f>HYPERLINK("http://service.sap.com/sap/support/notes/0002053350","0002053350")</f>
        <v>0002053350</v>
      </c>
      <c r="C375" t="s">
        <v>1048</v>
      </c>
      <c r="D375" t="s">
        <v>10</v>
      </c>
      <c r="E375" t="s">
        <v>233</v>
      </c>
      <c r="F375">
        <v>3</v>
      </c>
      <c r="G375" t="s">
        <v>584</v>
      </c>
      <c r="H375" t="str">
        <f>HYPERLINK("http://service.sap.com/sap/support/notes/0002055525","0002055525")</f>
        <v>0002055525</v>
      </c>
      <c r="I375" t="s">
        <v>1049</v>
      </c>
      <c r="J375">
        <v>1</v>
      </c>
      <c r="K375" t="s">
        <v>13</v>
      </c>
    </row>
    <row r="376" spans="1:11" x14ac:dyDescent="0.25">
      <c r="A376" t="s">
        <v>1050</v>
      </c>
      <c r="B376" t="str">
        <f>HYPERLINK("http://service.sap.com/sap/support/notes/0001976964","0001976964")</f>
        <v>0001976964</v>
      </c>
      <c r="C376" t="s">
        <v>1051</v>
      </c>
      <c r="D376" t="s">
        <v>10</v>
      </c>
      <c r="E376" t="s">
        <v>493</v>
      </c>
      <c r="F376">
        <v>1</v>
      </c>
      <c r="G376" t="s">
        <v>1050</v>
      </c>
      <c r="H376" t="str">
        <f>HYPERLINK("http://service.sap.com/sap/support/notes/0001977516","0001977516")</f>
        <v>0001977516</v>
      </c>
      <c r="I376" t="s">
        <v>1052</v>
      </c>
      <c r="J376">
        <v>1</v>
      </c>
      <c r="K376" t="s">
        <v>13</v>
      </c>
    </row>
    <row r="377" spans="1:11" x14ac:dyDescent="0.25">
      <c r="A377" t="s">
        <v>1053</v>
      </c>
      <c r="B377" t="str">
        <f>HYPERLINK("http://service.sap.com/sap/support/notes/0002014887","0002014887")</f>
        <v>0002014887</v>
      </c>
      <c r="C377" t="s">
        <v>1054</v>
      </c>
      <c r="D377" t="s">
        <v>10</v>
      </c>
      <c r="E377" t="s">
        <v>233</v>
      </c>
      <c r="F377">
        <v>4</v>
      </c>
      <c r="G377" t="s">
        <v>856</v>
      </c>
      <c r="H377" t="str">
        <f>HYPERLINK("http://service.sap.com/sap/support/notes/0002055866","0002055866")</f>
        <v>0002055866</v>
      </c>
      <c r="I377" t="s">
        <v>1055</v>
      </c>
      <c r="J377">
        <v>1</v>
      </c>
      <c r="K377" t="s">
        <v>13</v>
      </c>
    </row>
    <row r="378" spans="1:11" x14ac:dyDescent="0.25">
      <c r="A378" t="s">
        <v>1056</v>
      </c>
      <c r="B378" t="str">
        <f>HYPERLINK("http://service.sap.com/sap/support/notes/0001981904","0001981904")</f>
        <v>0001981904</v>
      </c>
      <c r="C378" t="s">
        <v>1057</v>
      </c>
      <c r="D378" t="s">
        <v>10</v>
      </c>
      <c r="E378" t="s">
        <v>493</v>
      </c>
      <c r="F378">
        <v>3</v>
      </c>
      <c r="G378" t="s">
        <v>1058</v>
      </c>
      <c r="H378" t="str">
        <f>HYPERLINK("http://service.sap.com/sap/support/notes/0002063415","0002063415")</f>
        <v>0002063415</v>
      </c>
      <c r="I378" t="s">
        <v>1059</v>
      </c>
      <c r="J378">
        <v>1</v>
      </c>
      <c r="K378" t="s">
        <v>13</v>
      </c>
    </row>
    <row r="379" spans="1:11" x14ac:dyDescent="0.25">
      <c r="A379" t="s">
        <v>1060</v>
      </c>
      <c r="B379" t="str">
        <f>HYPERLINK("http://service.sap.com/sap/support/notes/0001931234","0001931234")</f>
        <v>0001931234</v>
      </c>
      <c r="C379" t="s">
        <v>1061</v>
      </c>
      <c r="D379" t="s">
        <v>10</v>
      </c>
      <c r="E379" t="s">
        <v>493</v>
      </c>
      <c r="F379">
        <v>5</v>
      </c>
      <c r="G379" t="s">
        <v>1060</v>
      </c>
      <c r="H379" t="str">
        <f>HYPERLINK("http://service.sap.com/sap/support/notes/0001972132","0001972132")</f>
        <v>0001972132</v>
      </c>
      <c r="I379" t="s">
        <v>1062</v>
      </c>
      <c r="J379">
        <v>4</v>
      </c>
      <c r="K379" t="s">
        <v>13</v>
      </c>
    </row>
    <row r="380" spans="1:11" x14ac:dyDescent="0.25">
      <c r="A380" t="s">
        <v>1063</v>
      </c>
      <c r="B380" t="str">
        <f>HYPERLINK("http://service.sap.com/sap/support/notes/0001954496","0001954496")</f>
        <v>0001954496</v>
      </c>
      <c r="C380" t="s">
        <v>1064</v>
      </c>
      <c r="D380" t="s">
        <v>10</v>
      </c>
      <c r="E380" t="s">
        <v>602</v>
      </c>
      <c r="F380">
        <v>2</v>
      </c>
      <c r="G380" t="s">
        <v>960</v>
      </c>
      <c r="H380" t="str">
        <f>HYPERLINK("http://service.sap.com/sap/support/notes/0002014241","0002014241")</f>
        <v>0002014241</v>
      </c>
      <c r="I380" t="s">
        <v>1065</v>
      </c>
      <c r="J380">
        <v>1</v>
      </c>
      <c r="K380" t="s">
        <v>13</v>
      </c>
    </row>
    <row r="381" spans="1:11" x14ac:dyDescent="0.25">
      <c r="A381" t="s">
        <v>1063</v>
      </c>
      <c r="B381" t="str">
        <f>HYPERLINK("http://service.sap.com/sap/support/notes/0001967549","0001967549")</f>
        <v>0001967549</v>
      </c>
      <c r="C381" t="s">
        <v>1066</v>
      </c>
      <c r="D381" t="s">
        <v>10</v>
      </c>
      <c r="E381" t="s">
        <v>602</v>
      </c>
      <c r="F381">
        <v>5</v>
      </c>
      <c r="G381" t="s">
        <v>584</v>
      </c>
      <c r="H381" t="str">
        <f>HYPERLINK("http://service.sap.com/sap/support/notes/0002038018","0002038018")</f>
        <v>0002038018</v>
      </c>
      <c r="I381" t="s">
        <v>1067</v>
      </c>
      <c r="J381">
        <v>1</v>
      </c>
      <c r="K381" t="s">
        <v>13</v>
      </c>
    </row>
    <row r="382" spans="1:11" x14ac:dyDescent="0.25">
      <c r="A382" t="s">
        <v>1068</v>
      </c>
      <c r="B382" t="str">
        <f>HYPERLINK("http://service.sap.com/sap/support/notes/0001992249","0001992249")</f>
        <v>0001992249</v>
      </c>
      <c r="C382" t="s">
        <v>1069</v>
      </c>
      <c r="D382" t="s">
        <v>10</v>
      </c>
      <c r="E382" t="s">
        <v>493</v>
      </c>
      <c r="F382">
        <v>3</v>
      </c>
      <c r="G382" t="s">
        <v>1068</v>
      </c>
      <c r="H382" t="str">
        <f>HYPERLINK("http://service.sap.com/sap/support/notes/0002031699","0002031699")</f>
        <v>0002031699</v>
      </c>
      <c r="I382" t="s">
        <v>1070</v>
      </c>
      <c r="J382">
        <v>1</v>
      </c>
      <c r="K382" t="s">
        <v>13</v>
      </c>
    </row>
    <row r="383" spans="1:11" x14ac:dyDescent="0.25">
      <c r="A383" t="s">
        <v>1068</v>
      </c>
      <c r="B383" t="str">
        <f>HYPERLINK("http://service.sap.com/sap/support/notes/0002052543","0002052543")</f>
        <v>0002052543</v>
      </c>
      <c r="C383" t="s">
        <v>1071</v>
      </c>
      <c r="D383" t="s">
        <v>10</v>
      </c>
      <c r="E383" t="s">
        <v>233</v>
      </c>
      <c r="F383">
        <v>7</v>
      </c>
      <c r="G383" t="s">
        <v>1072</v>
      </c>
      <c r="H383" t="str">
        <f>HYPERLINK("http://service.sap.com/sap/support/notes/0002078029","0002078029")</f>
        <v>0002078029</v>
      </c>
      <c r="I383" t="s">
        <v>1073</v>
      </c>
      <c r="J383">
        <v>1</v>
      </c>
      <c r="K383" t="s">
        <v>13</v>
      </c>
    </row>
    <row r="384" spans="1:11" x14ac:dyDescent="0.25">
      <c r="A384" t="s">
        <v>1068</v>
      </c>
      <c r="B384" t="str">
        <f>HYPERLINK("http://service.sap.com/sap/support/notes/0002052543","0002052543")</f>
        <v>0002052543</v>
      </c>
      <c r="C384" t="s">
        <v>1071</v>
      </c>
      <c r="D384" t="s">
        <v>10</v>
      </c>
      <c r="E384" t="s">
        <v>233</v>
      </c>
      <c r="F384">
        <v>7</v>
      </c>
      <c r="G384" t="s">
        <v>1068</v>
      </c>
      <c r="H384" t="str">
        <f>HYPERLINK("http://service.sap.com/sap/support/notes/0002070853","0002070853")</f>
        <v>0002070853</v>
      </c>
      <c r="I384" t="s">
        <v>1074</v>
      </c>
      <c r="J384">
        <v>1</v>
      </c>
      <c r="K384" t="s">
        <v>13</v>
      </c>
    </row>
    <row r="385" spans="1:11" x14ac:dyDescent="0.25">
      <c r="A385" t="s">
        <v>1075</v>
      </c>
      <c r="B385" t="str">
        <f>HYPERLINK("http://service.sap.com/sap/support/notes/0001987986","0001987986")</f>
        <v>0001987986</v>
      </c>
      <c r="C385" t="s">
        <v>1076</v>
      </c>
      <c r="D385" t="s">
        <v>10</v>
      </c>
      <c r="E385" t="s">
        <v>602</v>
      </c>
      <c r="F385">
        <v>4</v>
      </c>
      <c r="G385" t="s">
        <v>1077</v>
      </c>
      <c r="H385" t="str">
        <f>HYPERLINK("http://service.sap.com/sap/support/notes/0002065299","0002065299")</f>
        <v>0002065299</v>
      </c>
      <c r="I385" t="s">
        <v>1078</v>
      </c>
      <c r="J385">
        <v>1</v>
      </c>
      <c r="K385" t="s">
        <v>35</v>
      </c>
    </row>
    <row r="386" spans="1:11" x14ac:dyDescent="0.25">
      <c r="A386" t="s">
        <v>1075</v>
      </c>
      <c r="B386" t="str">
        <f>HYPERLINK("http://service.sap.com/sap/support/notes/0001987986","0001987986")</f>
        <v>0001987986</v>
      </c>
      <c r="C386" t="s">
        <v>1076</v>
      </c>
      <c r="D386" t="s">
        <v>10</v>
      </c>
      <c r="E386" t="s">
        <v>602</v>
      </c>
      <c r="F386">
        <v>4</v>
      </c>
      <c r="G386" t="s">
        <v>1079</v>
      </c>
      <c r="H386" t="str">
        <f>HYPERLINK("http://service.sap.com/sap/support/notes/0002019979","0002019979")</f>
        <v>0002019979</v>
      </c>
      <c r="I386" t="s">
        <v>1080</v>
      </c>
      <c r="J386">
        <v>1</v>
      </c>
      <c r="K386" t="s">
        <v>13</v>
      </c>
    </row>
    <row r="387" spans="1:11" x14ac:dyDescent="0.25">
      <c r="A387" t="s">
        <v>1081</v>
      </c>
      <c r="B387" t="str">
        <f>HYPERLINK("http://service.sap.com/sap/support/notes/0001998558","0001998558")</f>
        <v>0001998558</v>
      </c>
      <c r="C387" t="s">
        <v>1082</v>
      </c>
      <c r="D387" t="s">
        <v>10</v>
      </c>
      <c r="E387" t="s">
        <v>602</v>
      </c>
      <c r="F387">
        <v>4</v>
      </c>
      <c r="G387" t="s">
        <v>1083</v>
      </c>
      <c r="H387" t="str">
        <f>HYPERLINK("http://service.sap.com/sap/support/notes/0002054820","0002054820")</f>
        <v>0002054820</v>
      </c>
      <c r="I387" t="s">
        <v>1084</v>
      </c>
      <c r="J387">
        <v>1</v>
      </c>
      <c r="K387" t="s">
        <v>13</v>
      </c>
    </row>
    <row r="388" spans="1:11" x14ac:dyDescent="0.25">
      <c r="A388" t="s">
        <v>1081</v>
      </c>
      <c r="B388" t="str">
        <f>HYPERLINK("http://service.sap.com/sap/support/notes/0001998558","0001998558")</f>
        <v>0001998558</v>
      </c>
      <c r="C388" t="s">
        <v>1082</v>
      </c>
      <c r="D388" t="s">
        <v>10</v>
      </c>
      <c r="E388" t="s">
        <v>602</v>
      </c>
      <c r="F388">
        <v>4</v>
      </c>
      <c r="G388" t="s">
        <v>1079</v>
      </c>
      <c r="H388" t="str">
        <f>HYPERLINK("http://service.sap.com/sap/support/notes/0002049431","0002049431")</f>
        <v>0002049431</v>
      </c>
      <c r="I388" t="s">
        <v>1085</v>
      </c>
      <c r="J388">
        <v>1</v>
      </c>
      <c r="K388" t="s">
        <v>13</v>
      </c>
    </row>
    <row r="389" spans="1:11" x14ac:dyDescent="0.25">
      <c r="A389" t="s">
        <v>1081</v>
      </c>
      <c r="B389" t="str">
        <f>HYPERLINK("http://service.sap.com/sap/support/notes/0001998558","0001998558")</f>
        <v>0001998558</v>
      </c>
      <c r="C389" t="s">
        <v>1082</v>
      </c>
      <c r="D389" t="s">
        <v>10</v>
      </c>
      <c r="E389" t="s">
        <v>602</v>
      </c>
      <c r="F389">
        <v>4</v>
      </c>
      <c r="G389" t="s">
        <v>1079</v>
      </c>
      <c r="H389" t="str">
        <f>HYPERLINK("http://service.sap.com/sap/support/notes/0002019979","0002019979")</f>
        <v>0002019979</v>
      </c>
      <c r="I389" t="s">
        <v>1080</v>
      </c>
      <c r="J389">
        <v>1</v>
      </c>
      <c r="K389" t="s">
        <v>13</v>
      </c>
    </row>
    <row r="390" spans="1:11" x14ac:dyDescent="0.25">
      <c r="A390" t="s">
        <v>1086</v>
      </c>
      <c r="B390" t="str">
        <f>HYPERLINK("http://service.sap.com/sap/support/notes/0002007611","0002007611")</f>
        <v>0002007611</v>
      </c>
      <c r="C390" t="s">
        <v>1087</v>
      </c>
      <c r="D390" t="s">
        <v>10</v>
      </c>
      <c r="E390" t="s">
        <v>602</v>
      </c>
      <c r="F390">
        <v>7</v>
      </c>
      <c r="G390" t="s">
        <v>1068</v>
      </c>
      <c r="H390" t="str">
        <f>HYPERLINK("http://service.sap.com/sap/support/notes/0002078079","0002078079")</f>
        <v>0002078079</v>
      </c>
      <c r="I390" t="s">
        <v>1088</v>
      </c>
      <c r="J390">
        <v>1</v>
      </c>
      <c r="K390" t="s">
        <v>13</v>
      </c>
    </row>
    <row r="391" spans="1:11" x14ac:dyDescent="0.25">
      <c r="A391" t="s">
        <v>1089</v>
      </c>
      <c r="B391" t="str">
        <f>HYPERLINK("http://service.sap.com/sap/support/notes/0001600243","0001600243")</f>
        <v>0001600243</v>
      </c>
      <c r="C391" t="s">
        <v>1090</v>
      </c>
      <c r="D391" t="s">
        <v>10</v>
      </c>
      <c r="E391" t="s">
        <v>233</v>
      </c>
      <c r="F391">
        <v>11</v>
      </c>
      <c r="G391" t="s">
        <v>1089</v>
      </c>
      <c r="H391" t="str">
        <f>HYPERLINK("http://service.sap.com/sap/support/notes/0001847010","0001847010")</f>
        <v>0001847010</v>
      </c>
      <c r="I391" t="s">
        <v>1091</v>
      </c>
      <c r="J391">
        <v>1</v>
      </c>
      <c r="K391" t="s">
        <v>13</v>
      </c>
    </row>
    <row r="392" spans="1:11" x14ac:dyDescent="0.25">
      <c r="A392" t="s">
        <v>1089</v>
      </c>
      <c r="B392" t="str">
        <f>HYPERLINK("http://service.sap.com/sap/support/notes/0001996811","0001996811")</f>
        <v>0001996811</v>
      </c>
      <c r="C392" t="s">
        <v>1092</v>
      </c>
      <c r="D392" t="s">
        <v>10</v>
      </c>
      <c r="E392" t="s">
        <v>602</v>
      </c>
      <c r="F392">
        <v>1</v>
      </c>
      <c r="G392" t="s">
        <v>1093</v>
      </c>
      <c r="H392" t="str">
        <f>HYPERLINK("http://service.sap.com/sap/support/notes/0002016910","0002016910")</f>
        <v>0002016910</v>
      </c>
      <c r="I392" t="s">
        <v>1094</v>
      </c>
      <c r="J392">
        <v>1</v>
      </c>
      <c r="K392" t="s">
        <v>13</v>
      </c>
    </row>
    <row r="393" spans="1:11" x14ac:dyDescent="0.25">
      <c r="A393" t="s">
        <v>1095</v>
      </c>
      <c r="B393" t="str">
        <f>HYPERLINK("http://service.sap.com/sap/support/notes/0001874041","0001874041")</f>
        <v>0001874041</v>
      </c>
      <c r="C393" t="s">
        <v>1096</v>
      </c>
      <c r="D393" t="s">
        <v>10</v>
      </c>
      <c r="E393" t="s">
        <v>493</v>
      </c>
      <c r="F393">
        <v>13</v>
      </c>
      <c r="G393" t="s">
        <v>1097</v>
      </c>
      <c r="H393" t="str">
        <f>HYPERLINK("http://service.sap.com/sap/support/notes/0002004495","0002004495")</f>
        <v>0002004495</v>
      </c>
      <c r="I393" t="s">
        <v>1098</v>
      </c>
      <c r="J393">
        <v>1</v>
      </c>
      <c r="K393" t="s">
        <v>13</v>
      </c>
    </row>
    <row r="394" spans="1:11" x14ac:dyDescent="0.25">
      <c r="A394" t="s">
        <v>1099</v>
      </c>
      <c r="B394" t="str">
        <f>HYPERLINK("http://service.sap.com/sap/support/notes/0001956456","0001956456")</f>
        <v>0001956456</v>
      </c>
      <c r="C394" t="s">
        <v>1100</v>
      </c>
      <c r="D394" t="s">
        <v>10</v>
      </c>
      <c r="E394" t="s">
        <v>602</v>
      </c>
      <c r="F394">
        <v>2</v>
      </c>
      <c r="G394" t="s">
        <v>1097</v>
      </c>
      <c r="H394" t="str">
        <f>HYPERLINK("http://service.sap.com/sap/support/notes/0002031017","0002031017")</f>
        <v>0002031017</v>
      </c>
      <c r="I394" t="s">
        <v>1101</v>
      </c>
      <c r="J394">
        <v>1</v>
      </c>
      <c r="K394" t="s">
        <v>13</v>
      </c>
    </row>
    <row r="395" spans="1:11" x14ac:dyDescent="0.25">
      <c r="A395" t="s">
        <v>1102</v>
      </c>
      <c r="B395" t="str">
        <f>HYPERLINK("http://service.sap.com/sap/support/notes/0002002974","0002002974")</f>
        <v>0002002974</v>
      </c>
      <c r="C395" t="s">
        <v>1103</v>
      </c>
      <c r="D395" t="s">
        <v>10</v>
      </c>
      <c r="E395" t="s">
        <v>602</v>
      </c>
      <c r="F395">
        <v>2</v>
      </c>
      <c r="G395" t="s">
        <v>1102</v>
      </c>
      <c r="H395" t="str">
        <f>HYPERLINK("http://service.sap.com/sap/support/notes/0002020259","0002020259")</f>
        <v>0002020259</v>
      </c>
      <c r="I395" t="s">
        <v>1104</v>
      </c>
      <c r="J395">
        <v>3</v>
      </c>
      <c r="K395" t="s">
        <v>13</v>
      </c>
    </row>
    <row r="396" spans="1:11" x14ac:dyDescent="0.25">
      <c r="A396" t="s">
        <v>1105</v>
      </c>
      <c r="B396" t="str">
        <f>HYPERLINK("http://service.sap.com/sap/support/notes/0001719620","0001719620")</f>
        <v>0001719620</v>
      </c>
      <c r="C396" t="s">
        <v>1106</v>
      </c>
      <c r="D396" t="s">
        <v>10</v>
      </c>
      <c r="E396" t="s">
        <v>602</v>
      </c>
      <c r="F396">
        <v>16</v>
      </c>
      <c r="G396" t="s">
        <v>1107</v>
      </c>
      <c r="H396" t="str">
        <f>HYPERLINK("http://service.sap.com/sap/support/notes/0002044308","0002044308")</f>
        <v>0002044308</v>
      </c>
      <c r="I396" t="s">
        <v>1108</v>
      </c>
      <c r="J396">
        <v>1</v>
      </c>
      <c r="K396" t="s">
        <v>13</v>
      </c>
    </row>
    <row r="397" spans="1:11" x14ac:dyDescent="0.25">
      <c r="A397" t="s">
        <v>1109</v>
      </c>
      <c r="B397" t="str">
        <f>HYPERLINK("http://service.sap.com/sap/support/notes/0002029594","0002029594")</f>
        <v>0002029594</v>
      </c>
      <c r="C397" t="s">
        <v>1110</v>
      </c>
      <c r="D397" t="s">
        <v>10</v>
      </c>
      <c r="E397" t="s">
        <v>716</v>
      </c>
      <c r="F397">
        <v>2</v>
      </c>
      <c r="G397" t="s">
        <v>1109</v>
      </c>
      <c r="H397" t="str">
        <f>HYPERLINK("http://service.sap.com/sap/support/notes/0002081604","0002081604")</f>
        <v>0002081604</v>
      </c>
      <c r="I397" t="s">
        <v>1111</v>
      </c>
      <c r="J397">
        <v>1</v>
      </c>
      <c r="K397" t="s">
        <v>13</v>
      </c>
    </row>
    <row r="398" spans="1:11" x14ac:dyDescent="0.25">
      <c r="A398" t="s">
        <v>1112</v>
      </c>
      <c r="B398" t="str">
        <f>HYPERLINK("http://service.sap.com/sap/support/notes/0001936091","0001936091")</f>
        <v>0001936091</v>
      </c>
      <c r="C398" t="s">
        <v>1113</v>
      </c>
      <c r="D398" t="s">
        <v>1114</v>
      </c>
      <c r="E398" t="s">
        <v>1115</v>
      </c>
      <c r="F398">
        <v>4</v>
      </c>
      <c r="G398" t="s">
        <v>1112</v>
      </c>
      <c r="H398" t="str">
        <f>HYPERLINK("http://service.sap.com/sap/support/notes/0002031955","0002031955")</f>
        <v>0002031955</v>
      </c>
      <c r="I398" t="s">
        <v>1116</v>
      </c>
      <c r="J398">
        <v>2</v>
      </c>
      <c r="K398" t="s">
        <v>13</v>
      </c>
    </row>
    <row r="399" spans="1:11" x14ac:dyDescent="0.25">
      <c r="A399" t="s">
        <v>1112</v>
      </c>
      <c r="B399" t="str">
        <f>HYPERLINK("http://service.sap.com/sap/support/notes/0001936091","0001936091")</f>
        <v>0001936091</v>
      </c>
      <c r="C399" t="s">
        <v>1113</v>
      </c>
      <c r="D399" t="s">
        <v>1117</v>
      </c>
      <c r="E399" t="s">
        <v>1115</v>
      </c>
      <c r="F399">
        <v>4</v>
      </c>
      <c r="G399" t="s">
        <v>1112</v>
      </c>
      <c r="H399" t="str">
        <f>HYPERLINK("http://service.sap.com/sap/support/notes/0002081691","0002081691")</f>
        <v>0002081691</v>
      </c>
      <c r="I399" t="s">
        <v>1118</v>
      </c>
      <c r="J399">
        <v>1</v>
      </c>
      <c r="K399" t="s">
        <v>13</v>
      </c>
    </row>
    <row r="400" spans="1:11" x14ac:dyDescent="0.25">
      <c r="A400" t="s">
        <v>1119</v>
      </c>
      <c r="B400" t="str">
        <f>HYPERLINK("http://service.sap.com/sap/support/notes/0001993042","0001993042")</f>
        <v>0001993042</v>
      </c>
      <c r="C400" t="s">
        <v>1120</v>
      </c>
      <c r="D400" t="s">
        <v>10</v>
      </c>
      <c r="E400" t="s">
        <v>1115</v>
      </c>
      <c r="F400">
        <v>2</v>
      </c>
      <c r="G400" t="s">
        <v>1119</v>
      </c>
      <c r="H400" t="str">
        <f>HYPERLINK("http://service.sap.com/sap/support/notes/0002013307","0002013307")</f>
        <v>0002013307</v>
      </c>
      <c r="I400" t="s">
        <v>1121</v>
      </c>
      <c r="J400">
        <v>1</v>
      </c>
      <c r="K400" t="s">
        <v>13</v>
      </c>
    </row>
    <row r="401" spans="1:11" x14ac:dyDescent="0.25">
      <c r="A401" t="s">
        <v>1122</v>
      </c>
      <c r="B401" t="str">
        <f>HYPERLINK("http://service.sap.com/sap/support/notes/0001929058","0001929058")</f>
        <v>0001929058</v>
      </c>
      <c r="C401" t="s">
        <v>1123</v>
      </c>
      <c r="D401" t="s">
        <v>10</v>
      </c>
      <c r="E401" t="s">
        <v>1124</v>
      </c>
      <c r="F401">
        <v>2</v>
      </c>
      <c r="G401" t="s">
        <v>1122</v>
      </c>
      <c r="H401" t="str">
        <f>HYPERLINK("http://service.sap.com/sap/support/notes/0002075046","0002075046")</f>
        <v>0002075046</v>
      </c>
      <c r="I401" t="s">
        <v>1125</v>
      </c>
      <c r="J401">
        <v>1</v>
      </c>
      <c r="K401" t="s">
        <v>13</v>
      </c>
    </row>
    <row r="402" spans="1:11" x14ac:dyDescent="0.25">
      <c r="A402" t="s">
        <v>1122</v>
      </c>
      <c r="B402" t="str">
        <f>HYPERLINK("http://service.sap.com/sap/support/notes/0001989001","0001989001")</f>
        <v>0001989001</v>
      </c>
      <c r="C402" t="s">
        <v>1126</v>
      </c>
      <c r="D402" t="s">
        <v>209</v>
      </c>
      <c r="E402" t="s">
        <v>1124</v>
      </c>
      <c r="F402">
        <v>2</v>
      </c>
      <c r="G402" t="s">
        <v>1122</v>
      </c>
      <c r="H402" t="str">
        <f>HYPERLINK("http://service.sap.com/sap/support/notes/0002069043","0002069043")</f>
        <v>0002069043</v>
      </c>
      <c r="I402" t="s">
        <v>1127</v>
      </c>
      <c r="J402">
        <v>1</v>
      </c>
      <c r="K402" t="s">
        <v>13</v>
      </c>
    </row>
    <row r="403" spans="1:11" x14ac:dyDescent="0.25">
      <c r="A403" t="s">
        <v>1122</v>
      </c>
      <c r="B403" t="str">
        <f>HYPERLINK("http://service.sap.com/sap/support/notes/0001989001","0001989001")</f>
        <v>0001989001</v>
      </c>
      <c r="C403" t="s">
        <v>1126</v>
      </c>
      <c r="D403" t="s">
        <v>10</v>
      </c>
      <c r="E403" t="s">
        <v>1124</v>
      </c>
      <c r="F403">
        <v>2</v>
      </c>
      <c r="G403" t="s">
        <v>1122</v>
      </c>
      <c r="H403" t="str">
        <f>HYPERLINK("http://service.sap.com/sap/support/notes/0002077096","0002077096")</f>
        <v>0002077096</v>
      </c>
      <c r="I403" t="s">
        <v>1128</v>
      </c>
      <c r="J403">
        <v>1</v>
      </c>
      <c r="K403" t="s">
        <v>13</v>
      </c>
    </row>
    <row r="404" spans="1:11" x14ac:dyDescent="0.25">
      <c r="A404" t="s">
        <v>1129</v>
      </c>
      <c r="B404" t="str">
        <f>HYPERLINK("http://service.sap.com/sap/support/notes/0001969388","0001969388")</f>
        <v>0001969388</v>
      </c>
      <c r="C404" t="s">
        <v>1130</v>
      </c>
      <c r="D404" t="s">
        <v>10</v>
      </c>
      <c r="E404" t="s">
        <v>1131</v>
      </c>
      <c r="F404">
        <v>1</v>
      </c>
      <c r="G404" t="s">
        <v>1129</v>
      </c>
      <c r="H404" t="str">
        <f>HYPERLINK("http://service.sap.com/sap/support/notes/0002049428","0002049428")</f>
        <v>0002049428</v>
      </c>
      <c r="I404" t="s">
        <v>1132</v>
      </c>
      <c r="J404">
        <v>1</v>
      </c>
      <c r="K404" t="s">
        <v>13</v>
      </c>
    </row>
    <row r="405" spans="1:11" x14ac:dyDescent="0.25">
      <c r="A405" t="s">
        <v>1133</v>
      </c>
      <c r="B405" t="str">
        <f>HYPERLINK("http://service.sap.com/sap/support/notes/0001937837","0001937837")</f>
        <v>0001937837</v>
      </c>
      <c r="C405" t="s">
        <v>1134</v>
      </c>
      <c r="D405" t="s">
        <v>10</v>
      </c>
      <c r="E405" t="s">
        <v>1115</v>
      </c>
      <c r="F405">
        <v>1</v>
      </c>
      <c r="G405" t="s">
        <v>1133</v>
      </c>
      <c r="H405" t="str">
        <f>HYPERLINK("http://service.sap.com/sap/support/notes/0002030347","0002030347")</f>
        <v>0002030347</v>
      </c>
      <c r="I405" t="s">
        <v>1135</v>
      </c>
      <c r="J405">
        <v>1</v>
      </c>
      <c r="K405" t="s">
        <v>13</v>
      </c>
    </row>
    <row r="406" spans="1:11" x14ac:dyDescent="0.25">
      <c r="A406" t="s">
        <v>1136</v>
      </c>
      <c r="B406" t="str">
        <f>HYPERLINK("http://service.sap.com/sap/support/notes/0002003829","0002003829")</f>
        <v>0002003829</v>
      </c>
      <c r="C406" t="s">
        <v>1137</v>
      </c>
      <c r="D406" t="s">
        <v>10</v>
      </c>
      <c r="E406" t="s">
        <v>1115</v>
      </c>
      <c r="F406">
        <v>1</v>
      </c>
      <c r="G406" t="s">
        <v>1136</v>
      </c>
      <c r="H406" t="str">
        <f>HYPERLINK("http://service.sap.com/sap/support/notes/0002018879","0002018879")</f>
        <v>0002018879</v>
      </c>
      <c r="I406" t="s">
        <v>1138</v>
      </c>
      <c r="J406">
        <v>1</v>
      </c>
      <c r="K406" t="s">
        <v>13</v>
      </c>
    </row>
    <row r="407" spans="1:11" x14ac:dyDescent="0.25">
      <c r="A407" t="s">
        <v>1139</v>
      </c>
      <c r="B407" t="str">
        <f>HYPERLINK("http://service.sap.com/sap/support/notes/0001971056","0001971056")</f>
        <v>0001971056</v>
      </c>
      <c r="C407" t="s">
        <v>1140</v>
      </c>
      <c r="D407" t="s">
        <v>10</v>
      </c>
      <c r="E407" t="s">
        <v>1115</v>
      </c>
      <c r="F407">
        <v>3</v>
      </c>
      <c r="G407" t="s">
        <v>1139</v>
      </c>
      <c r="H407" t="str">
        <f>HYPERLINK("http://service.sap.com/sap/support/notes/0002062661","0002062661")</f>
        <v>0002062661</v>
      </c>
      <c r="I407" t="s">
        <v>1141</v>
      </c>
      <c r="J407">
        <v>1</v>
      </c>
      <c r="K407" t="s">
        <v>13</v>
      </c>
    </row>
    <row r="408" spans="1:11" x14ac:dyDescent="0.25">
      <c r="A408" t="s">
        <v>1142</v>
      </c>
      <c r="B408" t="str">
        <f>HYPERLINK("http://service.sap.com/sap/support/notes/0001951591","0001951591")</f>
        <v>0001951591</v>
      </c>
      <c r="C408" t="s">
        <v>1143</v>
      </c>
      <c r="D408" t="s">
        <v>10</v>
      </c>
      <c r="E408" t="s">
        <v>1115</v>
      </c>
      <c r="F408">
        <v>6</v>
      </c>
      <c r="G408" t="s">
        <v>1144</v>
      </c>
      <c r="H408" t="str">
        <f>HYPERLINK("http://service.sap.com/sap/support/notes/0002068670","0002068670")</f>
        <v>0002068670</v>
      </c>
      <c r="I408" t="s">
        <v>1143</v>
      </c>
      <c r="J408">
        <v>1</v>
      </c>
      <c r="K408" t="s">
        <v>13</v>
      </c>
    </row>
    <row r="409" spans="1:11" x14ac:dyDescent="0.25">
      <c r="A409" t="s">
        <v>1145</v>
      </c>
      <c r="B409" t="str">
        <f>HYPERLINK("http://service.sap.com/sap/support/notes/0002031371","0002031371")</f>
        <v>0002031371</v>
      </c>
      <c r="C409" t="s">
        <v>1146</v>
      </c>
      <c r="D409" t="s">
        <v>10</v>
      </c>
      <c r="E409" t="s">
        <v>1147</v>
      </c>
      <c r="F409">
        <v>1</v>
      </c>
      <c r="G409" t="s">
        <v>1145</v>
      </c>
      <c r="H409" t="str">
        <f>HYPERLINK("http://service.sap.com/sap/support/notes/0002056405","0002056405")</f>
        <v>0002056405</v>
      </c>
      <c r="I409" t="s">
        <v>1148</v>
      </c>
      <c r="J409">
        <v>1</v>
      </c>
      <c r="K409" t="s">
        <v>13</v>
      </c>
    </row>
    <row r="410" spans="1:11" x14ac:dyDescent="0.25">
      <c r="A410" t="s">
        <v>1149</v>
      </c>
      <c r="B410" t="str">
        <f>HYPERLINK("http://service.sap.com/sap/support/notes/0001998875","0001998875")</f>
        <v>0001998875</v>
      </c>
      <c r="C410" t="s">
        <v>1150</v>
      </c>
      <c r="D410" t="s">
        <v>10</v>
      </c>
      <c r="E410" t="s">
        <v>1115</v>
      </c>
      <c r="F410">
        <v>6</v>
      </c>
      <c r="G410" t="s">
        <v>1149</v>
      </c>
      <c r="H410" t="str">
        <f>HYPERLINK("http://service.sap.com/sap/support/notes/0002022456","0002022456")</f>
        <v>0002022456</v>
      </c>
      <c r="I410" t="s">
        <v>1151</v>
      </c>
      <c r="J410">
        <v>1</v>
      </c>
      <c r="K410" t="s">
        <v>13</v>
      </c>
    </row>
    <row r="411" spans="1:11" x14ac:dyDescent="0.25">
      <c r="A411" t="s">
        <v>1149</v>
      </c>
      <c r="B411" t="str">
        <f>HYPERLINK("http://service.sap.com/sap/support/notes/0002023301","0002023301")</f>
        <v>0002023301</v>
      </c>
      <c r="C411" t="s">
        <v>1152</v>
      </c>
      <c r="D411" t="s">
        <v>10</v>
      </c>
      <c r="E411" t="s">
        <v>1124</v>
      </c>
      <c r="F411">
        <v>3</v>
      </c>
      <c r="G411" t="s">
        <v>1149</v>
      </c>
      <c r="H411" t="str">
        <f>HYPERLINK("http://service.sap.com/sap/support/notes/0002074604","0002074604")</f>
        <v>0002074604</v>
      </c>
      <c r="I411" t="s">
        <v>1153</v>
      </c>
      <c r="J411">
        <v>1</v>
      </c>
      <c r="K411" t="s">
        <v>13</v>
      </c>
    </row>
    <row r="412" spans="1:11" x14ac:dyDescent="0.25">
      <c r="A412" t="s">
        <v>1154</v>
      </c>
      <c r="B412" t="str">
        <f>HYPERLINK("http://service.sap.com/sap/support/notes/0001931363","0001931363")</f>
        <v>0001931363</v>
      </c>
      <c r="C412" t="s">
        <v>1155</v>
      </c>
      <c r="D412" t="s">
        <v>553</v>
      </c>
      <c r="E412" t="s">
        <v>727</v>
      </c>
      <c r="F412">
        <v>5</v>
      </c>
      <c r="G412" t="s">
        <v>1154</v>
      </c>
      <c r="H412" t="str">
        <f>HYPERLINK("http://service.sap.com/sap/support/notes/0002078948","0002078948")</f>
        <v>0002078948</v>
      </c>
      <c r="I412" t="s">
        <v>1156</v>
      </c>
      <c r="J412">
        <v>1</v>
      </c>
      <c r="K412" t="s">
        <v>13</v>
      </c>
    </row>
    <row r="413" spans="1:11" x14ac:dyDescent="0.25">
      <c r="A413" t="s">
        <v>1154</v>
      </c>
      <c r="B413" t="str">
        <f>HYPERLINK("http://service.sap.com/sap/support/notes/0002006265","0002006265")</f>
        <v>0002006265</v>
      </c>
      <c r="C413" t="s">
        <v>1157</v>
      </c>
      <c r="D413" t="s">
        <v>10</v>
      </c>
      <c r="E413" t="s">
        <v>1124</v>
      </c>
      <c r="F413">
        <v>1</v>
      </c>
      <c r="G413" t="s">
        <v>1158</v>
      </c>
      <c r="H413" t="str">
        <f>HYPERLINK("http://service.sap.com/sap/support/notes/0002053198","0002053198")</f>
        <v>0002053198</v>
      </c>
      <c r="I413" t="s">
        <v>1159</v>
      </c>
      <c r="J413">
        <v>1</v>
      </c>
      <c r="K413" t="s">
        <v>13</v>
      </c>
    </row>
    <row r="414" spans="1:11" x14ac:dyDescent="0.25">
      <c r="A414" t="s">
        <v>1160</v>
      </c>
      <c r="B414" t="str">
        <f>HYPERLINK("http://service.sap.com/sap/support/notes/0001976932","0001976932")</f>
        <v>0001976932</v>
      </c>
      <c r="C414" t="s">
        <v>1161</v>
      </c>
      <c r="D414" t="s">
        <v>1117</v>
      </c>
      <c r="E414" t="s">
        <v>739</v>
      </c>
      <c r="F414">
        <v>4</v>
      </c>
      <c r="G414" t="s">
        <v>1160</v>
      </c>
      <c r="H414" t="str">
        <f>HYPERLINK("http://service.sap.com/sap/support/notes/0002051850","0002051850")</f>
        <v>0002051850</v>
      </c>
      <c r="I414" t="s">
        <v>1162</v>
      </c>
      <c r="J414">
        <v>1</v>
      </c>
      <c r="K414" t="s">
        <v>13</v>
      </c>
    </row>
    <row r="415" spans="1:11" x14ac:dyDescent="0.25">
      <c r="A415" t="s">
        <v>1160</v>
      </c>
      <c r="B415" t="str">
        <f>HYPERLINK("http://service.sap.com/sap/support/notes/0001996041","0001996041")</f>
        <v>0001996041</v>
      </c>
      <c r="C415" t="s">
        <v>1163</v>
      </c>
      <c r="D415" t="s">
        <v>1164</v>
      </c>
      <c r="E415" t="s">
        <v>1115</v>
      </c>
      <c r="F415">
        <v>1</v>
      </c>
      <c r="G415" t="s">
        <v>1160</v>
      </c>
      <c r="H415" t="str">
        <f>HYPERLINK("http://service.sap.com/sap/support/notes/0002070861","0002070861")</f>
        <v>0002070861</v>
      </c>
      <c r="I415" t="s">
        <v>1165</v>
      </c>
      <c r="J415">
        <v>1</v>
      </c>
      <c r="K415" t="s">
        <v>13</v>
      </c>
    </row>
    <row r="416" spans="1:11" x14ac:dyDescent="0.25">
      <c r="A416" t="s">
        <v>1166</v>
      </c>
      <c r="B416" t="str">
        <f>HYPERLINK("http://service.sap.com/sap/support/notes/0001947089","0001947089")</f>
        <v>0001947089</v>
      </c>
      <c r="C416" t="s">
        <v>1167</v>
      </c>
      <c r="D416" t="s">
        <v>10</v>
      </c>
      <c r="E416" t="s">
        <v>1115</v>
      </c>
      <c r="F416">
        <v>4</v>
      </c>
      <c r="G416" t="s">
        <v>1166</v>
      </c>
      <c r="H416" t="str">
        <f>HYPERLINK("http://service.sap.com/sap/support/notes/0002063327","0002063327")</f>
        <v>0002063327</v>
      </c>
      <c r="I416" t="s">
        <v>1168</v>
      </c>
      <c r="J416">
        <v>1</v>
      </c>
      <c r="K416" t="s">
        <v>13</v>
      </c>
    </row>
    <row r="417" spans="1:11" x14ac:dyDescent="0.25">
      <c r="A417" t="s">
        <v>1166</v>
      </c>
      <c r="B417" t="str">
        <f>HYPERLINK("http://service.sap.com/sap/support/notes/0001949191","0001949191")</f>
        <v>0001949191</v>
      </c>
      <c r="C417" t="s">
        <v>1169</v>
      </c>
      <c r="D417" t="s">
        <v>10</v>
      </c>
      <c r="E417" t="s">
        <v>1115</v>
      </c>
      <c r="F417">
        <v>3</v>
      </c>
      <c r="G417" t="s">
        <v>1170</v>
      </c>
      <c r="H417" t="str">
        <f>HYPERLINK("http://service.sap.com/sap/support/notes/0001962203","0001962203")</f>
        <v>0001962203</v>
      </c>
      <c r="I417" t="s">
        <v>1171</v>
      </c>
      <c r="J417">
        <v>1</v>
      </c>
      <c r="K417" t="s">
        <v>13</v>
      </c>
    </row>
    <row r="418" spans="1:11" x14ac:dyDescent="0.25">
      <c r="A418" t="s">
        <v>1166</v>
      </c>
      <c r="B418" t="str">
        <f>HYPERLINK("http://service.sap.com/sap/support/notes/0001969726","0001969726")</f>
        <v>0001969726</v>
      </c>
      <c r="C418" t="s">
        <v>1172</v>
      </c>
      <c r="D418" t="s">
        <v>10</v>
      </c>
      <c r="E418" t="s">
        <v>1115</v>
      </c>
      <c r="F418">
        <v>2</v>
      </c>
      <c r="G418" t="s">
        <v>1166</v>
      </c>
      <c r="H418" t="str">
        <f>HYPERLINK("http://service.sap.com/sap/support/notes/0002033053","0002033053")</f>
        <v>0002033053</v>
      </c>
      <c r="I418" t="s">
        <v>1173</v>
      </c>
      <c r="J418">
        <v>1</v>
      </c>
      <c r="K418" t="s">
        <v>13</v>
      </c>
    </row>
    <row r="419" spans="1:11" x14ac:dyDescent="0.25">
      <c r="A419" t="s">
        <v>1166</v>
      </c>
      <c r="B419" t="str">
        <f>HYPERLINK("http://service.sap.com/sap/support/notes/0001995354","0001995354")</f>
        <v>0001995354</v>
      </c>
      <c r="C419" t="s">
        <v>1174</v>
      </c>
      <c r="D419" t="s">
        <v>10</v>
      </c>
      <c r="E419" t="s">
        <v>1115</v>
      </c>
      <c r="F419">
        <v>1</v>
      </c>
      <c r="G419" t="s">
        <v>1166</v>
      </c>
      <c r="H419" t="str">
        <f>HYPERLINK("http://service.sap.com/sap/support/notes/0002058445","0002058445")</f>
        <v>0002058445</v>
      </c>
      <c r="I419" t="s">
        <v>1175</v>
      </c>
      <c r="J419">
        <v>1</v>
      </c>
      <c r="K419" t="s">
        <v>13</v>
      </c>
    </row>
    <row r="420" spans="1:11" x14ac:dyDescent="0.25">
      <c r="A420" t="s">
        <v>1166</v>
      </c>
      <c r="B420" t="str">
        <f>HYPERLINK("http://service.sap.com/sap/support/notes/0001999751","0001999751")</f>
        <v>0001999751</v>
      </c>
      <c r="C420" t="s">
        <v>1176</v>
      </c>
      <c r="D420" t="s">
        <v>10</v>
      </c>
      <c r="E420" t="s">
        <v>547</v>
      </c>
      <c r="F420">
        <v>2</v>
      </c>
      <c r="G420" t="s">
        <v>1166</v>
      </c>
      <c r="H420" t="str">
        <f>HYPERLINK("http://service.sap.com/sap/support/notes/0002026063","0002026063")</f>
        <v>0002026063</v>
      </c>
      <c r="I420" t="s">
        <v>1177</v>
      </c>
      <c r="J420">
        <v>1</v>
      </c>
      <c r="K420" t="s">
        <v>13</v>
      </c>
    </row>
    <row r="421" spans="1:11" x14ac:dyDescent="0.25">
      <c r="A421" t="s">
        <v>1166</v>
      </c>
      <c r="B421" t="str">
        <f>HYPERLINK("http://service.sap.com/sap/support/notes/0002001716","0002001716")</f>
        <v>0002001716</v>
      </c>
      <c r="C421" t="s">
        <v>1178</v>
      </c>
      <c r="D421" t="s">
        <v>10</v>
      </c>
      <c r="E421" t="s">
        <v>1115</v>
      </c>
      <c r="F421">
        <v>1</v>
      </c>
      <c r="G421" t="s">
        <v>1166</v>
      </c>
      <c r="H421" t="str">
        <f>HYPERLINK("http://service.sap.com/sap/support/notes/0002044730","0002044730")</f>
        <v>0002044730</v>
      </c>
      <c r="I421" t="s">
        <v>1179</v>
      </c>
      <c r="J421">
        <v>1</v>
      </c>
      <c r="K421" t="s">
        <v>13</v>
      </c>
    </row>
    <row r="422" spans="1:11" x14ac:dyDescent="0.25">
      <c r="A422" t="s">
        <v>1166</v>
      </c>
      <c r="B422" t="str">
        <f>HYPERLINK("http://service.sap.com/sap/support/notes/0002004512","0002004512")</f>
        <v>0002004512</v>
      </c>
      <c r="C422" t="s">
        <v>1180</v>
      </c>
      <c r="D422" t="s">
        <v>10</v>
      </c>
      <c r="E422" t="s">
        <v>1115</v>
      </c>
      <c r="F422">
        <v>1</v>
      </c>
      <c r="G422" t="s">
        <v>1166</v>
      </c>
      <c r="H422" t="str">
        <f>HYPERLINK("http://service.sap.com/sap/support/notes/0002079180","0002079180")</f>
        <v>0002079180</v>
      </c>
      <c r="I422" t="s">
        <v>1181</v>
      </c>
      <c r="J422">
        <v>1</v>
      </c>
      <c r="K422" t="s">
        <v>13</v>
      </c>
    </row>
    <row r="423" spans="1:11" x14ac:dyDescent="0.25">
      <c r="A423" t="s">
        <v>1166</v>
      </c>
      <c r="B423" t="str">
        <f>HYPERLINK("http://service.sap.com/sap/support/notes/0002009723","0002009723")</f>
        <v>0002009723</v>
      </c>
      <c r="C423" t="s">
        <v>1182</v>
      </c>
      <c r="D423" t="s">
        <v>10</v>
      </c>
      <c r="E423" t="s">
        <v>1115</v>
      </c>
      <c r="F423">
        <v>1</v>
      </c>
      <c r="G423" t="s">
        <v>1166</v>
      </c>
      <c r="H423" t="str">
        <f>HYPERLINK("http://service.sap.com/sap/support/notes/0002031908","0002031908")</f>
        <v>0002031908</v>
      </c>
      <c r="I423" t="s">
        <v>1183</v>
      </c>
      <c r="J423">
        <v>1</v>
      </c>
      <c r="K423" t="s">
        <v>13</v>
      </c>
    </row>
    <row r="424" spans="1:11" x14ac:dyDescent="0.25">
      <c r="A424" t="s">
        <v>185</v>
      </c>
      <c r="B424" t="str">
        <f>HYPERLINK("http://service.sap.com/sap/support/notes/0001875456","0001875456")</f>
        <v>0001875456</v>
      </c>
      <c r="C424" t="s">
        <v>1184</v>
      </c>
      <c r="D424" t="s">
        <v>10</v>
      </c>
      <c r="E424" t="s">
        <v>336</v>
      </c>
      <c r="F424">
        <v>3</v>
      </c>
      <c r="G424" t="s">
        <v>185</v>
      </c>
      <c r="H424" t="str">
        <f>HYPERLINK("http://service.sap.com/sap/support/notes/0002019788","0002019788")</f>
        <v>0002019788</v>
      </c>
      <c r="I424" t="s">
        <v>1185</v>
      </c>
      <c r="J424">
        <v>1</v>
      </c>
      <c r="K424" t="s">
        <v>13</v>
      </c>
    </row>
    <row r="425" spans="1:11" x14ac:dyDescent="0.25">
      <c r="A425" t="s">
        <v>185</v>
      </c>
      <c r="B425" t="str">
        <f>HYPERLINK("http://service.sap.com/sap/support/notes/0001895287","0001895287")</f>
        <v>0001895287</v>
      </c>
      <c r="C425" t="s">
        <v>1186</v>
      </c>
      <c r="D425" t="s">
        <v>10</v>
      </c>
      <c r="E425" t="s">
        <v>336</v>
      </c>
      <c r="F425">
        <v>4</v>
      </c>
      <c r="G425" t="s">
        <v>185</v>
      </c>
      <c r="H425" t="str">
        <f>HYPERLINK("http://service.sap.com/sap/support/notes/0002033269","0002033269")</f>
        <v>0002033269</v>
      </c>
      <c r="I425" t="s">
        <v>1187</v>
      </c>
      <c r="J425">
        <v>1</v>
      </c>
      <c r="K425" t="s">
        <v>13</v>
      </c>
    </row>
    <row r="426" spans="1:11" x14ac:dyDescent="0.25">
      <c r="A426" t="s">
        <v>185</v>
      </c>
      <c r="B426" t="str">
        <f>HYPERLINK("http://service.sap.com/sap/support/notes/0001945506","0001945506")</f>
        <v>0001945506</v>
      </c>
      <c r="C426" t="s">
        <v>1188</v>
      </c>
      <c r="D426" t="s">
        <v>10</v>
      </c>
      <c r="E426" t="s">
        <v>333</v>
      </c>
      <c r="F426">
        <v>1</v>
      </c>
      <c r="G426" t="s">
        <v>185</v>
      </c>
      <c r="H426" t="str">
        <f>HYPERLINK("http://service.sap.com/sap/support/notes/0002038335","0002038335")</f>
        <v>0002038335</v>
      </c>
      <c r="I426" t="s">
        <v>1189</v>
      </c>
      <c r="J426">
        <v>1</v>
      </c>
      <c r="K426" t="s">
        <v>13</v>
      </c>
    </row>
    <row r="427" spans="1:11" x14ac:dyDescent="0.25">
      <c r="A427" t="s">
        <v>185</v>
      </c>
      <c r="B427" t="str">
        <f>HYPERLINK("http://service.sap.com/sap/support/notes/0002022199","0002022199")</f>
        <v>0002022199</v>
      </c>
      <c r="C427" t="s">
        <v>1190</v>
      </c>
      <c r="D427" t="s">
        <v>10</v>
      </c>
      <c r="E427" t="s">
        <v>11</v>
      </c>
      <c r="F427">
        <v>5</v>
      </c>
      <c r="G427" t="s">
        <v>185</v>
      </c>
      <c r="H427" t="str">
        <f>HYPERLINK("http://service.sap.com/sap/support/notes/0002067978","0002067978")</f>
        <v>0002067978</v>
      </c>
      <c r="I427" t="s">
        <v>1191</v>
      </c>
      <c r="J427">
        <v>1</v>
      </c>
      <c r="K427" t="s">
        <v>13</v>
      </c>
    </row>
    <row r="428" spans="1:11" x14ac:dyDescent="0.25">
      <c r="A428" t="s">
        <v>1192</v>
      </c>
      <c r="B428" t="str">
        <f>HYPERLINK("http://service.sap.com/sap/support/notes/0001641711","0001641711")</f>
        <v>0001641711</v>
      </c>
      <c r="C428" t="s">
        <v>1193</v>
      </c>
      <c r="D428" t="s">
        <v>10</v>
      </c>
      <c r="E428" t="s">
        <v>1124</v>
      </c>
      <c r="F428">
        <v>4</v>
      </c>
      <c r="G428" t="s">
        <v>1192</v>
      </c>
      <c r="H428" t="str">
        <f>HYPERLINK("http://service.sap.com/sap/support/notes/0001727428","0001727428")</f>
        <v>0001727428</v>
      </c>
      <c r="I428" t="s">
        <v>1194</v>
      </c>
      <c r="J428">
        <v>1</v>
      </c>
      <c r="K428" t="s">
        <v>47</v>
      </c>
    </row>
    <row r="429" spans="1:11" x14ac:dyDescent="0.25">
      <c r="A429" t="s">
        <v>1192</v>
      </c>
      <c r="B429" t="str">
        <f>HYPERLINK("http://service.sap.com/sap/support/notes/0001641711","0001641711")</f>
        <v>0001641711</v>
      </c>
      <c r="C429" t="s">
        <v>1193</v>
      </c>
      <c r="D429" t="s">
        <v>10</v>
      </c>
      <c r="E429" t="s">
        <v>1124</v>
      </c>
      <c r="F429">
        <v>4</v>
      </c>
      <c r="G429" t="s">
        <v>1192</v>
      </c>
      <c r="H429" t="str">
        <f>HYPERLINK("http://service.sap.com/sap/support/notes/0001701026","0001701026")</f>
        <v>0001701026</v>
      </c>
      <c r="I429" t="s">
        <v>1195</v>
      </c>
      <c r="J429">
        <v>1</v>
      </c>
      <c r="K429" t="s">
        <v>13</v>
      </c>
    </row>
    <row r="430" spans="1:11" x14ac:dyDescent="0.25">
      <c r="A430" t="s">
        <v>1192</v>
      </c>
      <c r="B430" t="str">
        <f>HYPERLINK("http://service.sap.com/sap/support/notes/0001641711","0001641711")</f>
        <v>0001641711</v>
      </c>
      <c r="C430" t="s">
        <v>1193</v>
      </c>
      <c r="D430" t="s">
        <v>10</v>
      </c>
      <c r="E430" t="s">
        <v>1124</v>
      </c>
      <c r="F430">
        <v>4</v>
      </c>
      <c r="G430" t="s">
        <v>1192</v>
      </c>
      <c r="H430" t="str">
        <f>HYPERLINK("http://service.sap.com/sap/support/notes/0001805941","0001805941")</f>
        <v>0001805941</v>
      </c>
      <c r="I430" t="s">
        <v>1196</v>
      </c>
      <c r="J430">
        <v>1</v>
      </c>
      <c r="K430" t="s">
        <v>35</v>
      </c>
    </row>
    <row r="431" spans="1:11" x14ac:dyDescent="0.25">
      <c r="A431" t="s">
        <v>1192</v>
      </c>
      <c r="B431" t="str">
        <f>HYPERLINK("http://service.sap.com/sap/support/notes/0002021181","0002021181")</f>
        <v>0002021181</v>
      </c>
      <c r="C431" t="s">
        <v>1197</v>
      </c>
      <c r="D431" t="s">
        <v>10</v>
      </c>
      <c r="E431" t="s">
        <v>720</v>
      </c>
      <c r="F431">
        <v>3</v>
      </c>
      <c r="G431" t="s">
        <v>1192</v>
      </c>
      <c r="H431" t="str">
        <f>HYPERLINK("http://service.sap.com/sap/support/notes/0002078061","0002078061")</f>
        <v>0002078061</v>
      </c>
      <c r="I431" t="s">
        <v>1198</v>
      </c>
      <c r="J431">
        <v>1</v>
      </c>
      <c r="K431" t="s">
        <v>47</v>
      </c>
    </row>
    <row r="432" spans="1:11" x14ac:dyDescent="0.25">
      <c r="A432" t="s">
        <v>1199</v>
      </c>
      <c r="B432" t="str">
        <f>HYPERLINK("http://service.sap.com/sap/support/notes/0001933917","0001933917")</f>
        <v>0001933917</v>
      </c>
      <c r="C432" t="s">
        <v>1200</v>
      </c>
      <c r="D432" t="s">
        <v>10</v>
      </c>
      <c r="E432" t="s">
        <v>728</v>
      </c>
      <c r="F432">
        <v>2</v>
      </c>
      <c r="G432" t="s">
        <v>1199</v>
      </c>
      <c r="H432" t="str">
        <f>HYPERLINK("http://service.sap.com/sap/support/notes/0001984888","0001984888")</f>
        <v>0001984888</v>
      </c>
      <c r="I432" t="s">
        <v>1201</v>
      </c>
      <c r="J432">
        <v>1</v>
      </c>
      <c r="K432" t="s">
        <v>13</v>
      </c>
    </row>
    <row r="433" spans="1:11" x14ac:dyDescent="0.25">
      <c r="A433" t="s">
        <v>1199</v>
      </c>
      <c r="B433" t="str">
        <f>HYPERLINK("http://service.sap.com/sap/support/notes/0001949770","0001949770")</f>
        <v>0001949770</v>
      </c>
      <c r="C433" t="s">
        <v>1202</v>
      </c>
      <c r="D433" t="s">
        <v>10</v>
      </c>
      <c r="E433" t="s">
        <v>728</v>
      </c>
      <c r="F433">
        <v>2</v>
      </c>
      <c r="G433" t="s">
        <v>1199</v>
      </c>
      <c r="H433" t="str">
        <f>HYPERLINK("http://service.sap.com/sap/support/notes/0002066138","0002066138")</f>
        <v>0002066138</v>
      </c>
      <c r="I433" t="s">
        <v>1203</v>
      </c>
      <c r="J433">
        <v>1</v>
      </c>
      <c r="K433" t="s">
        <v>13</v>
      </c>
    </row>
    <row r="434" spans="1:11" x14ac:dyDescent="0.25">
      <c r="A434" t="s">
        <v>1199</v>
      </c>
      <c r="B434" t="str">
        <f>HYPERLINK("http://service.sap.com/sap/support/notes/0001950788","0001950788")</f>
        <v>0001950788</v>
      </c>
      <c r="C434" t="s">
        <v>1204</v>
      </c>
      <c r="D434" t="s">
        <v>10</v>
      </c>
      <c r="E434" t="s">
        <v>1205</v>
      </c>
      <c r="F434">
        <v>3</v>
      </c>
      <c r="G434" t="s">
        <v>185</v>
      </c>
      <c r="H434" t="str">
        <f>HYPERLINK("http://service.sap.com/sap/support/notes/0002006496","0002006496")</f>
        <v>0002006496</v>
      </c>
      <c r="I434" t="s">
        <v>1206</v>
      </c>
      <c r="J434">
        <v>1</v>
      </c>
      <c r="K434" t="s">
        <v>13</v>
      </c>
    </row>
    <row r="435" spans="1:11" x14ac:dyDescent="0.25">
      <c r="A435" t="s">
        <v>1207</v>
      </c>
      <c r="B435" t="str">
        <f>HYPERLINK("http://service.sap.com/sap/support/notes/0001877997","0001877997")</f>
        <v>0001877997</v>
      </c>
      <c r="C435" t="s">
        <v>1208</v>
      </c>
      <c r="D435" t="s">
        <v>10</v>
      </c>
      <c r="E435" t="s">
        <v>1124</v>
      </c>
      <c r="F435">
        <v>5</v>
      </c>
      <c r="G435" t="s">
        <v>1207</v>
      </c>
      <c r="H435" t="str">
        <f>HYPERLINK("http://service.sap.com/sap/support/notes/0002065683","0002065683")</f>
        <v>0002065683</v>
      </c>
      <c r="I435" t="s">
        <v>1209</v>
      </c>
      <c r="J435">
        <v>1</v>
      </c>
      <c r="K435" t="s">
        <v>13</v>
      </c>
    </row>
    <row r="436" spans="1:11" x14ac:dyDescent="0.25">
      <c r="A436" t="s">
        <v>1207</v>
      </c>
      <c r="B436" t="str">
        <f>HYPERLINK("http://service.sap.com/sap/support/notes/0001877997","0001877997")</f>
        <v>0001877997</v>
      </c>
      <c r="C436" t="s">
        <v>1208</v>
      </c>
      <c r="D436" t="s">
        <v>10</v>
      </c>
      <c r="E436" t="s">
        <v>1210</v>
      </c>
      <c r="F436">
        <v>5</v>
      </c>
      <c r="G436" t="s">
        <v>1207</v>
      </c>
      <c r="H436" t="str">
        <f>HYPERLINK("http://service.sap.com/sap/support/notes/0002065683","0002065683")</f>
        <v>0002065683</v>
      </c>
      <c r="I436" t="s">
        <v>1209</v>
      </c>
      <c r="J436">
        <v>1</v>
      </c>
      <c r="K436" t="s">
        <v>13</v>
      </c>
    </row>
    <row r="437" spans="1:11" x14ac:dyDescent="0.25">
      <c r="A437" t="s">
        <v>1211</v>
      </c>
      <c r="B437" t="str">
        <f>HYPERLINK("http://service.sap.com/sap/support/notes/0001963483","0001963483")</f>
        <v>0001963483</v>
      </c>
      <c r="C437" t="s">
        <v>1212</v>
      </c>
      <c r="D437" t="s">
        <v>10</v>
      </c>
      <c r="E437" t="s">
        <v>1213</v>
      </c>
      <c r="F437">
        <v>2</v>
      </c>
      <c r="G437" t="s">
        <v>1214</v>
      </c>
      <c r="H437" t="str">
        <f>HYPERLINK("http://service.sap.com/sap/support/notes/0002069867","0002069867")</f>
        <v>0002069867</v>
      </c>
      <c r="I437" t="s">
        <v>1215</v>
      </c>
      <c r="J437">
        <v>1</v>
      </c>
      <c r="K437" t="s">
        <v>13</v>
      </c>
    </row>
    <row r="438" spans="1:11" x14ac:dyDescent="0.25">
      <c r="A438" t="s">
        <v>1216</v>
      </c>
      <c r="B438" t="str">
        <f>HYPERLINK("http://service.sap.com/sap/support/notes/0001942686","0001942686")</f>
        <v>0001942686</v>
      </c>
      <c r="C438" t="s">
        <v>1217</v>
      </c>
      <c r="D438" t="s">
        <v>10</v>
      </c>
      <c r="E438" t="s">
        <v>324</v>
      </c>
      <c r="F438">
        <v>1</v>
      </c>
      <c r="G438" t="s">
        <v>366</v>
      </c>
      <c r="H438" t="str">
        <f>HYPERLINK("http://service.sap.com/sap/support/notes/0002035202","0002035202")</f>
        <v>0002035202</v>
      </c>
      <c r="I438" t="s">
        <v>1218</v>
      </c>
      <c r="J438">
        <v>1</v>
      </c>
      <c r="K438" t="s">
        <v>13</v>
      </c>
    </row>
    <row r="439" spans="1:11" x14ac:dyDescent="0.25">
      <c r="A439" t="s">
        <v>1219</v>
      </c>
      <c r="B439" t="str">
        <f>HYPERLINK("http://service.sap.com/sap/support/notes/0001979447","0001979447")</f>
        <v>0001979447</v>
      </c>
      <c r="C439" t="s">
        <v>1220</v>
      </c>
      <c r="D439" t="s">
        <v>10</v>
      </c>
      <c r="E439" t="s">
        <v>1213</v>
      </c>
      <c r="F439">
        <v>3</v>
      </c>
      <c r="G439" t="s">
        <v>1219</v>
      </c>
      <c r="H439" t="str">
        <f>HYPERLINK("http://service.sap.com/sap/support/notes/0002080526","0002080526")</f>
        <v>0002080526</v>
      </c>
      <c r="I439" t="s">
        <v>1221</v>
      </c>
      <c r="J439">
        <v>1</v>
      </c>
      <c r="K439" t="s">
        <v>13</v>
      </c>
    </row>
    <row r="440" spans="1:11" x14ac:dyDescent="0.25">
      <c r="A440" t="s">
        <v>1219</v>
      </c>
      <c r="B440" t="str">
        <f>HYPERLINK("http://service.sap.com/sap/support/notes/0002020387","0002020387")</f>
        <v>0002020387</v>
      </c>
      <c r="C440" t="s">
        <v>1222</v>
      </c>
      <c r="D440" t="s">
        <v>10</v>
      </c>
      <c r="E440" t="s">
        <v>602</v>
      </c>
      <c r="F440">
        <v>2</v>
      </c>
      <c r="G440" t="s">
        <v>1223</v>
      </c>
      <c r="H440" t="str">
        <f>HYPERLINK("http://service.sap.com/sap/support/notes/0002029366","0002029366")</f>
        <v>0002029366</v>
      </c>
      <c r="I440" t="s">
        <v>1224</v>
      </c>
      <c r="J440">
        <v>1</v>
      </c>
      <c r="K440" t="s">
        <v>13</v>
      </c>
    </row>
    <row r="441" spans="1:11" x14ac:dyDescent="0.25">
      <c r="A441" t="s">
        <v>1219</v>
      </c>
      <c r="B441" t="str">
        <f>HYPERLINK("http://service.sap.com/sap/support/notes/0002057573","0002057573")</f>
        <v>0002057573</v>
      </c>
      <c r="C441" t="s">
        <v>1225</v>
      </c>
      <c r="D441" t="s">
        <v>10</v>
      </c>
      <c r="E441" t="s">
        <v>1226</v>
      </c>
      <c r="F441">
        <v>2</v>
      </c>
      <c r="G441" t="s">
        <v>1219</v>
      </c>
      <c r="H441" t="str">
        <f>HYPERLINK("http://service.sap.com/sap/support/notes/0002068617","0002068617")</f>
        <v>0002068617</v>
      </c>
      <c r="I441" t="s">
        <v>1227</v>
      </c>
      <c r="J441">
        <v>1</v>
      </c>
      <c r="K441" t="s">
        <v>13</v>
      </c>
    </row>
    <row r="442" spans="1:11" x14ac:dyDescent="0.25">
      <c r="A442" t="s">
        <v>1228</v>
      </c>
      <c r="B442" t="str">
        <f>HYPERLINK("http://service.sap.com/sap/support/notes/0001965596","0001965596")</f>
        <v>0001965596</v>
      </c>
      <c r="C442" t="s">
        <v>1229</v>
      </c>
      <c r="D442" t="s">
        <v>10</v>
      </c>
      <c r="E442" t="s">
        <v>1213</v>
      </c>
      <c r="F442">
        <v>1</v>
      </c>
      <c r="G442" t="s">
        <v>1228</v>
      </c>
      <c r="H442" t="str">
        <f>HYPERLINK("http://service.sap.com/sap/support/notes/0001979209","0001979209")</f>
        <v>0001979209</v>
      </c>
      <c r="I442" t="s">
        <v>1230</v>
      </c>
      <c r="J442">
        <v>3</v>
      </c>
      <c r="K442" t="s">
        <v>13</v>
      </c>
    </row>
    <row r="443" spans="1:11" x14ac:dyDescent="0.25">
      <c r="A443" t="s">
        <v>1228</v>
      </c>
      <c r="B443" t="str">
        <f>HYPERLINK("http://service.sap.com/sap/support/notes/0002019457","0002019457")</f>
        <v>0002019457</v>
      </c>
      <c r="C443" t="s">
        <v>1231</v>
      </c>
      <c r="D443" t="s">
        <v>10</v>
      </c>
      <c r="E443" t="s">
        <v>1232</v>
      </c>
      <c r="F443">
        <v>1</v>
      </c>
      <c r="G443" t="s">
        <v>1228</v>
      </c>
      <c r="H443" t="str">
        <f>HYPERLINK("http://service.sap.com/sap/support/notes/0002031512","0002031512")</f>
        <v>0002031512</v>
      </c>
      <c r="I443" t="s">
        <v>1231</v>
      </c>
      <c r="J443">
        <v>1</v>
      </c>
      <c r="K443" t="s">
        <v>13</v>
      </c>
    </row>
    <row r="444" spans="1:11" x14ac:dyDescent="0.25">
      <c r="A444" t="s">
        <v>1214</v>
      </c>
      <c r="B444" t="str">
        <f>HYPERLINK("http://service.sap.com/sap/support/notes/0002026469","0002026469")</f>
        <v>0002026469</v>
      </c>
      <c r="C444" t="s">
        <v>1233</v>
      </c>
      <c r="D444" t="s">
        <v>10</v>
      </c>
      <c r="E444" t="s">
        <v>1232</v>
      </c>
      <c r="F444">
        <v>1</v>
      </c>
      <c r="G444" t="s">
        <v>1214</v>
      </c>
      <c r="H444" t="str">
        <f>HYPERLINK("http://service.sap.com/sap/support/notes/0001985386","0001985386")</f>
        <v>0001985386</v>
      </c>
      <c r="I444" t="s">
        <v>1234</v>
      </c>
      <c r="J444">
        <v>2</v>
      </c>
      <c r="K444" t="s">
        <v>13</v>
      </c>
    </row>
    <row r="445" spans="1:11" x14ac:dyDescent="0.25">
      <c r="A445" t="s">
        <v>1235</v>
      </c>
      <c r="B445" t="str">
        <f>HYPERLINK("http://service.sap.com/sap/support/notes/0001915876","0001915876")</f>
        <v>0001915876</v>
      </c>
      <c r="C445" t="s">
        <v>1236</v>
      </c>
      <c r="D445" t="s">
        <v>10</v>
      </c>
      <c r="E445" t="s">
        <v>1213</v>
      </c>
      <c r="F445">
        <v>5</v>
      </c>
      <c r="G445" t="s">
        <v>1235</v>
      </c>
      <c r="H445" t="str">
        <f>HYPERLINK("http://service.sap.com/sap/support/notes/0002075049","0002075049")</f>
        <v>0002075049</v>
      </c>
      <c r="I445" t="s">
        <v>1237</v>
      </c>
      <c r="J445">
        <v>1</v>
      </c>
      <c r="K445" t="s">
        <v>13</v>
      </c>
    </row>
    <row r="446" spans="1:11" x14ac:dyDescent="0.25">
      <c r="A446" t="s">
        <v>1238</v>
      </c>
      <c r="B446" t="str">
        <f>HYPERLINK("http://service.sap.com/sap/support/notes/0001963306","0001963306")</f>
        <v>0001963306</v>
      </c>
      <c r="C446" t="s">
        <v>1239</v>
      </c>
      <c r="D446" t="s">
        <v>10</v>
      </c>
      <c r="E446" t="s">
        <v>493</v>
      </c>
      <c r="F446">
        <v>2</v>
      </c>
      <c r="G446" t="s">
        <v>584</v>
      </c>
      <c r="H446" t="str">
        <f>HYPERLINK("http://service.sap.com/sap/support/notes/0002003433","0002003433")</f>
        <v>0002003433</v>
      </c>
      <c r="I446" t="s">
        <v>1240</v>
      </c>
      <c r="J446">
        <v>1</v>
      </c>
      <c r="K446" t="s">
        <v>13</v>
      </c>
    </row>
    <row r="447" spans="1:11" x14ac:dyDescent="0.25">
      <c r="A447" t="s">
        <v>1241</v>
      </c>
      <c r="B447" t="str">
        <f>HYPERLINK("http://service.sap.com/sap/support/notes/0001991913","0001991913")</f>
        <v>0001991913</v>
      </c>
      <c r="C447" t="s">
        <v>1242</v>
      </c>
      <c r="D447" t="s">
        <v>10</v>
      </c>
      <c r="E447" t="s">
        <v>361</v>
      </c>
      <c r="F447">
        <v>1</v>
      </c>
      <c r="G447" t="s">
        <v>1243</v>
      </c>
      <c r="H447" t="str">
        <f>HYPERLINK("http://service.sap.com/sap/support/notes/0002076651","0002076651")</f>
        <v>0002076651</v>
      </c>
      <c r="I447" t="s">
        <v>1244</v>
      </c>
      <c r="J447">
        <v>2</v>
      </c>
      <c r="K447" t="s">
        <v>13</v>
      </c>
    </row>
    <row r="448" spans="1:11" x14ac:dyDescent="0.25">
      <c r="A448" t="s">
        <v>1245</v>
      </c>
      <c r="B448" t="str">
        <f>HYPERLINK("http://service.sap.com/sap/support/notes/0001879620","0001879620")</f>
        <v>0001879620</v>
      </c>
      <c r="C448" t="s">
        <v>1246</v>
      </c>
      <c r="D448" t="s">
        <v>10</v>
      </c>
      <c r="E448" t="s">
        <v>493</v>
      </c>
      <c r="F448">
        <v>6</v>
      </c>
      <c r="G448" t="s">
        <v>1245</v>
      </c>
      <c r="H448" t="str">
        <f>HYPERLINK("http://service.sap.com/sap/support/notes/0001958073","0001958073")</f>
        <v>0001958073</v>
      </c>
      <c r="I448" t="s">
        <v>1247</v>
      </c>
      <c r="J448">
        <v>1</v>
      </c>
      <c r="K448" t="s">
        <v>13</v>
      </c>
    </row>
    <row r="449" spans="1:11" x14ac:dyDescent="0.25">
      <c r="A449" t="s">
        <v>1245</v>
      </c>
      <c r="B449" t="str">
        <f>HYPERLINK("http://service.sap.com/sap/support/notes/0001957961","0001957961")</f>
        <v>0001957961</v>
      </c>
      <c r="C449" t="s">
        <v>1248</v>
      </c>
      <c r="D449" t="s">
        <v>10</v>
      </c>
      <c r="E449" t="s">
        <v>493</v>
      </c>
      <c r="F449">
        <v>2</v>
      </c>
      <c r="G449" t="s">
        <v>1249</v>
      </c>
      <c r="H449" t="str">
        <f>HYPERLINK("http://service.sap.com/sap/support/notes/0002038073","0002038073")</f>
        <v>0002038073</v>
      </c>
      <c r="I449" t="s">
        <v>1250</v>
      </c>
      <c r="J449">
        <v>1</v>
      </c>
      <c r="K449" t="s">
        <v>13</v>
      </c>
    </row>
    <row r="450" spans="1:11" x14ac:dyDescent="0.25">
      <c r="A450" t="s">
        <v>1251</v>
      </c>
      <c r="B450" t="str">
        <f>HYPERLINK("http://service.sap.com/sap/support/notes/0001903765","0001903765")</f>
        <v>0001903765</v>
      </c>
      <c r="C450" t="s">
        <v>1252</v>
      </c>
      <c r="D450" t="s">
        <v>10</v>
      </c>
      <c r="E450" t="s">
        <v>493</v>
      </c>
      <c r="F450">
        <v>4</v>
      </c>
      <c r="G450" t="s">
        <v>1251</v>
      </c>
      <c r="H450" t="str">
        <f>HYPERLINK("http://service.sap.com/sap/support/notes/0001927332","0001927332")</f>
        <v>0001927332</v>
      </c>
      <c r="I450" t="s">
        <v>1253</v>
      </c>
      <c r="J450">
        <v>1</v>
      </c>
      <c r="K450" t="s">
        <v>13</v>
      </c>
    </row>
    <row r="451" spans="1:11" x14ac:dyDescent="0.25">
      <c r="A451" t="s">
        <v>1243</v>
      </c>
      <c r="B451" t="str">
        <f>HYPERLINK("http://service.sap.com/sap/support/notes/0002003151","0002003151")</f>
        <v>0002003151</v>
      </c>
      <c r="C451" t="s">
        <v>1254</v>
      </c>
      <c r="D451" t="s">
        <v>10</v>
      </c>
      <c r="E451" t="s">
        <v>233</v>
      </c>
      <c r="F451">
        <v>2</v>
      </c>
      <c r="G451" t="s">
        <v>1243</v>
      </c>
      <c r="H451" t="str">
        <f>HYPERLINK("http://service.sap.com/sap/support/notes/0002069792","0002069792")</f>
        <v>0002069792</v>
      </c>
      <c r="I451" t="s">
        <v>1255</v>
      </c>
      <c r="J451">
        <v>1</v>
      </c>
      <c r="K451" t="s">
        <v>13</v>
      </c>
    </row>
    <row r="452" spans="1:11" x14ac:dyDescent="0.25">
      <c r="A452" t="s">
        <v>1243</v>
      </c>
      <c r="B452" t="str">
        <f>HYPERLINK("http://service.sap.com/sap/support/notes/0002043259","0002043259")</f>
        <v>0002043259</v>
      </c>
      <c r="C452" t="s">
        <v>1256</v>
      </c>
      <c r="D452" t="s">
        <v>10</v>
      </c>
      <c r="E452" t="s">
        <v>233</v>
      </c>
      <c r="F452">
        <v>1</v>
      </c>
      <c r="G452" t="s">
        <v>1257</v>
      </c>
      <c r="H452" t="str">
        <f>HYPERLINK("http://service.sap.com/sap/support/notes/0002080438","0002080438")</f>
        <v>0002080438</v>
      </c>
      <c r="I452" t="s">
        <v>1258</v>
      </c>
      <c r="J452">
        <v>1</v>
      </c>
      <c r="K452" t="s">
        <v>13</v>
      </c>
    </row>
    <row r="453" spans="1:11" x14ac:dyDescent="0.25">
      <c r="A453" t="s">
        <v>1243</v>
      </c>
      <c r="B453" t="str">
        <f>HYPERLINK("http://service.sap.com/sap/support/notes/0002065217","0002065217")</f>
        <v>0002065217</v>
      </c>
      <c r="C453" t="s">
        <v>1259</v>
      </c>
      <c r="D453" t="s">
        <v>10</v>
      </c>
      <c r="E453" t="s">
        <v>233</v>
      </c>
      <c r="F453">
        <v>2</v>
      </c>
      <c r="G453" t="s">
        <v>1243</v>
      </c>
      <c r="H453" t="str">
        <f>HYPERLINK("http://service.sap.com/sap/support/notes/0002069203","0002069203")</f>
        <v>0002069203</v>
      </c>
      <c r="I453" t="s">
        <v>1260</v>
      </c>
      <c r="J453">
        <v>1</v>
      </c>
      <c r="K453" t="s">
        <v>13</v>
      </c>
    </row>
    <row r="454" spans="1:11" x14ac:dyDescent="0.25">
      <c r="A454" t="s">
        <v>1261</v>
      </c>
      <c r="B454" t="str">
        <f>HYPERLINK("http://service.sap.com/sap/support/notes/0001721757","0001721757")</f>
        <v>0001721757</v>
      </c>
      <c r="C454" t="s">
        <v>1262</v>
      </c>
      <c r="D454" t="s">
        <v>10</v>
      </c>
      <c r="E454" t="s">
        <v>233</v>
      </c>
      <c r="F454">
        <v>3</v>
      </c>
      <c r="G454" t="s">
        <v>590</v>
      </c>
      <c r="H454" t="str">
        <f>HYPERLINK("http://service.sap.com/sap/support/notes/0001964557","0001964557")</f>
        <v>0001964557</v>
      </c>
      <c r="I454" t="s">
        <v>1263</v>
      </c>
      <c r="J454">
        <v>1</v>
      </c>
      <c r="K454" t="s">
        <v>13</v>
      </c>
    </row>
    <row r="455" spans="1:11" x14ac:dyDescent="0.25">
      <c r="A455" t="s">
        <v>1264</v>
      </c>
      <c r="B455" t="str">
        <f>HYPERLINK("http://service.sap.com/sap/support/notes/0002064942","0002064942")</f>
        <v>0002064942</v>
      </c>
      <c r="C455" t="s">
        <v>1265</v>
      </c>
      <c r="D455" t="s">
        <v>10</v>
      </c>
      <c r="E455" t="s">
        <v>233</v>
      </c>
      <c r="F455">
        <v>1</v>
      </c>
      <c r="G455" t="s">
        <v>1266</v>
      </c>
      <c r="H455" t="str">
        <f>HYPERLINK("http://service.sap.com/sap/support/notes/0002065038","0002065038")</f>
        <v>0002065038</v>
      </c>
      <c r="I455" t="s">
        <v>1267</v>
      </c>
      <c r="J455">
        <v>1</v>
      </c>
      <c r="K455" t="s">
        <v>13</v>
      </c>
    </row>
    <row r="456" spans="1:11" x14ac:dyDescent="0.25">
      <c r="A456" t="s">
        <v>1268</v>
      </c>
      <c r="B456" t="str">
        <f>HYPERLINK("http://service.sap.com/sap/support/notes/0002041392","0002041392")</f>
        <v>0002041392</v>
      </c>
      <c r="C456" t="s">
        <v>1269</v>
      </c>
      <c r="D456" t="s">
        <v>10</v>
      </c>
      <c r="E456" t="s">
        <v>233</v>
      </c>
      <c r="F456">
        <v>1</v>
      </c>
      <c r="G456" t="s">
        <v>1268</v>
      </c>
      <c r="H456" t="str">
        <f>HYPERLINK("http://service.sap.com/sap/support/notes/0002047892","0002047892")</f>
        <v>0002047892</v>
      </c>
      <c r="I456" t="s">
        <v>1269</v>
      </c>
      <c r="J456">
        <v>1</v>
      </c>
      <c r="K456" t="s">
        <v>13</v>
      </c>
    </row>
    <row r="457" spans="1:11" x14ac:dyDescent="0.25">
      <c r="A457" t="s">
        <v>1270</v>
      </c>
      <c r="B457" t="str">
        <f>HYPERLINK("http://service.sap.com/sap/support/notes/0001975193","0001975193")</f>
        <v>0001975193</v>
      </c>
      <c r="C457" t="s">
        <v>1271</v>
      </c>
      <c r="D457" t="s">
        <v>10</v>
      </c>
      <c r="E457" t="s">
        <v>493</v>
      </c>
      <c r="F457">
        <v>1</v>
      </c>
      <c r="G457" t="s">
        <v>1270</v>
      </c>
      <c r="H457" t="str">
        <f>HYPERLINK("http://service.sap.com/sap/support/notes/0002062395","0002062395")</f>
        <v>0002062395</v>
      </c>
      <c r="I457" t="s">
        <v>1272</v>
      </c>
      <c r="J457">
        <v>1</v>
      </c>
      <c r="K457" t="s">
        <v>13</v>
      </c>
    </row>
    <row r="458" spans="1:11" x14ac:dyDescent="0.25">
      <c r="A458" t="s">
        <v>1273</v>
      </c>
      <c r="B458" t="str">
        <f>HYPERLINK("http://service.sap.com/sap/support/notes/0002000561","0002000561")</f>
        <v>0002000561</v>
      </c>
      <c r="C458" t="s">
        <v>1274</v>
      </c>
      <c r="D458" t="s">
        <v>10</v>
      </c>
      <c r="E458" t="s">
        <v>602</v>
      </c>
      <c r="F458">
        <v>2</v>
      </c>
      <c r="G458" t="s">
        <v>1273</v>
      </c>
      <c r="H458" t="str">
        <f>HYPERLINK("http://service.sap.com/sap/support/notes/0002017951","0002017951")</f>
        <v>0002017951</v>
      </c>
      <c r="I458" t="s">
        <v>1275</v>
      </c>
      <c r="J458">
        <v>1</v>
      </c>
      <c r="K458" t="s">
        <v>13</v>
      </c>
    </row>
    <row r="459" spans="1:11" x14ac:dyDescent="0.25">
      <c r="A459" t="s">
        <v>1273</v>
      </c>
      <c r="B459" t="str">
        <f>HYPERLINK("http://service.sap.com/sap/support/notes/0002040238","0002040238")</f>
        <v>0002040238</v>
      </c>
      <c r="C459" t="s">
        <v>1276</v>
      </c>
      <c r="D459" t="s">
        <v>10</v>
      </c>
      <c r="E459" t="s">
        <v>233</v>
      </c>
      <c r="F459">
        <v>1</v>
      </c>
      <c r="G459" t="s">
        <v>845</v>
      </c>
      <c r="H459" t="str">
        <f>HYPERLINK("http://service.sap.com/sap/support/notes/0002055527","0002055527")</f>
        <v>0002055527</v>
      </c>
      <c r="I459" t="s">
        <v>1277</v>
      </c>
      <c r="J459">
        <v>1</v>
      </c>
      <c r="K459" t="s">
        <v>13</v>
      </c>
    </row>
    <row r="460" spans="1:11" x14ac:dyDescent="0.25">
      <c r="A460" t="s">
        <v>1278</v>
      </c>
      <c r="B460" t="str">
        <f>HYPERLINK("http://service.sap.com/sap/support/notes/0001993203","0001993203")</f>
        <v>0001993203</v>
      </c>
      <c r="C460" t="s">
        <v>1279</v>
      </c>
      <c r="D460" t="s">
        <v>10</v>
      </c>
      <c r="E460" t="s">
        <v>602</v>
      </c>
      <c r="F460">
        <v>1</v>
      </c>
      <c r="G460" t="s">
        <v>1280</v>
      </c>
      <c r="H460" t="str">
        <f>HYPERLINK("http://service.sap.com/sap/support/notes/0002004031","0002004031")</f>
        <v>0002004031</v>
      </c>
      <c r="I460" t="s">
        <v>1281</v>
      </c>
      <c r="J460">
        <v>1</v>
      </c>
      <c r="K460" t="s">
        <v>13</v>
      </c>
    </row>
    <row r="461" spans="1:11" x14ac:dyDescent="0.25">
      <c r="A461" t="s">
        <v>1282</v>
      </c>
      <c r="B461" t="str">
        <f>HYPERLINK("http://service.sap.com/sap/support/notes/0002045334","0002045334")</f>
        <v>0002045334</v>
      </c>
      <c r="C461" t="s">
        <v>1283</v>
      </c>
      <c r="D461" t="s">
        <v>10</v>
      </c>
      <c r="E461" t="s">
        <v>233</v>
      </c>
      <c r="F461">
        <v>2</v>
      </c>
      <c r="G461" t="s">
        <v>1280</v>
      </c>
      <c r="H461" t="str">
        <f>HYPERLINK("http://service.sap.com/sap/support/notes/0002055279","0002055279")</f>
        <v>0002055279</v>
      </c>
      <c r="I461" t="s">
        <v>1284</v>
      </c>
      <c r="J461">
        <v>1</v>
      </c>
      <c r="K461" t="s">
        <v>13</v>
      </c>
    </row>
    <row r="462" spans="1:11" x14ac:dyDescent="0.25">
      <c r="A462" t="s">
        <v>1285</v>
      </c>
      <c r="B462" t="str">
        <f>HYPERLINK("http://service.sap.com/sap/support/notes/0001923417","0001923417")</f>
        <v>0001923417</v>
      </c>
      <c r="C462" t="s">
        <v>1286</v>
      </c>
      <c r="D462" t="s">
        <v>10</v>
      </c>
      <c r="E462" t="s">
        <v>493</v>
      </c>
      <c r="F462">
        <v>2</v>
      </c>
      <c r="G462" t="s">
        <v>1280</v>
      </c>
      <c r="H462" t="str">
        <f>HYPERLINK("http://service.sap.com/sap/support/notes/0001978847","0001978847")</f>
        <v>0001978847</v>
      </c>
      <c r="I462" t="s">
        <v>1287</v>
      </c>
      <c r="J462">
        <v>1</v>
      </c>
      <c r="K462" t="s">
        <v>47</v>
      </c>
    </row>
    <row r="463" spans="1:11" x14ac:dyDescent="0.25">
      <c r="A463" t="s">
        <v>1285</v>
      </c>
      <c r="B463" t="str">
        <f>HYPERLINK("http://service.sap.com/sap/support/notes/0001987216","0001987216")</f>
        <v>0001987216</v>
      </c>
      <c r="C463" t="s">
        <v>1288</v>
      </c>
      <c r="D463" t="s">
        <v>10</v>
      </c>
      <c r="E463" t="s">
        <v>493</v>
      </c>
      <c r="F463">
        <v>1</v>
      </c>
      <c r="G463" t="s">
        <v>584</v>
      </c>
      <c r="H463" t="str">
        <f>HYPERLINK("http://service.sap.com/sap/support/notes/0002031526","0002031526")</f>
        <v>0002031526</v>
      </c>
      <c r="I463" t="s">
        <v>1289</v>
      </c>
      <c r="J463">
        <v>1</v>
      </c>
      <c r="K463" t="s">
        <v>13</v>
      </c>
    </row>
    <row r="464" spans="1:11" x14ac:dyDescent="0.25">
      <c r="A464" t="s">
        <v>1290</v>
      </c>
      <c r="B464" t="str">
        <f>HYPERLINK("http://service.sap.com/sap/support/notes/0001982781","0001982781")</f>
        <v>0001982781</v>
      </c>
      <c r="C464" t="s">
        <v>1291</v>
      </c>
      <c r="D464" t="s">
        <v>10</v>
      </c>
      <c r="E464" t="s">
        <v>493</v>
      </c>
      <c r="F464">
        <v>1</v>
      </c>
      <c r="G464" t="s">
        <v>1280</v>
      </c>
      <c r="H464" t="str">
        <f>HYPERLINK("http://service.sap.com/sap/support/notes/0001986558","0001986558")</f>
        <v>0001986558</v>
      </c>
      <c r="I464" t="s">
        <v>1292</v>
      </c>
      <c r="J464">
        <v>1</v>
      </c>
      <c r="K464" t="s">
        <v>13</v>
      </c>
    </row>
    <row r="465" spans="1:11" x14ac:dyDescent="0.25">
      <c r="A465" t="s">
        <v>1293</v>
      </c>
      <c r="B465" t="str">
        <f>HYPERLINK("http://service.sap.com/sap/support/notes/0002011198","0002011198")</f>
        <v>0002011198</v>
      </c>
      <c r="C465" t="s">
        <v>1294</v>
      </c>
      <c r="D465" t="s">
        <v>10</v>
      </c>
      <c r="E465" t="s">
        <v>602</v>
      </c>
      <c r="F465">
        <v>1</v>
      </c>
      <c r="G465" t="s">
        <v>1280</v>
      </c>
      <c r="H465" t="str">
        <f>HYPERLINK("http://service.sap.com/sap/support/notes/0002011823","0002011823")</f>
        <v>0002011823</v>
      </c>
      <c r="I465" t="s">
        <v>1295</v>
      </c>
      <c r="J465">
        <v>1</v>
      </c>
      <c r="K465" t="s">
        <v>13</v>
      </c>
    </row>
    <row r="466" spans="1:11" x14ac:dyDescent="0.25">
      <c r="A466" t="s">
        <v>1296</v>
      </c>
      <c r="B466" t="str">
        <f>HYPERLINK("http://service.sap.com/sap/support/notes/0001939618","0001939618")</f>
        <v>0001939618</v>
      </c>
      <c r="C466" t="s">
        <v>1297</v>
      </c>
      <c r="D466" t="s">
        <v>10</v>
      </c>
      <c r="E466" t="s">
        <v>493</v>
      </c>
      <c r="F466">
        <v>4</v>
      </c>
      <c r="G466" t="s">
        <v>1296</v>
      </c>
      <c r="H466" t="str">
        <f>HYPERLINK("http://service.sap.com/sap/support/notes/0002039712","0002039712")</f>
        <v>0002039712</v>
      </c>
      <c r="I466" t="s">
        <v>1298</v>
      </c>
      <c r="J466">
        <v>1</v>
      </c>
      <c r="K466" t="s">
        <v>13</v>
      </c>
    </row>
    <row r="467" spans="1:11" x14ac:dyDescent="0.25">
      <c r="A467" t="s">
        <v>1296</v>
      </c>
      <c r="B467" t="str">
        <f>HYPERLINK("http://service.sap.com/sap/support/notes/0001939618","0001939618")</f>
        <v>0001939618</v>
      </c>
      <c r="C467" t="s">
        <v>1297</v>
      </c>
      <c r="D467" t="s">
        <v>10</v>
      </c>
      <c r="E467" t="s">
        <v>493</v>
      </c>
      <c r="F467">
        <v>4</v>
      </c>
      <c r="G467" t="s">
        <v>1296</v>
      </c>
      <c r="H467" t="str">
        <f>HYPERLINK("http://service.sap.com/sap/support/notes/0002038768","0002038768")</f>
        <v>0002038768</v>
      </c>
      <c r="I467" t="s">
        <v>1299</v>
      </c>
      <c r="J467">
        <v>1</v>
      </c>
      <c r="K467" t="s">
        <v>13</v>
      </c>
    </row>
    <row r="468" spans="1:11" x14ac:dyDescent="0.25">
      <c r="A468" t="s">
        <v>1300</v>
      </c>
      <c r="B468" t="str">
        <f>HYPERLINK("http://service.sap.com/sap/support/notes/0001980609","0001980609")</f>
        <v>0001980609</v>
      </c>
      <c r="C468" t="s">
        <v>1301</v>
      </c>
      <c r="D468" t="s">
        <v>10</v>
      </c>
      <c r="E468" t="s">
        <v>602</v>
      </c>
      <c r="F468">
        <v>3</v>
      </c>
      <c r="G468" t="s">
        <v>584</v>
      </c>
      <c r="H468" t="str">
        <f>HYPERLINK("http://service.sap.com/sap/support/notes/0002001475","0002001475")</f>
        <v>0002001475</v>
      </c>
      <c r="I468" t="s">
        <v>1302</v>
      </c>
      <c r="J468">
        <v>1</v>
      </c>
      <c r="K468" t="s">
        <v>13</v>
      </c>
    </row>
    <row r="469" spans="1:11" x14ac:dyDescent="0.25">
      <c r="A469" t="s">
        <v>1303</v>
      </c>
      <c r="B469" t="str">
        <f>HYPERLINK("http://service.sap.com/sap/support/notes/0001882670","0001882670")</f>
        <v>0001882670</v>
      </c>
      <c r="C469" t="s">
        <v>1304</v>
      </c>
      <c r="D469" t="s">
        <v>10</v>
      </c>
      <c r="E469" t="s">
        <v>602</v>
      </c>
      <c r="F469">
        <v>1</v>
      </c>
      <c r="G469" t="s">
        <v>1305</v>
      </c>
      <c r="H469" t="str">
        <f>HYPERLINK("http://service.sap.com/sap/support/notes/0002039357","0002039357")</f>
        <v>0002039357</v>
      </c>
      <c r="I469" t="s">
        <v>1306</v>
      </c>
      <c r="J469">
        <v>1</v>
      </c>
      <c r="K469" t="s">
        <v>13</v>
      </c>
    </row>
    <row r="470" spans="1:11" x14ac:dyDescent="0.25">
      <c r="A470" t="s">
        <v>1307</v>
      </c>
      <c r="B470" t="str">
        <f>HYPERLINK("http://service.sap.com/sap/support/notes/0002012590","0002012590")</f>
        <v>0002012590</v>
      </c>
      <c r="C470" t="s">
        <v>1308</v>
      </c>
      <c r="D470" t="s">
        <v>10</v>
      </c>
      <c r="E470" t="s">
        <v>1309</v>
      </c>
      <c r="F470">
        <v>2</v>
      </c>
      <c r="G470" t="s">
        <v>1307</v>
      </c>
      <c r="H470" t="str">
        <f>HYPERLINK("http://service.sap.com/sap/support/notes/0002071568","0002071568")</f>
        <v>0002071568</v>
      </c>
      <c r="I470" t="s">
        <v>1310</v>
      </c>
      <c r="J470">
        <v>1</v>
      </c>
      <c r="K470" t="s">
        <v>13</v>
      </c>
    </row>
    <row r="471" spans="1:11" x14ac:dyDescent="0.25">
      <c r="A471" t="s">
        <v>1311</v>
      </c>
      <c r="B471" t="str">
        <f>HYPERLINK("http://service.sap.com/sap/support/notes/0002023481","0002023481")</f>
        <v>0002023481</v>
      </c>
      <c r="C471" t="s">
        <v>1312</v>
      </c>
      <c r="D471" t="s">
        <v>10</v>
      </c>
      <c r="E471" t="s">
        <v>1309</v>
      </c>
      <c r="F471">
        <v>4</v>
      </c>
      <c r="G471" t="s">
        <v>1313</v>
      </c>
      <c r="H471" t="str">
        <f>HYPERLINK("http://service.sap.com/sap/support/notes/0002061728","0002061728")</f>
        <v>0002061728</v>
      </c>
      <c r="I471" t="s">
        <v>1314</v>
      </c>
      <c r="J471">
        <v>3</v>
      </c>
      <c r="K471" t="s">
        <v>13</v>
      </c>
    </row>
    <row r="472" spans="1:11" x14ac:dyDescent="0.25">
      <c r="A472" t="s">
        <v>1315</v>
      </c>
      <c r="B472" t="str">
        <f>HYPERLINK("http://service.sap.com/sap/support/notes/0002006072","0002006072")</f>
        <v>0002006072</v>
      </c>
      <c r="C472" t="s">
        <v>1316</v>
      </c>
      <c r="D472" t="s">
        <v>10</v>
      </c>
      <c r="E472" t="s">
        <v>1309</v>
      </c>
      <c r="F472">
        <v>3</v>
      </c>
      <c r="G472" t="s">
        <v>1317</v>
      </c>
      <c r="H472" t="str">
        <f>HYPERLINK("http://service.sap.com/sap/support/notes/0002074291","0002074291")</f>
        <v>0002074291</v>
      </c>
      <c r="I472" t="s">
        <v>1318</v>
      </c>
      <c r="J472">
        <v>4</v>
      </c>
      <c r="K472" t="s">
        <v>13</v>
      </c>
    </row>
    <row r="473" spans="1:11" x14ac:dyDescent="0.25">
      <c r="A473" t="s">
        <v>1315</v>
      </c>
      <c r="B473" t="str">
        <f>HYPERLINK("http://service.sap.com/sap/support/notes/0002025933","0002025933")</f>
        <v>0002025933</v>
      </c>
      <c r="C473" t="s">
        <v>1319</v>
      </c>
      <c r="D473" t="s">
        <v>10</v>
      </c>
      <c r="E473" t="s">
        <v>1309</v>
      </c>
      <c r="F473">
        <v>2</v>
      </c>
      <c r="G473" t="s">
        <v>1315</v>
      </c>
      <c r="H473" t="str">
        <f>HYPERLINK("http://service.sap.com/sap/support/notes/0002076394","0002076394")</f>
        <v>0002076394</v>
      </c>
      <c r="I473" t="s">
        <v>1320</v>
      </c>
      <c r="J473">
        <v>1</v>
      </c>
      <c r="K473" t="s">
        <v>13</v>
      </c>
    </row>
    <row r="474" spans="1:11" x14ac:dyDescent="0.25">
      <c r="A474" t="s">
        <v>1315</v>
      </c>
      <c r="B474" t="str">
        <f>HYPERLINK("http://service.sap.com/sap/support/notes/0002027306","0002027306")</f>
        <v>0002027306</v>
      </c>
      <c r="C474" t="s">
        <v>1321</v>
      </c>
      <c r="D474" t="s">
        <v>10</v>
      </c>
      <c r="E474" t="s">
        <v>1309</v>
      </c>
      <c r="F474">
        <v>5</v>
      </c>
      <c r="G474" t="s">
        <v>1315</v>
      </c>
      <c r="H474" t="str">
        <f>HYPERLINK("http://service.sap.com/sap/support/notes/0002060415","0002060415")</f>
        <v>0002060415</v>
      </c>
      <c r="I474" t="s">
        <v>1322</v>
      </c>
      <c r="J474">
        <v>1</v>
      </c>
      <c r="K474" t="s">
        <v>13</v>
      </c>
    </row>
    <row r="475" spans="1:11" x14ac:dyDescent="0.25">
      <c r="A475" t="s">
        <v>1315</v>
      </c>
      <c r="B475" t="str">
        <f>HYPERLINK("http://service.sap.com/sap/support/notes/0002027306","0002027306")</f>
        <v>0002027306</v>
      </c>
      <c r="C475" t="s">
        <v>1321</v>
      </c>
      <c r="D475" t="s">
        <v>10</v>
      </c>
      <c r="E475" t="s">
        <v>1309</v>
      </c>
      <c r="F475">
        <v>5</v>
      </c>
      <c r="G475" t="s">
        <v>1315</v>
      </c>
      <c r="H475" t="str">
        <f>HYPERLINK("http://service.sap.com/sap/support/notes/0002030522","0002030522")</f>
        <v>0002030522</v>
      </c>
      <c r="I475" t="s">
        <v>1323</v>
      </c>
      <c r="J475">
        <v>1</v>
      </c>
      <c r="K475" t="s">
        <v>1324</v>
      </c>
    </row>
    <row r="476" spans="1:11" x14ac:dyDescent="0.25">
      <c r="A476" t="s">
        <v>1313</v>
      </c>
      <c r="B476" t="str">
        <f>HYPERLINK("http://service.sap.com/sap/support/notes/0002049908","0002049908")</f>
        <v>0002049908</v>
      </c>
      <c r="C476" t="s">
        <v>1325</v>
      </c>
      <c r="D476" t="s">
        <v>10</v>
      </c>
      <c r="E476" t="s">
        <v>1326</v>
      </c>
      <c r="F476">
        <v>2</v>
      </c>
      <c r="G476" t="s">
        <v>1313</v>
      </c>
      <c r="H476" t="str">
        <f>HYPERLINK("http://service.sap.com/sap/support/notes/0002068394","0002068394")</f>
        <v>0002068394</v>
      </c>
      <c r="I476" t="s">
        <v>1327</v>
      </c>
      <c r="J476">
        <v>1</v>
      </c>
      <c r="K476" t="s">
        <v>13</v>
      </c>
    </row>
    <row r="477" spans="1:11" x14ac:dyDescent="0.25">
      <c r="A477" t="s">
        <v>1328</v>
      </c>
      <c r="B477" t="str">
        <f>HYPERLINK("http://service.sap.com/sap/support/notes/0001979493","0001979493")</f>
        <v>0001979493</v>
      </c>
      <c r="C477" t="s">
        <v>1329</v>
      </c>
      <c r="D477" t="s">
        <v>209</v>
      </c>
      <c r="E477" t="s">
        <v>602</v>
      </c>
      <c r="F477">
        <v>1</v>
      </c>
      <c r="G477" t="s">
        <v>1328</v>
      </c>
      <c r="H477" t="str">
        <f>HYPERLINK("http://service.sap.com/sap/support/notes/0002045855","0002045855")</f>
        <v>0002045855</v>
      </c>
      <c r="I477" t="s">
        <v>1330</v>
      </c>
      <c r="J477">
        <v>3</v>
      </c>
      <c r="K477" t="s">
        <v>13</v>
      </c>
    </row>
    <row r="478" spans="1:11" x14ac:dyDescent="0.25">
      <c r="A478" t="s">
        <v>1331</v>
      </c>
      <c r="B478" t="str">
        <f>HYPERLINK("http://service.sap.com/sap/support/notes/0002054490","0002054490")</f>
        <v>0002054490</v>
      </c>
      <c r="C478" t="s">
        <v>1332</v>
      </c>
      <c r="D478" t="s">
        <v>10</v>
      </c>
      <c r="E478" t="s">
        <v>1326</v>
      </c>
      <c r="F478">
        <v>2</v>
      </c>
      <c r="G478" t="s">
        <v>1331</v>
      </c>
      <c r="H478" t="str">
        <f>HYPERLINK("http://service.sap.com/sap/support/notes/0002077598","0002077598")</f>
        <v>0002077598</v>
      </c>
      <c r="I478" t="s">
        <v>1333</v>
      </c>
      <c r="J478">
        <v>1</v>
      </c>
      <c r="K478" t="s">
        <v>13</v>
      </c>
    </row>
    <row r="479" spans="1:11" x14ac:dyDescent="0.25">
      <c r="A479" t="s">
        <v>690</v>
      </c>
      <c r="B479" t="str">
        <f>HYPERLINK("http://service.sap.com/sap/support/notes/0002018800","0002018800")</f>
        <v>0002018800</v>
      </c>
      <c r="C479" t="s">
        <v>1334</v>
      </c>
      <c r="D479" t="s">
        <v>10</v>
      </c>
      <c r="E479" t="s">
        <v>1309</v>
      </c>
      <c r="F479">
        <v>1</v>
      </c>
      <c r="G479" t="s">
        <v>690</v>
      </c>
      <c r="H479" t="str">
        <f>HYPERLINK("http://service.sap.com/sap/support/notes/0002035189","0002035189")</f>
        <v>0002035189</v>
      </c>
      <c r="I479" t="s">
        <v>1335</v>
      </c>
      <c r="J479">
        <v>1</v>
      </c>
      <c r="K479" t="s">
        <v>13</v>
      </c>
    </row>
    <row r="480" spans="1:11" x14ac:dyDescent="0.25">
      <c r="A480" t="s">
        <v>1336</v>
      </c>
      <c r="B480" t="str">
        <f>HYPERLINK("http://service.sap.com/sap/support/notes/0001985047","0001985047")</f>
        <v>0001985047</v>
      </c>
      <c r="C480" t="s">
        <v>1337</v>
      </c>
      <c r="D480" t="s">
        <v>10</v>
      </c>
      <c r="E480" t="s">
        <v>547</v>
      </c>
      <c r="F480">
        <v>2</v>
      </c>
      <c r="G480" t="s">
        <v>1336</v>
      </c>
      <c r="H480" t="str">
        <f>HYPERLINK("http://service.sap.com/sap/support/notes/0002062010","0002062010")</f>
        <v>0002062010</v>
      </c>
      <c r="I480" t="s">
        <v>1338</v>
      </c>
      <c r="J480">
        <v>1</v>
      </c>
      <c r="K480" t="s">
        <v>13</v>
      </c>
    </row>
    <row r="481" spans="1:11" x14ac:dyDescent="0.25">
      <c r="A481" t="s">
        <v>1339</v>
      </c>
      <c r="B481" t="str">
        <f>HYPERLINK("http://service.sap.com/sap/support/notes/0001991294","0001991294")</f>
        <v>0001991294</v>
      </c>
      <c r="C481" t="s">
        <v>1340</v>
      </c>
      <c r="D481" t="s">
        <v>10</v>
      </c>
      <c r="E481" t="s">
        <v>1115</v>
      </c>
      <c r="F481">
        <v>1</v>
      </c>
      <c r="G481" t="s">
        <v>1339</v>
      </c>
      <c r="H481" t="str">
        <f>HYPERLINK("http://service.sap.com/sap/support/notes/0001887072","0001887072")</f>
        <v>0001887072</v>
      </c>
      <c r="I481" t="s">
        <v>1341</v>
      </c>
      <c r="J481">
        <v>1</v>
      </c>
      <c r="K481" t="s">
        <v>13</v>
      </c>
    </row>
    <row r="482" spans="1:11" x14ac:dyDescent="0.25">
      <c r="A482" t="s">
        <v>1342</v>
      </c>
      <c r="B482" t="str">
        <f>HYPERLINK("http://service.sap.com/sap/support/notes/0001949432","0001949432")</f>
        <v>0001949432</v>
      </c>
      <c r="C482" t="s">
        <v>1343</v>
      </c>
      <c r="D482" t="s">
        <v>10</v>
      </c>
      <c r="E482" t="s">
        <v>1115</v>
      </c>
      <c r="F482">
        <v>1</v>
      </c>
      <c r="G482" t="s">
        <v>1339</v>
      </c>
      <c r="H482" t="str">
        <f>HYPERLINK("http://service.sap.com/sap/support/notes/0001735147","0001735147")</f>
        <v>0001735147</v>
      </c>
      <c r="I482" t="s">
        <v>1344</v>
      </c>
      <c r="J482">
        <v>1</v>
      </c>
      <c r="K482" t="s">
        <v>35</v>
      </c>
    </row>
    <row r="483" spans="1:11" x14ac:dyDescent="0.25">
      <c r="A483" t="s">
        <v>1345</v>
      </c>
      <c r="B483" t="str">
        <f>HYPERLINK("http://service.sap.com/sap/support/notes/0001983370","0001983370")</f>
        <v>0001983370</v>
      </c>
      <c r="C483" t="s">
        <v>1346</v>
      </c>
      <c r="D483" t="s">
        <v>10</v>
      </c>
      <c r="E483" t="s">
        <v>547</v>
      </c>
      <c r="F483">
        <v>1</v>
      </c>
      <c r="G483" t="s">
        <v>1345</v>
      </c>
      <c r="H483" t="str">
        <f>HYPERLINK("http://service.sap.com/sap/support/notes/0002029000","0002029000")</f>
        <v>0002029000</v>
      </c>
      <c r="I483" t="s">
        <v>1347</v>
      </c>
      <c r="J483">
        <v>2</v>
      </c>
      <c r="K483" t="s">
        <v>13</v>
      </c>
    </row>
    <row r="484" spans="1:11" x14ac:dyDescent="0.25">
      <c r="A484" t="s">
        <v>1348</v>
      </c>
      <c r="B484" t="str">
        <f>HYPERLINK("http://service.sap.com/sap/support/notes/0001982496","0001982496")</f>
        <v>0001982496</v>
      </c>
      <c r="C484" t="s">
        <v>1349</v>
      </c>
      <c r="D484" t="s">
        <v>10</v>
      </c>
      <c r="E484" t="s">
        <v>1115</v>
      </c>
      <c r="F484">
        <v>3</v>
      </c>
      <c r="G484" t="s">
        <v>1348</v>
      </c>
      <c r="H484" t="str">
        <f>HYPERLINK("http://service.sap.com/sap/support/notes/0001794453","0001794453")</f>
        <v>0001794453</v>
      </c>
      <c r="I484" t="s">
        <v>1350</v>
      </c>
      <c r="J484">
        <v>1</v>
      </c>
      <c r="K484" t="s">
        <v>35</v>
      </c>
    </row>
    <row r="485" spans="1:11" x14ac:dyDescent="0.25">
      <c r="A485" t="s">
        <v>1348</v>
      </c>
      <c r="B485" t="str">
        <f>HYPERLINK("http://service.sap.com/sap/support/notes/0001982496","0001982496")</f>
        <v>0001982496</v>
      </c>
      <c r="C485" t="s">
        <v>1349</v>
      </c>
      <c r="D485" t="s">
        <v>10</v>
      </c>
      <c r="E485" t="s">
        <v>1115</v>
      </c>
      <c r="F485">
        <v>3</v>
      </c>
      <c r="G485" t="s">
        <v>1348</v>
      </c>
      <c r="H485" t="str">
        <f>HYPERLINK("http://service.sap.com/sap/support/notes/0002013054","0002013054")</f>
        <v>0002013054</v>
      </c>
      <c r="I485" t="s">
        <v>1349</v>
      </c>
      <c r="J485">
        <v>1</v>
      </c>
      <c r="K485" t="s">
        <v>13</v>
      </c>
    </row>
    <row r="486" spans="1:11" x14ac:dyDescent="0.25">
      <c r="A486" t="s">
        <v>1351</v>
      </c>
      <c r="B486" t="str">
        <f>HYPERLINK("http://service.sap.com/sap/support/notes/0001961962","0001961962")</f>
        <v>0001961962</v>
      </c>
      <c r="C486" t="s">
        <v>1352</v>
      </c>
      <c r="D486" t="s">
        <v>564</v>
      </c>
      <c r="E486" t="s">
        <v>727</v>
      </c>
      <c r="F486">
        <v>3</v>
      </c>
      <c r="G486" t="s">
        <v>1351</v>
      </c>
      <c r="H486" t="str">
        <f>HYPERLINK("http://service.sap.com/sap/support/notes/0002048615","0002048615")</f>
        <v>0002048615</v>
      </c>
      <c r="I486" t="s">
        <v>1353</v>
      </c>
      <c r="J486">
        <v>1</v>
      </c>
      <c r="K486" t="s">
        <v>13</v>
      </c>
    </row>
    <row r="487" spans="1:11" x14ac:dyDescent="0.25">
      <c r="A487" t="s">
        <v>1351</v>
      </c>
      <c r="B487" t="str">
        <f>HYPERLINK("http://service.sap.com/sap/support/notes/0002025329","0002025329")</f>
        <v>0002025329</v>
      </c>
      <c r="C487" t="s">
        <v>1354</v>
      </c>
      <c r="D487" t="s">
        <v>10</v>
      </c>
      <c r="E487" t="s">
        <v>1355</v>
      </c>
      <c r="F487">
        <v>2</v>
      </c>
      <c r="G487" t="s">
        <v>1351</v>
      </c>
      <c r="H487" t="str">
        <f>HYPERLINK("http://service.sap.com/sap/support/notes/0002054976","0002054976")</f>
        <v>0002054976</v>
      </c>
      <c r="I487" t="s">
        <v>1356</v>
      </c>
      <c r="J487">
        <v>1</v>
      </c>
      <c r="K487" t="s">
        <v>13</v>
      </c>
    </row>
    <row r="488" spans="1:11" x14ac:dyDescent="0.25">
      <c r="A488" t="s">
        <v>1357</v>
      </c>
      <c r="B488" t="str">
        <f>HYPERLINK("http://service.sap.com/sap/support/notes/0001857406","0001857406")</f>
        <v>0001857406</v>
      </c>
      <c r="C488" t="s">
        <v>1358</v>
      </c>
      <c r="D488" t="s">
        <v>10</v>
      </c>
      <c r="E488" t="s">
        <v>1359</v>
      </c>
      <c r="F488">
        <v>4</v>
      </c>
      <c r="G488" t="s">
        <v>1357</v>
      </c>
      <c r="H488" t="str">
        <f>HYPERLINK("http://service.sap.com/sap/support/notes/0001877987","0001877987")</f>
        <v>0001877987</v>
      </c>
      <c r="I488" t="s">
        <v>1360</v>
      </c>
      <c r="J488">
        <v>1</v>
      </c>
      <c r="K488" t="s">
        <v>47</v>
      </c>
    </row>
    <row r="489" spans="1:11" x14ac:dyDescent="0.25">
      <c r="A489" t="s">
        <v>1357</v>
      </c>
      <c r="B489" t="str">
        <f>HYPERLINK("http://service.sap.com/sap/support/notes/0001857406","0001857406")</f>
        <v>0001857406</v>
      </c>
      <c r="C489" t="s">
        <v>1358</v>
      </c>
      <c r="D489" t="s">
        <v>10</v>
      </c>
      <c r="E489" t="s">
        <v>1359</v>
      </c>
      <c r="F489">
        <v>4</v>
      </c>
      <c r="G489" t="s">
        <v>1357</v>
      </c>
      <c r="H489" t="str">
        <f>HYPERLINK("http://service.sap.com/sap/support/notes/0001877372","0001877372")</f>
        <v>0001877372</v>
      </c>
      <c r="I489" t="s">
        <v>1361</v>
      </c>
      <c r="J489">
        <v>1</v>
      </c>
      <c r="K489" t="s">
        <v>13</v>
      </c>
    </row>
    <row r="490" spans="1:11" x14ac:dyDescent="0.25">
      <c r="A490" t="s">
        <v>1357</v>
      </c>
      <c r="B490" t="str">
        <f>HYPERLINK("http://service.sap.com/sap/support/notes/0001993510","0001993510")</f>
        <v>0001993510</v>
      </c>
      <c r="C490" t="s">
        <v>1362</v>
      </c>
      <c r="D490" t="s">
        <v>10</v>
      </c>
      <c r="E490" t="s">
        <v>739</v>
      </c>
      <c r="F490">
        <v>1</v>
      </c>
      <c r="G490" t="s">
        <v>1363</v>
      </c>
      <c r="H490" t="str">
        <f>HYPERLINK("http://service.sap.com/sap/support/notes/0002030221","0002030221")</f>
        <v>0002030221</v>
      </c>
      <c r="I490" t="s">
        <v>1364</v>
      </c>
      <c r="J490">
        <v>1</v>
      </c>
      <c r="K490" t="s">
        <v>13</v>
      </c>
    </row>
    <row r="491" spans="1:11" x14ac:dyDescent="0.25">
      <c r="A491" t="s">
        <v>1357</v>
      </c>
      <c r="B491" t="str">
        <f>HYPERLINK("http://service.sap.com/sap/support/notes/0001993510","0001993510")</f>
        <v>0001993510</v>
      </c>
      <c r="C491" t="s">
        <v>1362</v>
      </c>
      <c r="D491" t="s">
        <v>10</v>
      </c>
      <c r="E491" t="s">
        <v>1359</v>
      </c>
      <c r="F491">
        <v>1</v>
      </c>
      <c r="G491" t="s">
        <v>1363</v>
      </c>
      <c r="H491" t="str">
        <f>HYPERLINK("http://service.sap.com/sap/support/notes/0002030221","0002030221")</f>
        <v>0002030221</v>
      </c>
      <c r="I491" t="s">
        <v>1364</v>
      </c>
      <c r="J491">
        <v>1</v>
      </c>
      <c r="K491" t="s">
        <v>13</v>
      </c>
    </row>
    <row r="492" spans="1:11" x14ac:dyDescent="0.25">
      <c r="A492" t="s">
        <v>1357</v>
      </c>
      <c r="B492" t="str">
        <f>HYPERLINK("http://service.sap.com/sap/support/notes/0002005032","0002005032")</f>
        <v>0002005032</v>
      </c>
      <c r="C492" t="s">
        <v>1365</v>
      </c>
      <c r="D492" t="s">
        <v>10</v>
      </c>
      <c r="E492" t="s">
        <v>1115</v>
      </c>
      <c r="F492">
        <v>1</v>
      </c>
      <c r="G492" t="s">
        <v>1357</v>
      </c>
      <c r="H492" t="str">
        <f>HYPERLINK("http://service.sap.com/sap/support/notes/0002023290","0002023290")</f>
        <v>0002023290</v>
      </c>
      <c r="I492" t="s">
        <v>1366</v>
      </c>
      <c r="J492">
        <v>1</v>
      </c>
      <c r="K492" t="s">
        <v>13</v>
      </c>
    </row>
    <row r="493" spans="1:11" x14ac:dyDescent="0.25">
      <c r="A493" t="s">
        <v>1357</v>
      </c>
      <c r="B493" t="str">
        <f>HYPERLINK("http://service.sap.com/sap/support/notes/0002027916","0002027916")</f>
        <v>0002027916</v>
      </c>
      <c r="C493" t="s">
        <v>1367</v>
      </c>
      <c r="D493" t="s">
        <v>10</v>
      </c>
      <c r="E493" t="s">
        <v>1124</v>
      </c>
      <c r="F493">
        <v>1</v>
      </c>
      <c r="G493" t="s">
        <v>1357</v>
      </c>
      <c r="H493" t="str">
        <f>HYPERLINK("http://service.sap.com/sap/support/notes/0002031291","0002031291")</f>
        <v>0002031291</v>
      </c>
      <c r="I493" t="s">
        <v>1368</v>
      </c>
      <c r="J493">
        <v>1</v>
      </c>
      <c r="K493" t="s">
        <v>13</v>
      </c>
    </row>
    <row r="494" spans="1:11" x14ac:dyDescent="0.25">
      <c r="A494" t="s">
        <v>1363</v>
      </c>
      <c r="B494" t="str">
        <f>HYPERLINK("http://service.sap.com/sap/support/notes/0002021775","0002021775")</f>
        <v>0002021775</v>
      </c>
      <c r="C494" t="s">
        <v>1369</v>
      </c>
      <c r="D494" t="s">
        <v>10</v>
      </c>
      <c r="E494" t="s">
        <v>720</v>
      </c>
      <c r="F494">
        <v>2</v>
      </c>
      <c r="G494" t="s">
        <v>1363</v>
      </c>
      <c r="H494" t="str">
        <f>HYPERLINK("http://service.sap.com/sap/support/notes/0002035434","0002035434")</f>
        <v>0002035434</v>
      </c>
      <c r="I494" t="s">
        <v>1370</v>
      </c>
      <c r="J494">
        <v>1</v>
      </c>
      <c r="K494" t="s">
        <v>13</v>
      </c>
    </row>
    <row r="495" spans="1:11" x14ac:dyDescent="0.25">
      <c r="A495" t="s">
        <v>1371</v>
      </c>
      <c r="B495" t="str">
        <f>HYPERLINK("http://service.sap.com/sap/support/notes/0001907626","0001907626")</f>
        <v>0001907626</v>
      </c>
      <c r="C495" t="s">
        <v>1372</v>
      </c>
      <c r="D495" t="s">
        <v>10</v>
      </c>
      <c r="E495" t="s">
        <v>1373</v>
      </c>
      <c r="F495">
        <v>5</v>
      </c>
      <c r="G495" t="s">
        <v>1374</v>
      </c>
      <c r="H495" t="str">
        <f>HYPERLINK("http://service.sap.com/sap/support/notes/0002080513","0002080513")</f>
        <v>0002080513</v>
      </c>
      <c r="I495" t="s">
        <v>1375</v>
      </c>
      <c r="J495">
        <v>1</v>
      </c>
      <c r="K495" t="s">
        <v>35</v>
      </c>
    </row>
    <row r="496" spans="1:11" x14ac:dyDescent="0.25">
      <c r="A496" t="s">
        <v>1371</v>
      </c>
      <c r="B496" t="str">
        <f>HYPERLINK("http://service.sap.com/sap/support/notes/0001943398","0001943398")</f>
        <v>0001943398</v>
      </c>
      <c r="C496" t="s">
        <v>1376</v>
      </c>
      <c r="D496" t="s">
        <v>10</v>
      </c>
      <c r="E496" t="s">
        <v>1377</v>
      </c>
      <c r="F496">
        <v>1</v>
      </c>
      <c r="G496" t="s">
        <v>1371</v>
      </c>
      <c r="H496" t="str">
        <f>HYPERLINK("http://service.sap.com/sap/support/notes/0001991469","0001991469")</f>
        <v>0001991469</v>
      </c>
      <c r="I496" t="s">
        <v>1378</v>
      </c>
      <c r="J496">
        <v>1</v>
      </c>
      <c r="K496" t="s">
        <v>13</v>
      </c>
    </row>
    <row r="497" spans="1:11" x14ac:dyDescent="0.25">
      <c r="A497" t="s">
        <v>1371</v>
      </c>
      <c r="B497" t="str">
        <f>HYPERLINK("http://service.sap.com/sap/support/notes/0001994635","0001994635")</f>
        <v>0001994635</v>
      </c>
      <c r="C497" t="s">
        <v>1379</v>
      </c>
      <c r="D497" t="s">
        <v>10</v>
      </c>
      <c r="E497" t="s">
        <v>739</v>
      </c>
      <c r="F497">
        <v>1</v>
      </c>
      <c r="G497" t="s">
        <v>1371</v>
      </c>
      <c r="H497" t="str">
        <f>HYPERLINK("http://service.sap.com/sap/support/notes/0002066257","0002066257")</f>
        <v>0002066257</v>
      </c>
      <c r="I497" t="s">
        <v>1380</v>
      </c>
      <c r="J497">
        <v>1</v>
      </c>
      <c r="K497" t="s">
        <v>13</v>
      </c>
    </row>
    <row r="498" spans="1:11" x14ac:dyDescent="0.25">
      <c r="A498" t="s">
        <v>1371</v>
      </c>
      <c r="B498" t="str">
        <f>HYPERLINK("http://service.sap.com/sap/support/notes/0002022750","0002022750")</f>
        <v>0002022750</v>
      </c>
      <c r="C498" t="s">
        <v>1381</v>
      </c>
      <c r="D498" t="s">
        <v>10</v>
      </c>
      <c r="E498" t="s">
        <v>1124</v>
      </c>
      <c r="F498">
        <v>1</v>
      </c>
      <c r="G498" t="s">
        <v>1371</v>
      </c>
      <c r="H498" t="str">
        <f>HYPERLINK("http://service.sap.com/sap/support/notes/0002066257","0002066257")</f>
        <v>0002066257</v>
      </c>
      <c r="I498" t="s">
        <v>1380</v>
      </c>
      <c r="J498">
        <v>1</v>
      </c>
      <c r="K498" t="s">
        <v>13</v>
      </c>
    </row>
    <row r="499" spans="1:11" x14ac:dyDescent="0.25">
      <c r="A499" t="s">
        <v>1371</v>
      </c>
      <c r="B499" t="str">
        <f>HYPERLINK("http://service.sap.com/sap/support/notes/0002052695","0002052695")</f>
        <v>0002052695</v>
      </c>
      <c r="C499" t="s">
        <v>1382</v>
      </c>
      <c r="D499" t="s">
        <v>10</v>
      </c>
      <c r="E499" t="s">
        <v>1373</v>
      </c>
      <c r="F499">
        <v>4</v>
      </c>
      <c r="G499" t="s">
        <v>1371</v>
      </c>
      <c r="H499" t="str">
        <f>HYPERLINK("http://service.sap.com/sap/support/notes/0002072535","0002072535")</f>
        <v>0002072535</v>
      </c>
      <c r="I499" t="s">
        <v>1382</v>
      </c>
      <c r="J499">
        <v>1</v>
      </c>
      <c r="K499" t="s">
        <v>13</v>
      </c>
    </row>
    <row r="500" spans="1:11" x14ac:dyDescent="0.25">
      <c r="A500" t="s">
        <v>1383</v>
      </c>
      <c r="B500" t="str">
        <f>HYPERLINK("http://service.sap.com/sap/support/notes/0001943419","0001943419")</f>
        <v>0001943419</v>
      </c>
      <c r="C500" t="s">
        <v>1384</v>
      </c>
      <c r="D500" t="s">
        <v>10</v>
      </c>
      <c r="E500" t="s">
        <v>1377</v>
      </c>
      <c r="F500">
        <v>7</v>
      </c>
      <c r="G500" t="s">
        <v>1383</v>
      </c>
      <c r="H500" t="str">
        <f>HYPERLINK("http://service.sap.com/sap/support/notes/0001949984","0001949984")</f>
        <v>0001949984</v>
      </c>
      <c r="I500" t="s">
        <v>1385</v>
      </c>
      <c r="J500">
        <v>1</v>
      </c>
      <c r="K500" t="s">
        <v>47</v>
      </c>
    </row>
    <row r="501" spans="1:11" x14ac:dyDescent="0.25">
      <c r="A501" t="s">
        <v>1386</v>
      </c>
      <c r="B501" t="str">
        <f>HYPERLINK("http://service.sap.com/sap/support/notes/0002051128","0002051128")</f>
        <v>0002051128</v>
      </c>
      <c r="C501" t="s">
        <v>1387</v>
      </c>
      <c r="D501" t="s">
        <v>10</v>
      </c>
      <c r="E501" t="s">
        <v>1373</v>
      </c>
      <c r="F501">
        <v>2</v>
      </c>
      <c r="G501" t="s">
        <v>1386</v>
      </c>
      <c r="H501" t="str">
        <f>HYPERLINK("http://service.sap.com/sap/support/notes/0002076024","0002076024")</f>
        <v>0002076024</v>
      </c>
      <c r="I501" t="s">
        <v>1388</v>
      </c>
      <c r="J501">
        <v>1</v>
      </c>
      <c r="K501" t="s">
        <v>13</v>
      </c>
    </row>
    <row r="502" spans="1:11" x14ac:dyDescent="0.25">
      <c r="A502" t="s">
        <v>1389</v>
      </c>
      <c r="B502" t="str">
        <f>HYPERLINK("http://service.sap.com/sap/support/notes/0001976973","0001976973")</f>
        <v>0001976973</v>
      </c>
      <c r="C502" t="s">
        <v>1390</v>
      </c>
      <c r="D502" t="s">
        <v>10</v>
      </c>
      <c r="E502" t="s">
        <v>1359</v>
      </c>
      <c r="F502">
        <v>3</v>
      </c>
      <c r="G502" t="s">
        <v>1389</v>
      </c>
      <c r="H502" t="str">
        <f>HYPERLINK("http://service.sap.com/sap/support/notes/0001925542","0001925542")</f>
        <v>0001925542</v>
      </c>
      <c r="I502" t="s">
        <v>1391</v>
      </c>
      <c r="J502">
        <v>1</v>
      </c>
      <c r="K502" t="s">
        <v>13</v>
      </c>
    </row>
    <row r="503" spans="1:11" x14ac:dyDescent="0.25">
      <c r="A503" t="s">
        <v>1389</v>
      </c>
      <c r="B503" t="str">
        <f>HYPERLINK("http://service.sap.com/sap/support/notes/0002055847","0002055847")</f>
        <v>0002055847</v>
      </c>
      <c r="C503" t="s">
        <v>1392</v>
      </c>
      <c r="D503" t="s">
        <v>10</v>
      </c>
      <c r="E503" t="s">
        <v>1373</v>
      </c>
      <c r="F503">
        <v>1</v>
      </c>
      <c r="G503" t="s">
        <v>1389</v>
      </c>
      <c r="H503" t="str">
        <f>HYPERLINK("http://service.sap.com/sap/support/notes/0002080375","0002080375")</f>
        <v>0002080375</v>
      </c>
      <c r="I503" t="s">
        <v>1393</v>
      </c>
      <c r="J503">
        <v>1</v>
      </c>
      <c r="K503" t="s">
        <v>47</v>
      </c>
    </row>
    <row r="504" spans="1:11" x14ac:dyDescent="0.25">
      <c r="A504" t="s">
        <v>1394</v>
      </c>
      <c r="B504" t="str">
        <f>HYPERLINK("http://service.sap.com/sap/support/notes/0001949811","0001949811")</f>
        <v>0001949811</v>
      </c>
      <c r="C504" t="s">
        <v>1395</v>
      </c>
      <c r="D504" t="s">
        <v>10</v>
      </c>
      <c r="E504" t="s">
        <v>727</v>
      </c>
      <c r="F504">
        <v>3</v>
      </c>
      <c r="G504" t="s">
        <v>1394</v>
      </c>
      <c r="H504" t="str">
        <f>HYPERLINK("http://service.sap.com/sap/support/notes/0002026956","0002026956")</f>
        <v>0002026956</v>
      </c>
      <c r="I504" t="s">
        <v>1396</v>
      </c>
      <c r="J504">
        <v>1</v>
      </c>
      <c r="K504" t="s">
        <v>13</v>
      </c>
    </row>
    <row r="505" spans="1:11" x14ac:dyDescent="0.25">
      <c r="A505" t="s">
        <v>1394</v>
      </c>
      <c r="B505" t="str">
        <f>HYPERLINK("http://service.sap.com/sap/support/notes/0002004035","0002004035")</f>
        <v>0002004035</v>
      </c>
      <c r="C505" t="s">
        <v>1397</v>
      </c>
      <c r="D505" t="s">
        <v>10</v>
      </c>
      <c r="E505" t="s">
        <v>1398</v>
      </c>
      <c r="F505">
        <v>6</v>
      </c>
      <c r="G505" t="s">
        <v>1394</v>
      </c>
      <c r="H505" t="str">
        <f>HYPERLINK("http://service.sap.com/sap/support/notes/0002079801","0002079801")</f>
        <v>0002079801</v>
      </c>
      <c r="I505" t="s">
        <v>1399</v>
      </c>
      <c r="J505">
        <v>1</v>
      </c>
      <c r="K505" t="s">
        <v>13</v>
      </c>
    </row>
    <row r="506" spans="1:11" x14ac:dyDescent="0.25">
      <c r="A506" t="s">
        <v>1394</v>
      </c>
      <c r="B506" t="str">
        <f>HYPERLINK("http://service.sap.com/sap/support/notes/0002015960","0002015960")</f>
        <v>0002015960</v>
      </c>
      <c r="C506" t="s">
        <v>1400</v>
      </c>
      <c r="D506" t="s">
        <v>10</v>
      </c>
      <c r="E506" t="s">
        <v>1124</v>
      </c>
      <c r="F506">
        <v>1</v>
      </c>
      <c r="G506" t="s">
        <v>1394</v>
      </c>
      <c r="H506" t="str">
        <f>HYPERLINK("http://service.sap.com/sap/support/notes/0002031978","0002031978")</f>
        <v>0002031978</v>
      </c>
      <c r="I506" t="s">
        <v>1401</v>
      </c>
      <c r="J506">
        <v>1</v>
      </c>
      <c r="K506" t="s">
        <v>13</v>
      </c>
    </row>
    <row r="507" spans="1:11" x14ac:dyDescent="0.25">
      <c r="A507" t="s">
        <v>1394</v>
      </c>
      <c r="B507" t="str">
        <f>HYPERLINK("http://service.sap.com/sap/support/notes/0002058160","0002058160")</f>
        <v>0002058160</v>
      </c>
      <c r="C507" t="s">
        <v>1402</v>
      </c>
      <c r="D507" t="s">
        <v>10</v>
      </c>
      <c r="E507" t="s">
        <v>1403</v>
      </c>
      <c r="F507">
        <v>1</v>
      </c>
      <c r="G507" t="s">
        <v>1394</v>
      </c>
      <c r="H507" t="str">
        <f>HYPERLINK("http://service.sap.com/sap/support/notes/0002076614","0002076614")</f>
        <v>0002076614</v>
      </c>
      <c r="I507" t="s">
        <v>1404</v>
      </c>
      <c r="J507">
        <v>1</v>
      </c>
      <c r="K507" t="s">
        <v>13</v>
      </c>
    </row>
    <row r="508" spans="1:11" x14ac:dyDescent="0.25">
      <c r="A508" t="s">
        <v>1405</v>
      </c>
      <c r="B508" t="str">
        <f>HYPERLINK("http://service.sap.com/sap/support/notes/0001976078","0001976078")</f>
        <v>0001976078</v>
      </c>
      <c r="C508" t="s">
        <v>1406</v>
      </c>
      <c r="D508" t="s">
        <v>10</v>
      </c>
      <c r="E508" t="s">
        <v>727</v>
      </c>
      <c r="F508">
        <v>1</v>
      </c>
      <c r="G508" t="s">
        <v>1405</v>
      </c>
      <c r="H508" t="str">
        <f>HYPERLINK("http://service.sap.com/sap/support/notes/0002062330","0002062330")</f>
        <v>0002062330</v>
      </c>
      <c r="I508" t="s">
        <v>1407</v>
      </c>
      <c r="J508">
        <v>1</v>
      </c>
      <c r="K508" t="s">
        <v>13</v>
      </c>
    </row>
    <row r="509" spans="1:11" x14ac:dyDescent="0.25">
      <c r="A509" t="s">
        <v>1405</v>
      </c>
      <c r="B509" t="str">
        <f>HYPERLINK("http://service.sap.com/sap/support/notes/0002016161","0002016161")</f>
        <v>0002016161</v>
      </c>
      <c r="C509" t="s">
        <v>1408</v>
      </c>
      <c r="D509" t="s">
        <v>10</v>
      </c>
      <c r="E509" t="s">
        <v>1147</v>
      </c>
      <c r="F509">
        <v>1</v>
      </c>
      <c r="G509" t="s">
        <v>1405</v>
      </c>
      <c r="H509" t="str">
        <f>HYPERLINK("http://service.sap.com/sap/support/notes/0002069171","0002069171")</f>
        <v>0002069171</v>
      </c>
      <c r="I509" t="s">
        <v>1409</v>
      </c>
      <c r="J509">
        <v>1</v>
      </c>
      <c r="K509" t="s">
        <v>13</v>
      </c>
    </row>
    <row r="510" spans="1:11" x14ac:dyDescent="0.25">
      <c r="A510" t="s">
        <v>1405</v>
      </c>
      <c r="B510" t="str">
        <f>HYPERLINK("http://service.sap.com/sap/support/notes/0002020459","0002020459")</f>
        <v>0002020459</v>
      </c>
      <c r="C510" t="s">
        <v>1410</v>
      </c>
      <c r="D510" t="s">
        <v>10</v>
      </c>
      <c r="E510" t="s">
        <v>1403</v>
      </c>
      <c r="F510">
        <v>4</v>
      </c>
      <c r="G510" t="s">
        <v>1405</v>
      </c>
      <c r="H510" t="str">
        <f>HYPERLINK("http://service.sap.com/sap/support/notes/0002074552","0002074552")</f>
        <v>0002074552</v>
      </c>
      <c r="I510" t="s">
        <v>1411</v>
      </c>
      <c r="J510">
        <v>1</v>
      </c>
      <c r="K510" t="s">
        <v>13</v>
      </c>
    </row>
    <row r="511" spans="1:11" x14ac:dyDescent="0.25">
      <c r="A511" t="s">
        <v>1412</v>
      </c>
      <c r="B511" t="str">
        <f>HYPERLINK("http://service.sap.com/sap/support/notes/0001967450","0001967450")</f>
        <v>0001967450</v>
      </c>
      <c r="C511" t="s">
        <v>1413</v>
      </c>
      <c r="D511" t="s">
        <v>10</v>
      </c>
      <c r="E511" t="s">
        <v>727</v>
      </c>
      <c r="F511">
        <v>8</v>
      </c>
      <c r="G511" t="s">
        <v>1412</v>
      </c>
      <c r="H511" t="str">
        <f>HYPERLINK("http://service.sap.com/sap/support/notes/0002064749","0002064749")</f>
        <v>0002064749</v>
      </c>
      <c r="I511" t="s">
        <v>1414</v>
      </c>
      <c r="J511">
        <v>1</v>
      </c>
      <c r="K511" t="s">
        <v>13</v>
      </c>
    </row>
    <row r="512" spans="1:11" x14ac:dyDescent="0.25">
      <c r="A512" t="s">
        <v>1415</v>
      </c>
      <c r="B512" t="str">
        <f>HYPERLINK("http://service.sap.com/sap/support/notes/0001960792","0001960792")</f>
        <v>0001960792</v>
      </c>
      <c r="C512" t="s">
        <v>1416</v>
      </c>
      <c r="D512" t="s">
        <v>10</v>
      </c>
      <c r="E512" t="s">
        <v>1359</v>
      </c>
      <c r="F512">
        <v>5</v>
      </c>
      <c r="G512" t="s">
        <v>1415</v>
      </c>
      <c r="H512" t="str">
        <f>HYPERLINK("http://service.sap.com/sap/support/notes/0002077238","0002077238")</f>
        <v>0002077238</v>
      </c>
      <c r="I512" t="s">
        <v>1417</v>
      </c>
      <c r="J512">
        <v>1</v>
      </c>
      <c r="K512" t="s">
        <v>13</v>
      </c>
    </row>
    <row r="513" spans="1:11" x14ac:dyDescent="0.25">
      <c r="A513" t="s">
        <v>1415</v>
      </c>
      <c r="B513" t="str">
        <f>HYPERLINK("http://service.sap.com/sap/support/notes/0001967762","0001967762")</f>
        <v>0001967762</v>
      </c>
      <c r="C513" t="s">
        <v>1418</v>
      </c>
      <c r="D513" t="s">
        <v>10</v>
      </c>
      <c r="E513" t="s">
        <v>727</v>
      </c>
      <c r="F513">
        <v>8</v>
      </c>
      <c r="G513" t="s">
        <v>1415</v>
      </c>
      <c r="H513" t="str">
        <f>HYPERLINK("http://service.sap.com/sap/support/notes/0002018964","0002018964")</f>
        <v>0002018964</v>
      </c>
      <c r="I513" t="s">
        <v>1419</v>
      </c>
      <c r="J513">
        <v>1</v>
      </c>
      <c r="K513" t="s">
        <v>13</v>
      </c>
    </row>
    <row r="514" spans="1:11" x14ac:dyDescent="0.25">
      <c r="A514" t="s">
        <v>1415</v>
      </c>
      <c r="B514" t="str">
        <f>HYPERLINK("http://service.sap.com/sap/support/notes/0002010639","0002010639")</f>
        <v>0002010639</v>
      </c>
      <c r="C514" t="s">
        <v>1420</v>
      </c>
      <c r="D514" t="s">
        <v>10</v>
      </c>
      <c r="E514" t="s">
        <v>1398</v>
      </c>
      <c r="F514">
        <v>3</v>
      </c>
      <c r="G514" t="s">
        <v>1415</v>
      </c>
      <c r="H514" t="str">
        <f>HYPERLINK("http://service.sap.com/sap/support/notes/0002071742","0002071742")</f>
        <v>0002071742</v>
      </c>
      <c r="I514" t="s">
        <v>1421</v>
      </c>
      <c r="J514">
        <v>1</v>
      </c>
      <c r="K514" t="s">
        <v>13</v>
      </c>
    </row>
    <row r="515" spans="1:11" x14ac:dyDescent="0.25">
      <c r="A515" t="s">
        <v>1422</v>
      </c>
      <c r="B515" t="str">
        <f>HYPERLINK("http://service.sap.com/sap/support/notes/0001962904","0001962904")</f>
        <v>0001962904</v>
      </c>
      <c r="C515" t="s">
        <v>1423</v>
      </c>
      <c r="D515" t="s">
        <v>10</v>
      </c>
      <c r="E515" t="s">
        <v>1359</v>
      </c>
      <c r="F515">
        <v>8</v>
      </c>
      <c r="G515" t="s">
        <v>1424</v>
      </c>
      <c r="H515" t="str">
        <f>HYPERLINK("http://service.sap.com/sap/support/notes/0002040987","0002040987")</f>
        <v>0002040987</v>
      </c>
      <c r="I515" t="s">
        <v>1425</v>
      </c>
      <c r="J515">
        <v>1</v>
      </c>
      <c r="K515" t="s">
        <v>13</v>
      </c>
    </row>
    <row r="516" spans="1:11" x14ac:dyDescent="0.25">
      <c r="A516" t="s">
        <v>1426</v>
      </c>
      <c r="B516" t="str">
        <f>HYPERLINK("http://service.sap.com/sap/support/notes/0002009003","0002009003")</f>
        <v>0002009003</v>
      </c>
      <c r="C516" t="s">
        <v>1427</v>
      </c>
      <c r="D516" t="s">
        <v>10</v>
      </c>
      <c r="E516" t="s">
        <v>720</v>
      </c>
      <c r="F516">
        <v>1</v>
      </c>
      <c r="G516" t="s">
        <v>1426</v>
      </c>
      <c r="H516" t="str">
        <f>HYPERLINK("http://service.sap.com/sap/support/notes/0002054407","0002054407")</f>
        <v>0002054407</v>
      </c>
      <c r="I516" t="s">
        <v>1428</v>
      </c>
      <c r="J516">
        <v>1</v>
      </c>
      <c r="K516" t="s">
        <v>13</v>
      </c>
    </row>
    <row r="517" spans="1:11" x14ac:dyDescent="0.25">
      <c r="A517" t="s">
        <v>1429</v>
      </c>
      <c r="B517" t="str">
        <f>HYPERLINK("http://service.sap.com/sap/support/notes/0001959345","0001959345")</f>
        <v>0001959345</v>
      </c>
      <c r="C517" t="s">
        <v>1430</v>
      </c>
      <c r="D517" t="s">
        <v>10</v>
      </c>
      <c r="E517" t="s">
        <v>723</v>
      </c>
      <c r="F517">
        <v>6</v>
      </c>
      <c r="G517" t="s">
        <v>1429</v>
      </c>
      <c r="H517" t="str">
        <f>HYPERLINK("http://service.sap.com/sap/support/notes/0001994609","0001994609")</f>
        <v>0001994609</v>
      </c>
      <c r="I517" t="s">
        <v>1431</v>
      </c>
      <c r="J517">
        <v>1</v>
      </c>
      <c r="K517" t="s">
        <v>13</v>
      </c>
    </row>
    <row r="518" spans="1:11" x14ac:dyDescent="0.25">
      <c r="A518" t="s">
        <v>1432</v>
      </c>
      <c r="B518" t="str">
        <f>HYPERLINK("http://service.sap.com/sap/support/notes/0001992447","0001992447")</f>
        <v>0001992447</v>
      </c>
      <c r="C518" t="s">
        <v>1433</v>
      </c>
      <c r="D518" t="s">
        <v>10</v>
      </c>
      <c r="E518" t="s">
        <v>1115</v>
      </c>
      <c r="F518">
        <v>2</v>
      </c>
      <c r="G518" t="s">
        <v>1434</v>
      </c>
      <c r="H518" t="str">
        <f>HYPERLINK("http://service.sap.com/sap/support/notes/0002041367","0002041367")</f>
        <v>0002041367</v>
      </c>
      <c r="I518" t="s">
        <v>1435</v>
      </c>
      <c r="J518">
        <v>1</v>
      </c>
      <c r="K518" t="s">
        <v>13</v>
      </c>
    </row>
    <row r="519" spans="1:11" x14ac:dyDescent="0.25">
      <c r="A519" t="s">
        <v>1436</v>
      </c>
      <c r="B519" t="str">
        <f>HYPERLINK("http://service.sap.com/sap/support/notes/0001958208","0001958208")</f>
        <v>0001958208</v>
      </c>
      <c r="C519" t="s">
        <v>1437</v>
      </c>
      <c r="D519">
        <v>2</v>
      </c>
      <c r="E519" t="s">
        <v>1377</v>
      </c>
      <c r="F519">
        <v>2</v>
      </c>
      <c r="G519" t="s">
        <v>1436</v>
      </c>
      <c r="H519" t="str">
        <f>HYPERLINK("http://service.sap.com/sap/support/notes/0001960559","0001960559")</f>
        <v>0001960559</v>
      </c>
      <c r="I519" t="s">
        <v>1438</v>
      </c>
      <c r="J519">
        <v>4</v>
      </c>
      <c r="K519" t="s">
        <v>13</v>
      </c>
    </row>
    <row r="520" spans="1:11" x14ac:dyDescent="0.25">
      <c r="A520" t="s">
        <v>1436</v>
      </c>
      <c r="B520" t="str">
        <f>HYPERLINK("http://service.sap.com/sap/support/notes/0001960964","0001960964")</f>
        <v>0001960964</v>
      </c>
      <c r="C520" t="s">
        <v>1439</v>
      </c>
      <c r="D520" t="s">
        <v>10</v>
      </c>
      <c r="E520" t="s">
        <v>727</v>
      </c>
      <c r="F520">
        <v>3</v>
      </c>
      <c r="G520" t="s">
        <v>1436</v>
      </c>
      <c r="H520" t="str">
        <f>HYPERLINK("http://service.sap.com/sap/support/notes/0001981789","0001981789")</f>
        <v>0001981789</v>
      </c>
      <c r="I520" t="s">
        <v>1440</v>
      </c>
      <c r="J520">
        <v>2</v>
      </c>
      <c r="K520" t="s">
        <v>13</v>
      </c>
    </row>
    <row r="521" spans="1:11" x14ac:dyDescent="0.25">
      <c r="A521" t="s">
        <v>1436</v>
      </c>
      <c r="B521" t="str">
        <f>HYPERLINK("http://service.sap.com/sap/support/notes/0002028283","0002028283")</f>
        <v>0002028283</v>
      </c>
      <c r="C521" t="s">
        <v>1441</v>
      </c>
      <c r="D521" t="s">
        <v>10</v>
      </c>
      <c r="E521" t="s">
        <v>1403</v>
      </c>
      <c r="F521">
        <v>3</v>
      </c>
      <c r="G521" t="s">
        <v>1436</v>
      </c>
      <c r="H521" t="str">
        <f>HYPERLINK("http://service.sap.com/sap/support/notes/0002073969","0002073969")</f>
        <v>0002073969</v>
      </c>
      <c r="I521" t="s">
        <v>1442</v>
      </c>
      <c r="J521">
        <v>1</v>
      </c>
      <c r="K521" t="s">
        <v>47</v>
      </c>
    </row>
    <row r="522" spans="1:11" x14ac:dyDescent="0.25">
      <c r="A522" t="s">
        <v>1436</v>
      </c>
      <c r="B522" t="str">
        <f>HYPERLINK("http://service.sap.com/sap/support/notes/0002030956","0002030956")</f>
        <v>0002030956</v>
      </c>
      <c r="C522" t="s">
        <v>1443</v>
      </c>
      <c r="D522" t="s">
        <v>10</v>
      </c>
      <c r="E522" t="s">
        <v>1355</v>
      </c>
      <c r="F522">
        <v>7</v>
      </c>
      <c r="G522" t="s">
        <v>1436</v>
      </c>
      <c r="H522" t="str">
        <f>HYPERLINK("http://service.sap.com/sap/support/notes/0001981789","0001981789")</f>
        <v>0001981789</v>
      </c>
      <c r="I522" t="s">
        <v>1440</v>
      </c>
      <c r="J522">
        <v>3</v>
      </c>
      <c r="K522" t="s">
        <v>13</v>
      </c>
    </row>
    <row r="523" spans="1:11" x14ac:dyDescent="0.25">
      <c r="A523" t="s">
        <v>1444</v>
      </c>
      <c r="B523" t="str">
        <f>HYPERLINK("http://service.sap.com/sap/support/notes/0001995367","0001995367")</f>
        <v>0001995367</v>
      </c>
      <c r="C523" t="s">
        <v>1445</v>
      </c>
      <c r="D523" t="s">
        <v>10</v>
      </c>
      <c r="E523" t="s">
        <v>1147</v>
      </c>
      <c r="F523">
        <v>7</v>
      </c>
      <c r="G523" t="s">
        <v>1444</v>
      </c>
      <c r="H523" t="str">
        <f>HYPERLINK("http://service.sap.com/sap/support/notes/0002041499","0002041499")</f>
        <v>0002041499</v>
      </c>
      <c r="I523" t="s">
        <v>1446</v>
      </c>
      <c r="J523">
        <v>1</v>
      </c>
      <c r="K523" t="s">
        <v>47</v>
      </c>
    </row>
    <row r="524" spans="1:11" x14ac:dyDescent="0.25">
      <c r="A524" t="s">
        <v>1447</v>
      </c>
      <c r="B524" t="str">
        <f>HYPERLINK("http://service.sap.com/sap/support/notes/0001897013","0001897013")</f>
        <v>0001897013</v>
      </c>
      <c r="C524" t="s">
        <v>1448</v>
      </c>
      <c r="D524" t="s">
        <v>10</v>
      </c>
      <c r="E524" t="s">
        <v>723</v>
      </c>
      <c r="F524">
        <v>2</v>
      </c>
      <c r="G524" t="s">
        <v>1447</v>
      </c>
      <c r="H524" t="str">
        <f>HYPERLINK("http://service.sap.com/sap/support/notes/0001929857","0001929857")</f>
        <v>0001929857</v>
      </c>
      <c r="I524" t="s">
        <v>1449</v>
      </c>
      <c r="J524">
        <v>1</v>
      </c>
      <c r="K524" t="s">
        <v>13</v>
      </c>
    </row>
    <row r="525" spans="1:11" x14ac:dyDescent="0.25">
      <c r="A525" t="s">
        <v>1450</v>
      </c>
      <c r="B525" t="str">
        <f>HYPERLINK("http://service.sap.com/sap/support/notes/0001829561","0001829561")</f>
        <v>0001829561</v>
      </c>
      <c r="C525" t="s">
        <v>1451</v>
      </c>
      <c r="D525" t="s">
        <v>10</v>
      </c>
      <c r="E525" t="s">
        <v>1205</v>
      </c>
      <c r="F525">
        <v>10</v>
      </c>
      <c r="G525" t="s">
        <v>1149</v>
      </c>
      <c r="H525" t="str">
        <f>HYPERLINK("http://service.sap.com/sap/support/notes/0001840797","0001840797")</f>
        <v>0001840797</v>
      </c>
      <c r="I525" t="s">
        <v>1452</v>
      </c>
      <c r="J525">
        <v>1</v>
      </c>
      <c r="K525" t="s">
        <v>13</v>
      </c>
    </row>
    <row r="526" spans="1:11" x14ac:dyDescent="0.25">
      <c r="A526" t="s">
        <v>1450</v>
      </c>
      <c r="B526" t="str">
        <f>HYPERLINK("http://service.sap.com/sap/support/notes/0001829561","0001829561")</f>
        <v>0001829561</v>
      </c>
      <c r="C526" t="s">
        <v>1451</v>
      </c>
      <c r="D526" t="s">
        <v>10</v>
      </c>
      <c r="E526" t="s">
        <v>1205</v>
      </c>
      <c r="F526">
        <v>10</v>
      </c>
      <c r="G526" t="s">
        <v>1450</v>
      </c>
      <c r="H526" t="str">
        <f>HYPERLINK("http://service.sap.com/sap/support/notes/0001847580","0001847580")</f>
        <v>0001847580</v>
      </c>
      <c r="I526" t="s">
        <v>1453</v>
      </c>
      <c r="J526">
        <v>1</v>
      </c>
      <c r="K526" t="s">
        <v>47</v>
      </c>
    </row>
    <row r="527" spans="1:11" x14ac:dyDescent="0.25">
      <c r="A527" t="s">
        <v>1450</v>
      </c>
      <c r="B527" t="str">
        <f>HYPERLINK("http://service.sap.com/sap/support/notes/0001979458","0001979458")</f>
        <v>0001979458</v>
      </c>
      <c r="C527" t="s">
        <v>1454</v>
      </c>
      <c r="D527" t="s">
        <v>10</v>
      </c>
      <c r="E527" t="s">
        <v>728</v>
      </c>
      <c r="F527">
        <v>4</v>
      </c>
      <c r="G527" t="s">
        <v>1450</v>
      </c>
      <c r="H527" t="str">
        <f>HYPERLINK("http://service.sap.com/sap/support/notes/0001994459","0001994459")</f>
        <v>0001994459</v>
      </c>
      <c r="I527" t="s">
        <v>1455</v>
      </c>
      <c r="J527">
        <v>1</v>
      </c>
      <c r="K527" t="s">
        <v>13</v>
      </c>
    </row>
    <row r="528" spans="1:11" x14ac:dyDescent="0.25">
      <c r="A528" t="s">
        <v>1450</v>
      </c>
      <c r="B528" t="str">
        <f>HYPERLINK("http://service.sap.com/sap/support/notes/0001994860","0001994860")</f>
        <v>0001994860</v>
      </c>
      <c r="C528" t="s">
        <v>1456</v>
      </c>
      <c r="D528" t="s">
        <v>10</v>
      </c>
      <c r="E528" t="s">
        <v>1115</v>
      </c>
      <c r="F528">
        <v>2</v>
      </c>
      <c r="G528" t="s">
        <v>1450</v>
      </c>
      <c r="H528" t="str">
        <f>HYPERLINK("http://service.sap.com/sap/support/notes/0002001356","0002001356")</f>
        <v>0002001356</v>
      </c>
      <c r="I528" t="s">
        <v>1457</v>
      </c>
      <c r="J528">
        <v>1</v>
      </c>
      <c r="K528" t="s">
        <v>47</v>
      </c>
    </row>
    <row r="529" spans="1:11" x14ac:dyDescent="0.25">
      <c r="A529" t="s">
        <v>1450</v>
      </c>
      <c r="B529" t="str">
        <f>HYPERLINK("http://service.sap.com/sap/support/notes/0001994860","0001994860")</f>
        <v>0001994860</v>
      </c>
      <c r="C529" t="s">
        <v>1456</v>
      </c>
      <c r="D529" t="s">
        <v>10</v>
      </c>
      <c r="E529" t="s">
        <v>547</v>
      </c>
      <c r="F529">
        <v>2</v>
      </c>
      <c r="G529" t="s">
        <v>1450</v>
      </c>
      <c r="H529" t="str">
        <f>HYPERLINK("http://service.sap.com/sap/support/notes/0002001356","0002001356")</f>
        <v>0002001356</v>
      </c>
      <c r="I529" t="s">
        <v>1457</v>
      </c>
      <c r="J529">
        <v>1</v>
      </c>
      <c r="K529" t="s">
        <v>47</v>
      </c>
    </row>
    <row r="530" spans="1:11" x14ac:dyDescent="0.25">
      <c r="A530" t="s">
        <v>1450</v>
      </c>
      <c r="B530" t="str">
        <f>HYPERLINK("http://service.sap.com/sap/support/notes/0002002043","0002002043")</f>
        <v>0002002043</v>
      </c>
      <c r="C530" t="s">
        <v>1458</v>
      </c>
      <c r="D530" t="s">
        <v>10</v>
      </c>
      <c r="E530" t="s">
        <v>1115</v>
      </c>
      <c r="F530">
        <v>16</v>
      </c>
      <c r="G530" t="s">
        <v>1450</v>
      </c>
      <c r="H530" t="str">
        <f>HYPERLINK("http://service.sap.com/sap/support/notes/0002007970","0002007970")</f>
        <v>0002007970</v>
      </c>
      <c r="I530" t="s">
        <v>1459</v>
      </c>
      <c r="J530">
        <v>1</v>
      </c>
      <c r="K530" t="s">
        <v>13</v>
      </c>
    </row>
    <row r="531" spans="1:11" x14ac:dyDescent="0.25">
      <c r="A531" t="s">
        <v>1450</v>
      </c>
      <c r="B531" t="str">
        <f>HYPERLINK("http://service.sap.com/sap/support/notes/0002003532","0002003532")</f>
        <v>0002003532</v>
      </c>
      <c r="C531" t="s">
        <v>1460</v>
      </c>
      <c r="D531" t="s">
        <v>10</v>
      </c>
      <c r="E531" t="s">
        <v>720</v>
      </c>
      <c r="F531">
        <v>4</v>
      </c>
      <c r="G531" t="s">
        <v>1450</v>
      </c>
      <c r="H531" t="str">
        <f>HYPERLINK("http://service.sap.com/sap/support/notes/0002034116","0002034116")</f>
        <v>0002034116</v>
      </c>
      <c r="I531" t="s">
        <v>1461</v>
      </c>
      <c r="J531">
        <v>1</v>
      </c>
      <c r="K531" t="s">
        <v>13</v>
      </c>
    </row>
    <row r="532" spans="1:11" x14ac:dyDescent="0.25">
      <c r="A532" t="s">
        <v>1450</v>
      </c>
      <c r="B532" t="str">
        <f>HYPERLINK("http://service.sap.com/sap/support/notes/0002009828","0002009828")</f>
        <v>0002009828</v>
      </c>
      <c r="C532" t="s">
        <v>1462</v>
      </c>
      <c r="D532" t="s">
        <v>10</v>
      </c>
      <c r="E532" t="s">
        <v>547</v>
      </c>
      <c r="F532">
        <v>1</v>
      </c>
      <c r="G532" t="s">
        <v>1450</v>
      </c>
      <c r="H532" t="str">
        <f>HYPERLINK("http://service.sap.com/sap/support/notes/0002050821","0002050821")</f>
        <v>0002050821</v>
      </c>
      <c r="I532" t="s">
        <v>1463</v>
      </c>
      <c r="J532">
        <v>1</v>
      </c>
      <c r="K532" t="s">
        <v>13</v>
      </c>
    </row>
    <row r="533" spans="1:11" x14ac:dyDescent="0.25">
      <c r="A533" t="s">
        <v>1450</v>
      </c>
      <c r="B533" t="str">
        <f>HYPERLINK("http://service.sap.com/sap/support/notes/0002010169","0002010169")</f>
        <v>0002010169</v>
      </c>
      <c r="C533" t="s">
        <v>1464</v>
      </c>
      <c r="D533" t="s">
        <v>10</v>
      </c>
      <c r="E533" t="s">
        <v>720</v>
      </c>
      <c r="F533">
        <v>17</v>
      </c>
      <c r="G533" t="s">
        <v>1450</v>
      </c>
      <c r="H533" t="str">
        <f>HYPERLINK("http://service.sap.com/sap/support/notes/0002059658","0002059658")</f>
        <v>0002059658</v>
      </c>
      <c r="I533" t="s">
        <v>1465</v>
      </c>
      <c r="J533">
        <v>1</v>
      </c>
      <c r="K533" t="s">
        <v>13</v>
      </c>
    </row>
    <row r="534" spans="1:11" x14ac:dyDescent="0.25">
      <c r="A534" t="s">
        <v>1450</v>
      </c>
      <c r="B534" t="str">
        <f>HYPERLINK("http://service.sap.com/sap/support/notes/0002010169","0002010169")</f>
        <v>0002010169</v>
      </c>
      <c r="C534" t="s">
        <v>1464</v>
      </c>
      <c r="D534" t="s">
        <v>10</v>
      </c>
      <c r="E534" t="s">
        <v>1398</v>
      </c>
      <c r="F534">
        <v>17</v>
      </c>
      <c r="G534" t="s">
        <v>1450</v>
      </c>
      <c r="H534" t="str">
        <f>HYPERLINK("http://service.sap.com/sap/support/notes/0002022090","0002022090")</f>
        <v>0002022090</v>
      </c>
      <c r="I534" t="s">
        <v>1466</v>
      </c>
      <c r="J534">
        <v>1</v>
      </c>
      <c r="K534" t="s">
        <v>13</v>
      </c>
    </row>
    <row r="535" spans="1:11" x14ac:dyDescent="0.25">
      <c r="A535" t="s">
        <v>1450</v>
      </c>
      <c r="B535" t="str">
        <f>HYPERLINK("http://service.sap.com/sap/support/notes/0002010169","0002010169")</f>
        <v>0002010169</v>
      </c>
      <c r="C535" t="s">
        <v>1464</v>
      </c>
      <c r="D535" t="s">
        <v>10</v>
      </c>
      <c r="E535" t="s">
        <v>1398</v>
      </c>
      <c r="F535">
        <v>17</v>
      </c>
      <c r="G535" t="s">
        <v>1450</v>
      </c>
      <c r="H535" t="str">
        <f>HYPERLINK("http://service.sap.com/sap/support/notes/0002048903","0002048903")</f>
        <v>0002048903</v>
      </c>
      <c r="I535" t="s">
        <v>1467</v>
      </c>
      <c r="J535">
        <v>1</v>
      </c>
      <c r="K535" t="s">
        <v>13</v>
      </c>
    </row>
    <row r="536" spans="1:11" x14ac:dyDescent="0.25">
      <c r="A536" t="s">
        <v>1450</v>
      </c>
      <c r="B536" t="str">
        <f>HYPERLINK("http://service.sap.com/sap/support/notes/0002042690","0002042690")</f>
        <v>0002042690</v>
      </c>
      <c r="C536" t="s">
        <v>1468</v>
      </c>
      <c r="D536" t="s">
        <v>10</v>
      </c>
      <c r="E536" t="s">
        <v>1355</v>
      </c>
      <c r="F536">
        <v>2</v>
      </c>
      <c r="G536" t="s">
        <v>1450</v>
      </c>
      <c r="H536" t="str">
        <f>HYPERLINK("http://service.sap.com/sap/support/notes/0002046590","0002046590")</f>
        <v>0002046590</v>
      </c>
      <c r="I536" t="s">
        <v>1469</v>
      </c>
      <c r="J536">
        <v>1</v>
      </c>
      <c r="K536" t="s">
        <v>13</v>
      </c>
    </row>
    <row r="537" spans="1:11" x14ac:dyDescent="0.25">
      <c r="A537" t="s">
        <v>1450</v>
      </c>
      <c r="B537" t="str">
        <f>HYPERLINK("http://service.sap.com/sap/support/notes/0002059658","0002059658")</f>
        <v>0002059658</v>
      </c>
      <c r="C537" t="s">
        <v>1465</v>
      </c>
      <c r="D537" t="s">
        <v>10</v>
      </c>
      <c r="E537" t="s">
        <v>1403</v>
      </c>
      <c r="F537">
        <v>1</v>
      </c>
      <c r="G537" t="s">
        <v>1450</v>
      </c>
      <c r="H537" t="str">
        <f>HYPERLINK("http://service.sap.com/sap/support/notes/0002083876","0002083876")</f>
        <v>0002083876</v>
      </c>
      <c r="I537" t="s">
        <v>1470</v>
      </c>
      <c r="J537">
        <v>1</v>
      </c>
      <c r="K537" t="s">
        <v>47</v>
      </c>
    </row>
    <row r="538" spans="1:11" x14ac:dyDescent="0.25">
      <c r="A538" t="s">
        <v>1450</v>
      </c>
      <c r="B538" t="str">
        <f>HYPERLINK("http://service.sap.com/sap/support/notes/0002060166","0002060166")</f>
        <v>0002060166</v>
      </c>
      <c r="C538" t="s">
        <v>1471</v>
      </c>
      <c r="D538" t="s">
        <v>10</v>
      </c>
      <c r="E538" t="s">
        <v>1403</v>
      </c>
      <c r="F538">
        <v>2</v>
      </c>
      <c r="G538" t="s">
        <v>1450</v>
      </c>
      <c r="H538" t="str">
        <f>HYPERLINK("http://service.sap.com/sap/support/notes/0002058873","0002058873")</f>
        <v>0002058873</v>
      </c>
      <c r="I538" t="s">
        <v>1472</v>
      </c>
      <c r="J538">
        <v>1</v>
      </c>
      <c r="K538" t="s">
        <v>13</v>
      </c>
    </row>
    <row r="539" spans="1:11" x14ac:dyDescent="0.25">
      <c r="A539" t="s">
        <v>1450</v>
      </c>
      <c r="B539" t="str">
        <f>HYPERLINK("http://service.sap.com/sap/support/notes/0002061483","0002061483")</f>
        <v>0002061483</v>
      </c>
      <c r="C539" t="s">
        <v>1473</v>
      </c>
      <c r="D539" t="s">
        <v>10</v>
      </c>
      <c r="E539" t="s">
        <v>716</v>
      </c>
      <c r="F539">
        <v>5</v>
      </c>
      <c r="G539" t="s">
        <v>1149</v>
      </c>
      <c r="H539" t="str">
        <f>HYPERLINK("http://service.sap.com/sap/support/notes/0002083053","0002083053")</f>
        <v>0002083053</v>
      </c>
      <c r="I539" t="s">
        <v>1474</v>
      </c>
      <c r="J539">
        <v>1</v>
      </c>
      <c r="K539" t="s">
        <v>47</v>
      </c>
    </row>
    <row r="540" spans="1:11" x14ac:dyDescent="0.25">
      <c r="A540" t="s">
        <v>1450</v>
      </c>
      <c r="B540" t="str">
        <f>HYPERLINK("http://service.sap.com/sap/support/notes/0002061483","0002061483")</f>
        <v>0002061483</v>
      </c>
      <c r="C540" t="s">
        <v>1473</v>
      </c>
      <c r="D540" t="s">
        <v>10</v>
      </c>
      <c r="E540" t="s">
        <v>1403</v>
      </c>
      <c r="F540">
        <v>5</v>
      </c>
      <c r="G540" t="s">
        <v>1149</v>
      </c>
      <c r="H540" t="str">
        <f>HYPERLINK("http://service.sap.com/sap/support/notes/0002083053","0002083053")</f>
        <v>0002083053</v>
      </c>
      <c r="I540" t="s">
        <v>1474</v>
      </c>
      <c r="J540">
        <v>1</v>
      </c>
      <c r="K540" t="s">
        <v>47</v>
      </c>
    </row>
    <row r="541" spans="1:11" x14ac:dyDescent="0.25">
      <c r="A541" t="s">
        <v>1450</v>
      </c>
      <c r="B541" t="str">
        <f>HYPERLINK("http://service.sap.com/sap/support/notes/0002066218","0002066218")</f>
        <v>0002066218</v>
      </c>
      <c r="C541" t="s">
        <v>1475</v>
      </c>
      <c r="D541" t="s">
        <v>10</v>
      </c>
      <c r="E541" t="s">
        <v>1403</v>
      </c>
      <c r="F541">
        <v>2</v>
      </c>
      <c r="G541" t="s">
        <v>1450</v>
      </c>
      <c r="H541" t="str">
        <f>HYPERLINK("http://service.sap.com/sap/support/notes/0002073803","0002073803")</f>
        <v>0002073803</v>
      </c>
      <c r="I541" t="s">
        <v>1476</v>
      </c>
      <c r="J541">
        <v>1</v>
      </c>
      <c r="K541" t="s">
        <v>13</v>
      </c>
    </row>
    <row r="542" spans="1:11" x14ac:dyDescent="0.25">
      <c r="A542" t="s">
        <v>1477</v>
      </c>
      <c r="B542" t="str">
        <f>HYPERLINK("http://service.sap.com/sap/support/notes/0001989630","0001989630")</f>
        <v>0001989630</v>
      </c>
      <c r="C542" t="s">
        <v>1478</v>
      </c>
      <c r="D542" t="s">
        <v>564</v>
      </c>
      <c r="E542" t="s">
        <v>1115</v>
      </c>
      <c r="F542">
        <v>3</v>
      </c>
      <c r="G542" t="s">
        <v>1477</v>
      </c>
      <c r="H542" t="str">
        <f>HYPERLINK("http://service.sap.com/sap/support/notes/0001998338","0001998338")</f>
        <v>0001998338</v>
      </c>
      <c r="I542" t="s">
        <v>1478</v>
      </c>
      <c r="J542">
        <v>1</v>
      </c>
      <c r="K542" t="s">
        <v>13</v>
      </c>
    </row>
    <row r="543" spans="1:11" x14ac:dyDescent="0.25">
      <c r="A543" t="s">
        <v>1477</v>
      </c>
      <c r="B543" t="str">
        <f>HYPERLINK("http://service.sap.com/sap/support/notes/0002052284","0002052284")</f>
        <v>0002052284</v>
      </c>
      <c r="C543" t="s">
        <v>1479</v>
      </c>
      <c r="D543">
        <v>1</v>
      </c>
      <c r="E543" t="s">
        <v>1373</v>
      </c>
      <c r="F543">
        <v>1</v>
      </c>
      <c r="G543" t="s">
        <v>1477</v>
      </c>
      <c r="H543" t="str">
        <f>HYPERLINK("http://service.sap.com/sap/support/notes/0002059466","0002059466")</f>
        <v>0002059466</v>
      </c>
      <c r="I543" t="s">
        <v>1480</v>
      </c>
      <c r="J543">
        <v>1</v>
      </c>
      <c r="K543" t="s">
        <v>13</v>
      </c>
    </row>
    <row r="544" spans="1:11" x14ac:dyDescent="0.25">
      <c r="A544" t="s">
        <v>1158</v>
      </c>
      <c r="B544" t="str">
        <f>HYPERLINK("http://service.sap.com/sap/support/notes/0001896087","0001896087")</f>
        <v>0001896087</v>
      </c>
      <c r="C544" t="s">
        <v>1481</v>
      </c>
      <c r="D544" t="s">
        <v>10</v>
      </c>
      <c r="E544" t="s">
        <v>1373</v>
      </c>
      <c r="F544">
        <v>1</v>
      </c>
      <c r="G544" t="s">
        <v>1482</v>
      </c>
      <c r="H544" t="str">
        <f>HYPERLINK("http://service.sap.com/sap/support/notes/0002083763","0002083763")</f>
        <v>0002083763</v>
      </c>
      <c r="I544" t="s">
        <v>1483</v>
      </c>
      <c r="J544">
        <v>1</v>
      </c>
      <c r="K544" t="s">
        <v>13</v>
      </c>
    </row>
    <row r="545" spans="1:11" x14ac:dyDescent="0.25">
      <c r="A545" t="s">
        <v>1158</v>
      </c>
      <c r="B545" t="str">
        <f>HYPERLINK("http://service.sap.com/sap/support/notes/0001979727","0001979727")</f>
        <v>0001979727</v>
      </c>
      <c r="C545" t="s">
        <v>1484</v>
      </c>
      <c r="D545" t="s">
        <v>10</v>
      </c>
      <c r="E545" t="s">
        <v>727</v>
      </c>
      <c r="F545">
        <v>2</v>
      </c>
      <c r="G545" t="s">
        <v>1482</v>
      </c>
      <c r="H545" t="str">
        <f>HYPERLINK("http://service.sap.com/sap/support/notes/0002076924","0002076924")</f>
        <v>0002076924</v>
      </c>
      <c r="I545" t="s">
        <v>1485</v>
      </c>
      <c r="J545">
        <v>1</v>
      </c>
      <c r="K545" t="s">
        <v>13</v>
      </c>
    </row>
    <row r="546" spans="1:11" x14ac:dyDescent="0.25">
      <c r="A546" t="s">
        <v>1158</v>
      </c>
      <c r="B546" t="str">
        <f>HYPERLINK("http://service.sap.com/sap/support/notes/0001982707","0001982707")</f>
        <v>0001982707</v>
      </c>
      <c r="C546" t="s">
        <v>1486</v>
      </c>
      <c r="D546" t="s">
        <v>553</v>
      </c>
      <c r="E546" t="s">
        <v>547</v>
      </c>
      <c r="F546">
        <v>3</v>
      </c>
      <c r="G546" t="s">
        <v>1158</v>
      </c>
      <c r="H546" t="str">
        <f>HYPERLINK("http://service.sap.com/sap/support/notes/0002060209","0002060209")</f>
        <v>0002060209</v>
      </c>
      <c r="I546" t="s">
        <v>1487</v>
      </c>
      <c r="J546">
        <v>1</v>
      </c>
      <c r="K546" t="s">
        <v>13</v>
      </c>
    </row>
    <row r="547" spans="1:11" x14ac:dyDescent="0.25">
      <c r="A547" t="s">
        <v>1158</v>
      </c>
      <c r="B547" t="str">
        <f>HYPERLINK("http://service.sap.com/sap/support/notes/0002029009","0002029009")</f>
        <v>0002029009</v>
      </c>
      <c r="C547" t="s">
        <v>1488</v>
      </c>
      <c r="D547" t="s">
        <v>10</v>
      </c>
      <c r="E547" t="s">
        <v>1124</v>
      </c>
      <c r="F547">
        <v>4</v>
      </c>
      <c r="G547" t="s">
        <v>1158</v>
      </c>
      <c r="H547" t="str">
        <f>HYPERLINK("http://service.sap.com/sap/support/notes/0002031242","0002031242")</f>
        <v>0002031242</v>
      </c>
      <c r="I547" t="s">
        <v>1489</v>
      </c>
      <c r="J547">
        <v>1</v>
      </c>
      <c r="K547" t="s">
        <v>13</v>
      </c>
    </row>
    <row r="548" spans="1:11" x14ac:dyDescent="0.25">
      <c r="A548" t="s">
        <v>1490</v>
      </c>
      <c r="B548" t="str">
        <f>HYPERLINK("http://service.sap.com/sap/support/notes/0002021387","0002021387")</f>
        <v>0002021387</v>
      </c>
      <c r="C548" t="s">
        <v>1491</v>
      </c>
      <c r="D548" t="s">
        <v>10</v>
      </c>
      <c r="E548" t="s">
        <v>1147</v>
      </c>
      <c r="F548">
        <v>1</v>
      </c>
      <c r="G548" t="s">
        <v>1492</v>
      </c>
      <c r="H548" t="str">
        <f>HYPERLINK("http://service.sap.com/sap/support/notes/0002032359","0002032359")</f>
        <v>0002032359</v>
      </c>
      <c r="I548" t="s">
        <v>1493</v>
      </c>
      <c r="J548">
        <v>1</v>
      </c>
      <c r="K548" t="s">
        <v>13</v>
      </c>
    </row>
    <row r="549" spans="1:11" x14ac:dyDescent="0.25">
      <c r="A549" t="s">
        <v>1490</v>
      </c>
      <c r="B549" t="str">
        <f>HYPERLINK("http://service.sap.com/sap/support/notes/0002021387","0002021387")</f>
        <v>0002021387</v>
      </c>
      <c r="C549" t="s">
        <v>1491</v>
      </c>
      <c r="D549" t="s">
        <v>10</v>
      </c>
      <c r="E549" t="s">
        <v>1147</v>
      </c>
      <c r="F549">
        <v>1</v>
      </c>
      <c r="G549" t="s">
        <v>1492</v>
      </c>
      <c r="H549" t="str">
        <f>HYPERLINK("http://service.sap.com/sap/support/notes/0002061944","0002061944")</f>
        <v>0002061944</v>
      </c>
      <c r="I549" t="s">
        <v>1494</v>
      </c>
      <c r="J549">
        <v>1</v>
      </c>
      <c r="K549" t="s">
        <v>13</v>
      </c>
    </row>
    <row r="550" spans="1:11" x14ac:dyDescent="0.25">
      <c r="A550" t="s">
        <v>1495</v>
      </c>
      <c r="B550" t="str">
        <f>HYPERLINK("http://service.sap.com/sap/support/notes/0001984911","0001984911")</f>
        <v>0001984911</v>
      </c>
      <c r="C550" t="s">
        <v>1496</v>
      </c>
      <c r="D550" t="s">
        <v>10</v>
      </c>
      <c r="E550" t="s">
        <v>739</v>
      </c>
      <c r="F550">
        <v>1</v>
      </c>
      <c r="G550" t="s">
        <v>1495</v>
      </c>
      <c r="H550" t="str">
        <f>HYPERLINK("http://service.sap.com/sap/support/notes/0001992315","0001992315")</f>
        <v>0001992315</v>
      </c>
      <c r="I550" t="s">
        <v>1497</v>
      </c>
      <c r="J550">
        <v>1</v>
      </c>
      <c r="K550" t="s">
        <v>47</v>
      </c>
    </row>
    <row r="551" spans="1:11" x14ac:dyDescent="0.25">
      <c r="A551" t="s">
        <v>1498</v>
      </c>
      <c r="B551" t="str">
        <f>HYPERLINK("http://service.sap.com/sap/support/notes/0001937142","0001937142")</f>
        <v>0001937142</v>
      </c>
      <c r="C551" t="s">
        <v>1499</v>
      </c>
      <c r="D551" t="s">
        <v>553</v>
      </c>
      <c r="E551" t="s">
        <v>725</v>
      </c>
      <c r="F551">
        <v>5</v>
      </c>
      <c r="G551" t="s">
        <v>1498</v>
      </c>
      <c r="H551" t="str">
        <f>HYPERLINK("http://service.sap.com/sap/support/notes/0001963469","0001963469")</f>
        <v>0001963469</v>
      </c>
      <c r="I551" t="s">
        <v>1500</v>
      </c>
      <c r="J551">
        <v>1</v>
      </c>
      <c r="K551" t="s">
        <v>13</v>
      </c>
    </row>
    <row r="552" spans="1:11" x14ac:dyDescent="0.25">
      <c r="A552" t="s">
        <v>1498</v>
      </c>
      <c r="B552" t="str">
        <f>HYPERLINK("http://service.sap.com/sap/support/notes/0001978257","0001978257")</f>
        <v>0001978257</v>
      </c>
      <c r="C552" t="s">
        <v>1501</v>
      </c>
      <c r="D552" t="s">
        <v>10</v>
      </c>
      <c r="E552" t="s">
        <v>739</v>
      </c>
      <c r="F552">
        <v>1</v>
      </c>
      <c r="G552" t="s">
        <v>1498</v>
      </c>
      <c r="H552" t="str">
        <f>HYPERLINK("http://service.sap.com/sap/support/notes/0001997750","0001997750")</f>
        <v>0001997750</v>
      </c>
      <c r="I552" t="s">
        <v>1502</v>
      </c>
      <c r="J552">
        <v>1</v>
      </c>
      <c r="K552" t="s">
        <v>13</v>
      </c>
    </row>
    <row r="553" spans="1:11" x14ac:dyDescent="0.25">
      <c r="A553" t="s">
        <v>1503</v>
      </c>
      <c r="B553" t="str">
        <f>HYPERLINK("http://service.sap.com/sap/support/notes/0001944237","0001944237")</f>
        <v>0001944237</v>
      </c>
      <c r="C553" t="s">
        <v>1504</v>
      </c>
      <c r="D553" t="s">
        <v>10</v>
      </c>
      <c r="E553" t="s">
        <v>1359</v>
      </c>
      <c r="F553">
        <v>3</v>
      </c>
      <c r="G553" t="s">
        <v>1503</v>
      </c>
      <c r="H553" t="str">
        <f>HYPERLINK("http://service.sap.com/sap/support/notes/0002033066","0002033066")</f>
        <v>0002033066</v>
      </c>
      <c r="I553" t="s">
        <v>1505</v>
      </c>
      <c r="J553">
        <v>1</v>
      </c>
      <c r="K553" t="s">
        <v>13</v>
      </c>
    </row>
    <row r="554" spans="1:11" x14ac:dyDescent="0.25">
      <c r="A554" t="s">
        <v>1506</v>
      </c>
      <c r="B554" t="str">
        <f>HYPERLINK("http://service.sap.com/sap/support/notes/0002005086","0002005086")</f>
        <v>0002005086</v>
      </c>
      <c r="C554" t="s">
        <v>1507</v>
      </c>
      <c r="D554" t="s">
        <v>10</v>
      </c>
      <c r="E554" t="s">
        <v>1115</v>
      </c>
      <c r="F554">
        <v>2</v>
      </c>
      <c r="G554" t="s">
        <v>1508</v>
      </c>
      <c r="H554" t="str">
        <f>HYPERLINK("http://service.sap.com/sap/support/notes/0002005490","0002005490")</f>
        <v>0002005490</v>
      </c>
      <c r="I554" t="s">
        <v>1509</v>
      </c>
      <c r="J554">
        <v>1</v>
      </c>
      <c r="K554" t="s">
        <v>13</v>
      </c>
    </row>
    <row r="555" spans="1:11" x14ac:dyDescent="0.25">
      <c r="A555" t="s">
        <v>1510</v>
      </c>
      <c r="B555" t="str">
        <f>HYPERLINK("http://service.sap.com/sap/support/notes/0001602596","0001602596")</f>
        <v>0001602596</v>
      </c>
      <c r="C555" t="s">
        <v>1511</v>
      </c>
      <c r="D555" t="s">
        <v>10</v>
      </c>
      <c r="E555" t="s">
        <v>1115</v>
      </c>
      <c r="F555">
        <v>5</v>
      </c>
      <c r="G555" t="s">
        <v>1512</v>
      </c>
      <c r="H555" t="str">
        <f>HYPERLINK("http://service.sap.com/sap/support/notes/0002058523","0002058523")</f>
        <v>0002058523</v>
      </c>
      <c r="I555" t="s">
        <v>1513</v>
      </c>
      <c r="J555">
        <v>1</v>
      </c>
      <c r="K555" t="s">
        <v>13</v>
      </c>
    </row>
    <row r="556" spans="1:11" x14ac:dyDescent="0.25">
      <c r="A556" t="s">
        <v>1510</v>
      </c>
      <c r="B556" t="str">
        <f>HYPERLINK("http://service.sap.com/sap/support/notes/0002005797","0002005797")</f>
        <v>0002005797</v>
      </c>
      <c r="C556" t="s">
        <v>1514</v>
      </c>
      <c r="D556" t="s">
        <v>10</v>
      </c>
      <c r="E556" t="s">
        <v>1115</v>
      </c>
      <c r="F556">
        <v>1</v>
      </c>
      <c r="G556" t="s">
        <v>1510</v>
      </c>
      <c r="H556" t="str">
        <f>HYPERLINK("http://service.sap.com/sap/support/notes/0002014714","0002014714")</f>
        <v>0002014714</v>
      </c>
      <c r="I556" t="s">
        <v>1515</v>
      </c>
      <c r="J556">
        <v>1</v>
      </c>
      <c r="K556" t="s">
        <v>13</v>
      </c>
    </row>
    <row r="557" spans="1:11" x14ac:dyDescent="0.25">
      <c r="A557" t="s">
        <v>1516</v>
      </c>
      <c r="B557" t="str">
        <f>HYPERLINK("http://service.sap.com/sap/support/notes/0001916543","0001916543")</f>
        <v>0001916543</v>
      </c>
      <c r="C557" t="s">
        <v>1517</v>
      </c>
      <c r="D557" t="s">
        <v>10</v>
      </c>
      <c r="E557" t="s">
        <v>1115</v>
      </c>
      <c r="F557">
        <v>3</v>
      </c>
      <c r="G557" t="s">
        <v>1516</v>
      </c>
      <c r="H557" t="str">
        <f>HYPERLINK("http://service.sap.com/sap/support/notes/0002046918","0002046918")</f>
        <v>0002046918</v>
      </c>
      <c r="I557" t="s">
        <v>1517</v>
      </c>
      <c r="J557">
        <v>1</v>
      </c>
      <c r="K557" t="s">
        <v>13</v>
      </c>
    </row>
    <row r="558" spans="1:11" x14ac:dyDescent="0.25">
      <c r="A558" t="s">
        <v>1516</v>
      </c>
      <c r="B558" t="str">
        <f>HYPERLINK("http://service.sap.com/sap/support/notes/0001961182","0001961182")</f>
        <v>0001961182</v>
      </c>
      <c r="C558" t="s">
        <v>1518</v>
      </c>
      <c r="D558" t="s">
        <v>10</v>
      </c>
      <c r="E558" t="s">
        <v>1115</v>
      </c>
      <c r="F558">
        <v>6</v>
      </c>
      <c r="G558" t="s">
        <v>1516</v>
      </c>
      <c r="H558" t="str">
        <f>HYPERLINK("http://service.sap.com/sap/support/notes/0002040112","0002040112")</f>
        <v>0002040112</v>
      </c>
      <c r="I558" t="s">
        <v>1519</v>
      </c>
      <c r="J558">
        <v>1</v>
      </c>
      <c r="K558" t="s">
        <v>13</v>
      </c>
    </row>
    <row r="559" spans="1:11" x14ac:dyDescent="0.25">
      <c r="A559" t="s">
        <v>1520</v>
      </c>
      <c r="B559" t="str">
        <f>HYPERLINK("http://service.sap.com/sap/support/notes/0002003909","0002003909")</f>
        <v>0002003909</v>
      </c>
      <c r="C559" t="s">
        <v>1521</v>
      </c>
      <c r="D559" t="s">
        <v>10</v>
      </c>
      <c r="E559" t="s">
        <v>1115</v>
      </c>
      <c r="F559">
        <v>3</v>
      </c>
      <c r="G559" t="s">
        <v>1520</v>
      </c>
      <c r="H559" t="str">
        <f>HYPERLINK("http://service.sap.com/sap/support/notes/0002010583","0002010583")</f>
        <v>0002010583</v>
      </c>
      <c r="I559" t="s">
        <v>1522</v>
      </c>
      <c r="J559">
        <v>1</v>
      </c>
      <c r="K559" t="s">
        <v>13</v>
      </c>
    </row>
    <row r="560" spans="1:11" x14ac:dyDescent="0.25">
      <c r="A560" t="s">
        <v>1523</v>
      </c>
      <c r="B560" t="str">
        <f>HYPERLINK("http://service.sap.com/sap/support/notes/0001946556","0001946556")</f>
        <v>0001946556</v>
      </c>
      <c r="C560" t="s">
        <v>1524</v>
      </c>
      <c r="D560" t="s">
        <v>10</v>
      </c>
      <c r="E560" t="s">
        <v>1377</v>
      </c>
      <c r="F560">
        <v>4</v>
      </c>
      <c r="G560" t="s">
        <v>1523</v>
      </c>
      <c r="H560" t="str">
        <f>HYPERLINK("http://service.sap.com/sap/support/notes/0001970073","0001970073")</f>
        <v>0001970073</v>
      </c>
      <c r="I560" t="s">
        <v>1525</v>
      </c>
      <c r="J560">
        <v>1</v>
      </c>
      <c r="K560" t="s">
        <v>13</v>
      </c>
    </row>
    <row r="561" spans="1:11" x14ac:dyDescent="0.25">
      <c r="A561" t="s">
        <v>1526</v>
      </c>
      <c r="B561" t="str">
        <f>HYPERLINK("http://service.sap.com/sap/support/notes/0001954579","0001954579")</f>
        <v>0001954579</v>
      </c>
      <c r="C561" t="s">
        <v>1527</v>
      </c>
      <c r="D561" t="s">
        <v>10</v>
      </c>
      <c r="E561" t="s">
        <v>639</v>
      </c>
      <c r="F561">
        <v>2</v>
      </c>
      <c r="G561" t="s">
        <v>1526</v>
      </c>
      <c r="H561" t="str">
        <f>HYPERLINK("http://service.sap.com/sap/support/notes/0002078300","0002078300")</f>
        <v>0002078300</v>
      </c>
      <c r="I561" t="s">
        <v>1528</v>
      </c>
      <c r="J561">
        <v>1</v>
      </c>
      <c r="K561" t="s">
        <v>13</v>
      </c>
    </row>
    <row r="562" spans="1:11" x14ac:dyDescent="0.25">
      <c r="A562" t="s">
        <v>1526</v>
      </c>
      <c r="B562" t="str">
        <f>HYPERLINK("http://service.sap.com/sap/support/notes/0001993508","0001993508")</f>
        <v>0001993508</v>
      </c>
      <c r="C562" t="s">
        <v>1529</v>
      </c>
      <c r="D562" t="s">
        <v>10</v>
      </c>
      <c r="E562" t="s">
        <v>639</v>
      </c>
      <c r="F562">
        <v>1</v>
      </c>
      <c r="G562" t="s">
        <v>1526</v>
      </c>
      <c r="H562" t="str">
        <f>HYPERLINK("http://service.sap.com/sap/support/notes/0002083823","0002083823")</f>
        <v>0002083823</v>
      </c>
      <c r="I562" t="s">
        <v>1530</v>
      </c>
      <c r="J562">
        <v>1</v>
      </c>
      <c r="K562" t="s">
        <v>13</v>
      </c>
    </row>
    <row r="563" spans="1:11" x14ac:dyDescent="0.25">
      <c r="A563" t="s">
        <v>1531</v>
      </c>
      <c r="B563" t="str">
        <f>HYPERLINK("http://service.sap.com/sap/support/notes/0002057064","0002057064")</f>
        <v>0002057064</v>
      </c>
      <c r="C563" t="s">
        <v>1532</v>
      </c>
      <c r="D563" t="s">
        <v>10</v>
      </c>
      <c r="E563" t="s">
        <v>644</v>
      </c>
      <c r="F563">
        <v>1</v>
      </c>
      <c r="G563" t="s">
        <v>1531</v>
      </c>
      <c r="H563" t="str">
        <f>HYPERLINK("http://service.sap.com/sap/support/notes/0002065656","0002065656")</f>
        <v>0002065656</v>
      </c>
      <c r="I563" t="s">
        <v>1533</v>
      </c>
      <c r="J563">
        <v>1</v>
      </c>
      <c r="K563" t="s">
        <v>13</v>
      </c>
    </row>
    <row r="564" spans="1:11" x14ac:dyDescent="0.25">
      <c r="A564" t="s">
        <v>1534</v>
      </c>
      <c r="B564" t="str">
        <f>HYPERLINK("http://service.sap.com/sap/support/notes/0002019808","0002019808")</f>
        <v>0002019808</v>
      </c>
      <c r="C564" t="s">
        <v>1535</v>
      </c>
      <c r="D564" t="s">
        <v>10</v>
      </c>
      <c r="E564" t="s">
        <v>1536</v>
      </c>
      <c r="F564">
        <v>0</v>
      </c>
      <c r="G564" t="s">
        <v>1537</v>
      </c>
      <c r="H564" t="str">
        <f>HYPERLINK("http://service.sap.com/sap/support/notes/0002076357","0002076357")</f>
        <v>0002076357</v>
      </c>
      <c r="I564" t="s">
        <v>1538</v>
      </c>
      <c r="J564">
        <v>1</v>
      </c>
      <c r="K564" t="s">
        <v>13</v>
      </c>
    </row>
    <row r="565" spans="1:11" x14ac:dyDescent="0.25">
      <c r="A565" t="s">
        <v>1534</v>
      </c>
      <c r="B565" t="str">
        <f>HYPERLINK("http://service.sap.com/sap/support/notes/0002019808","0002019808")</f>
        <v>0002019808</v>
      </c>
      <c r="C565" t="s">
        <v>1535</v>
      </c>
      <c r="D565" t="s">
        <v>10</v>
      </c>
      <c r="E565" t="s">
        <v>1536</v>
      </c>
      <c r="F565">
        <v>0</v>
      </c>
      <c r="G565" t="s">
        <v>1537</v>
      </c>
      <c r="H565" t="str">
        <f>HYPERLINK("http://service.sap.com/sap/support/notes/0002079019","0002079019")</f>
        <v>0002079019</v>
      </c>
      <c r="I565" t="s">
        <v>1539</v>
      </c>
      <c r="J565">
        <v>1</v>
      </c>
      <c r="K565" t="s">
        <v>13</v>
      </c>
    </row>
    <row r="566" spans="1:11" x14ac:dyDescent="0.25">
      <c r="A566" t="s">
        <v>1540</v>
      </c>
      <c r="B566" t="str">
        <f>HYPERLINK("http://service.sap.com/sap/support/notes/0001933458","0001933458")</f>
        <v>0001933458</v>
      </c>
      <c r="C566" t="s">
        <v>1541</v>
      </c>
      <c r="D566" t="s">
        <v>10</v>
      </c>
      <c r="E566" t="s">
        <v>639</v>
      </c>
      <c r="F566">
        <v>5</v>
      </c>
      <c r="G566" t="s">
        <v>1540</v>
      </c>
      <c r="H566" t="str">
        <f>HYPERLINK("http://service.sap.com/sap/support/notes/0002048958","0002048958")</f>
        <v>0002048958</v>
      </c>
      <c r="I566" t="s">
        <v>1542</v>
      </c>
      <c r="J566">
        <v>1</v>
      </c>
      <c r="K566" t="s">
        <v>13</v>
      </c>
    </row>
    <row r="567" spans="1:11" x14ac:dyDescent="0.25">
      <c r="A567" t="s">
        <v>1543</v>
      </c>
      <c r="B567" t="str">
        <f>HYPERLINK("http://service.sap.com/sap/support/notes/0002013006","0002013006")</f>
        <v>0002013006</v>
      </c>
      <c r="C567" t="s">
        <v>1544</v>
      </c>
      <c r="D567" t="s">
        <v>10</v>
      </c>
      <c r="E567" t="s">
        <v>602</v>
      </c>
      <c r="F567">
        <v>2</v>
      </c>
      <c r="G567" t="s">
        <v>1543</v>
      </c>
      <c r="H567" t="str">
        <f>HYPERLINK("http://service.sap.com/sap/support/notes/0002068055","0002068055")</f>
        <v>0002068055</v>
      </c>
      <c r="I567" t="s">
        <v>1545</v>
      </c>
      <c r="J567">
        <v>1</v>
      </c>
      <c r="K567" t="s">
        <v>13</v>
      </c>
    </row>
    <row r="568" spans="1:11" x14ac:dyDescent="0.25">
      <c r="A568" t="s">
        <v>1546</v>
      </c>
      <c r="B568" t="str">
        <f>HYPERLINK("http://service.sap.com/sap/support/notes/0001965013","0001965013")</f>
        <v>0001965013</v>
      </c>
      <c r="C568" t="s">
        <v>1547</v>
      </c>
      <c r="D568">
        <v>1</v>
      </c>
      <c r="E568" t="s">
        <v>493</v>
      </c>
      <c r="F568">
        <v>1</v>
      </c>
      <c r="G568" t="s">
        <v>1548</v>
      </c>
      <c r="H568" t="str">
        <f>HYPERLINK("http://service.sap.com/sap/support/notes/0001965640","0001965640")</f>
        <v>0001965640</v>
      </c>
      <c r="I568" t="s">
        <v>1549</v>
      </c>
      <c r="J568">
        <v>1</v>
      </c>
      <c r="K568" t="s">
        <v>13</v>
      </c>
    </row>
    <row r="569" spans="1:11" x14ac:dyDescent="0.25">
      <c r="A569" t="s">
        <v>1550</v>
      </c>
      <c r="B569" t="str">
        <f>HYPERLINK("http://service.sap.com/sap/support/notes/0002044424","0002044424")</f>
        <v>0002044424</v>
      </c>
      <c r="C569" t="s">
        <v>1551</v>
      </c>
      <c r="D569" t="s">
        <v>10</v>
      </c>
      <c r="E569" t="s">
        <v>233</v>
      </c>
      <c r="F569">
        <v>1</v>
      </c>
      <c r="G569" t="s">
        <v>1550</v>
      </c>
      <c r="H569" t="str">
        <f>HYPERLINK("http://service.sap.com/sap/support/notes/0002060323","0002060323")</f>
        <v>0002060323</v>
      </c>
      <c r="I569" t="s">
        <v>1552</v>
      </c>
      <c r="J569">
        <v>1</v>
      </c>
      <c r="K569" t="s">
        <v>13</v>
      </c>
    </row>
    <row r="570" spans="1:11" x14ac:dyDescent="0.25">
      <c r="A570" t="s">
        <v>1553</v>
      </c>
      <c r="B570" t="str">
        <f>HYPERLINK("http://service.sap.com/sap/support/notes/0001972287","0001972287")</f>
        <v>0001972287</v>
      </c>
      <c r="C570" t="s">
        <v>1554</v>
      </c>
      <c r="D570" t="s">
        <v>10</v>
      </c>
      <c r="E570" t="s">
        <v>493</v>
      </c>
      <c r="F570">
        <v>1</v>
      </c>
      <c r="G570" t="s">
        <v>1555</v>
      </c>
      <c r="H570" t="str">
        <f>HYPERLINK("http://service.sap.com/sap/support/notes/0002038455","0002038455")</f>
        <v>0002038455</v>
      </c>
      <c r="I570" t="s">
        <v>1556</v>
      </c>
      <c r="J570">
        <v>1</v>
      </c>
      <c r="K570" t="s">
        <v>13</v>
      </c>
    </row>
    <row r="571" spans="1:11" x14ac:dyDescent="0.25">
      <c r="A571" t="s">
        <v>1557</v>
      </c>
      <c r="B571" t="str">
        <f>HYPERLINK("http://service.sap.com/sap/support/notes/0001896463","0001896463")</f>
        <v>0001896463</v>
      </c>
      <c r="C571" t="s">
        <v>1558</v>
      </c>
      <c r="D571" t="s">
        <v>209</v>
      </c>
      <c r="E571" t="s">
        <v>493</v>
      </c>
      <c r="F571">
        <v>2</v>
      </c>
      <c r="G571" t="s">
        <v>1557</v>
      </c>
      <c r="H571" t="str">
        <f>HYPERLINK("http://service.sap.com/sap/support/notes/0002017440","0002017440")</f>
        <v>0002017440</v>
      </c>
      <c r="I571" t="s">
        <v>1559</v>
      </c>
      <c r="J571">
        <v>1</v>
      </c>
      <c r="K571" t="s">
        <v>13</v>
      </c>
    </row>
    <row r="572" spans="1:11" x14ac:dyDescent="0.25">
      <c r="A572" t="s">
        <v>1560</v>
      </c>
      <c r="B572" t="str">
        <f>HYPERLINK("http://service.sap.com/sap/support/notes/0002017179","0002017179")</f>
        <v>0002017179</v>
      </c>
      <c r="C572" t="s">
        <v>1561</v>
      </c>
      <c r="D572" t="s">
        <v>10</v>
      </c>
      <c r="E572" t="s">
        <v>361</v>
      </c>
      <c r="F572">
        <v>3</v>
      </c>
      <c r="G572" t="s">
        <v>1560</v>
      </c>
      <c r="H572" t="str">
        <f>HYPERLINK("http://service.sap.com/sap/support/notes/0002066815","0002066815")</f>
        <v>0002066815</v>
      </c>
      <c r="I572" t="s">
        <v>1562</v>
      </c>
      <c r="J572">
        <v>1</v>
      </c>
      <c r="K572" t="s">
        <v>13</v>
      </c>
    </row>
    <row r="573" spans="1:11" x14ac:dyDescent="0.25">
      <c r="A573" t="s">
        <v>1563</v>
      </c>
      <c r="B573" t="str">
        <f>HYPERLINK("http://service.sap.com/sap/support/notes/0001892752","0001892752")</f>
        <v>0001892752</v>
      </c>
      <c r="C573" t="s">
        <v>1564</v>
      </c>
      <c r="D573" t="s">
        <v>10</v>
      </c>
      <c r="E573" t="s">
        <v>493</v>
      </c>
      <c r="F573">
        <v>2</v>
      </c>
      <c r="G573" t="s">
        <v>1563</v>
      </c>
      <c r="H573" t="str">
        <f>HYPERLINK("http://service.sap.com/sap/support/notes/0002072647","0002072647")</f>
        <v>0002072647</v>
      </c>
      <c r="I573" t="s">
        <v>1565</v>
      </c>
      <c r="J573">
        <v>1</v>
      </c>
      <c r="K573" t="s">
        <v>13</v>
      </c>
    </row>
    <row r="574" spans="1:11" x14ac:dyDescent="0.25">
      <c r="A574" t="s">
        <v>1563</v>
      </c>
      <c r="B574" t="str">
        <f>HYPERLINK("http://service.sap.com/sap/support/notes/0001896304","0001896304")</f>
        <v>0001896304</v>
      </c>
      <c r="C574" t="s">
        <v>1566</v>
      </c>
      <c r="D574" t="s">
        <v>10</v>
      </c>
      <c r="E574" t="s">
        <v>602</v>
      </c>
      <c r="F574">
        <v>5</v>
      </c>
      <c r="G574" t="s">
        <v>1563</v>
      </c>
      <c r="H574" t="str">
        <f>HYPERLINK("http://service.sap.com/sap/support/notes/0002028672","0002028672")</f>
        <v>0002028672</v>
      </c>
      <c r="I574" t="s">
        <v>1567</v>
      </c>
      <c r="J574">
        <v>1</v>
      </c>
      <c r="K574" t="s">
        <v>13</v>
      </c>
    </row>
    <row r="575" spans="1:11" x14ac:dyDescent="0.25">
      <c r="A575" t="s">
        <v>1563</v>
      </c>
      <c r="B575" t="str">
        <f>HYPERLINK("http://service.sap.com/sap/support/notes/0002043725","0002043725")</f>
        <v>0002043725</v>
      </c>
      <c r="C575" t="s">
        <v>1568</v>
      </c>
      <c r="D575" t="s">
        <v>10</v>
      </c>
      <c r="E575" t="s">
        <v>233</v>
      </c>
      <c r="F575">
        <v>1</v>
      </c>
      <c r="G575" t="s">
        <v>1569</v>
      </c>
      <c r="H575" t="str">
        <f>HYPERLINK("http://service.sap.com/sap/support/notes/0002013643","0002013643")</f>
        <v>0002013643</v>
      </c>
      <c r="I575" t="s">
        <v>1570</v>
      </c>
      <c r="J575">
        <v>1</v>
      </c>
      <c r="K575" t="s">
        <v>13</v>
      </c>
    </row>
    <row r="576" spans="1:11" x14ac:dyDescent="0.25">
      <c r="A576" t="s">
        <v>1571</v>
      </c>
      <c r="B576" t="str">
        <f>HYPERLINK("http://service.sap.com/sap/support/notes/0001978209","0001978209")</f>
        <v>0001978209</v>
      </c>
      <c r="C576" t="s">
        <v>1572</v>
      </c>
      <c r="D576" t="s">
        <v>10</v>
      </c>
      <c r="E576" t="s">
        <v>602</v>
      </c>
      <c r="F576">
        <v>5</v>
      </c>
      <c r="G576" t="s">
        <v>1571</v>
      </c>
      <c r="H576" t="str">
        <f>HYPERLINK("http://service.sap.com/sap/support/notes/0002076572","0002076572")</f>
        <v>0002076572</v>
      </c>
      <c r="I576" t="s">
        <v>1573</v>
      </c>
      <c r="J576">
        <v>1</v>
      </c>
      <c r="K576" t="s">
        <v>13</v>
      </c>
    </row>
    <row r="577" spans="1:11" x14ac:dyDescent="0.25">
      <c r="A577" t="s">
        <v>1571</v>
      </c>
      <c r="B577" t="str">
        <f>HYPERLINK("http://service.sap.com/sap/support/notes/0001978209","0001978209")</f>
        <v>0001978209</v>
      </c>
      <c r="C577" t="s">
        <v>1572</v>
      </c>
      <c r="D577" t="s">
        <v>10</v>
      </c>
      <c r="E577" t="s">
        <v>602</v>
      </c>
      <c r="F577">
        <v>5</v>
      </c>
      <c r="G577" t="s">
        <v>1571</v>
      </c>
      <c r="H577" t="str">
        <f>HYPERLINK("http://service.sap.com/sap/support/notes/0002048503","0002048503")</f>
        <v>0002048503</v>
      </c>
      <c r="I577" t="s">
        <v>1574</v>
      </c>
      <c r="J577">
        <v>1</v>
      </c>
      <c r="K577" t="s">
        <v>13</v>
      </c>
    </row>
    <row r="578" spans="1:11" x14ac:dyDescent="0.25">
      <c r="A578" t="s">
        <v>1575</v>
      </c>
      <c r="B578" t="str">
        <f>HYPERLINK("http://service.sap.com/sap/support/notes/0001993328","0001993328")</f>
        <v>0001993328</v>
      </c>
      <c r="C578" t="s">
        <v>1576</v>
      </c>
      <c r="D578" t="s">
        <v>10</v>
      </c>
      <c r="E578" t="s">
        <v>602</v>
      </c>
      <c r="F578">
        <v>1</v>
      </c>
      <c r="G578" t="s">
        <v>1577</v>
      </c>
      <c r="H578" t="str">
        <f>HYPERLINK("http://service.sap.com/sap/support/notes/0002038454","0002038454")</f>
        <v>0002038454</v>
      </c>
      <c r="I578" t="s">
        <v>1578</v>
      </c>
      <c r="J578">
        <v>1</v>
      </c>
      <c r="K578" t="s">
        <v>13</v>
      </c>
    </row>
    <row r="579" spans="1:11" x14ac:dyDescent="0.25">
      <c r="A579" t="s">
        <v>1575</v>
      </c>
      <c r="B579" t="str">
        <f>HYPERLINK("http://service.sap.com/sap/support/notes/0002038862","0002038862")</f>
        <v>0002038862</v>
      </c>
      <c r="C579" t="s">
        <v>1576</v>
      </c>
      <c r="D579" t="s">
        <v>10</v>
      </c>
      <c r="E579" t="s">
        <v>233</v>
      </c>
      <c r="F579">
        <v>1</v>
      </c>
      <c r="G579" t="s">
        <v>1577</v>
      </c>
      <c r="H579" t="str">
        <f>HYPERLINK("http://service.sap.com/sap/support/notes/0002038454","0002038454")</f>
        <v>0002038454</v>
      </c>
      <c r="I579" t="s">
        <v>1578</v>
      </c>
      <c r="J579">
        <v>1</v>
      </c>
      <c r="K579" t="s">
        <v>13</v>
      </c>
    </row>
    <row r="580" spans="1:11" x14ac:dyDescent="0.25">
      <c r="A580" t="s">
        <v>1579</v>
      </c>
      <c r="B580" t="str">
        <f>HYPERLINK("http://service.sap.com/sap/support/notes/0001800407","0001800407")</f>
        <v>0001800407</v>
      </c>
      <c r="C580" t="s">
        <v>1580</v>
      </c>
      <c r="D580" t="s">
        <v>10</v>
      </c>
      <c r="E580" t="s">
        <v>493</v>
      </c>
      <c r="F580">
        <v>4</v>
      </c>
      <c r="G580" t="s">
        <v>1581</v>
      </c>
      <c r="H580" t="str">
        <f>HYPERLINK("http://service.sap.com/sap/support/notes/0002004644","0002004644")</f>
        <v>0002004644</v>
      </c>
      <c r="I580" t="s">
        <v>1582</v>
      </c>
      <c r="J580">
        <v>1</v>
      </c>
      <c r="K580" t="s">
        <v>13</v>
      </c>
    </row>
    <row r="581" spans="1:11" x14ac:dyDescent="0.25">
      <c r="A581" t="s">
        <v>1579</v>
      </c>
      <c r="B581" t="str">
        <f>HYPERLINK("http://service.sap.com/sap/support/notes/0001800407","0001800407")</f>
        <v>0001800407</v>
      </c>
      <c r="C581" t="s">
        <v>1580</v>
      </c>
      <c r="D581" t="s">
        <v>10</v>
      </c>
      <c r="E581" t="s">
        <v>493</v>
      </c>
      <c r="F581">
        <v>4</v>
      </c>
      <c r="G581" t="s">
        <v>1581</v>
      </c>
      <c r="H581" t="str">
        <f>HYPERLINK("http://service.sap.com/sap/support/notes/0001594005","0001594005")</f>
        <v>0001594005</v>
      </c>
      <c r="I581" t="s">
        <v>1583</v>
      </c>
      <c r="J581">
        <v>1</v>
      </c>
      <c r="K581" t="s">
        <v>13</v>
      </c>
    </row>
    <row r="582" spans="1:11" x14ac:dyDescent="0.25">
      <c r="A582" t="s">
        <v>1584</v>
      </c>
      <c r="B582" t="str">
        <f>HYPERLINK("http://service.sap.com/sap/support/notes/0001702809","0001702809")</f>
        <v>0001702809</v>
      </c>
      <c r="C582" t="s">
        <v>1585</v>
      </c>
      <c r="D582" t="s">
        <v>10</v>
      </c>
      <c r="E582" t="s">
        <v>324</v>
      </c>
      <c r="F582">
        <v>3</v>
      </c>
      <c r="G582" t="s">
        <v>1586</v>
      </c>
      <c r="H582" t="str">
        <f>HYPERLINK("http://service.sap.com/sap/support/notes/0001678382","0001678382")</f>
        <v>0001678382</v>
      </c>
      <c r="I582" t="s">
        <v>1587</v>
      </c>
      <c r="J582">
        <v>6</v>
      </c>
      <c r="K582" t="s">
        <v>47</v>
      </c>
    </row>
    <row r="583" spans="1:11" x14ac:dyDescent="0.25">
      <c r="A583" t="s">
        <v>1588</v>
      </c>
      <c r="B583" t="str">
        <f>HYPERLINK("http://service.sap.com/sap/support/notes/0002004781","0002004781")</f>
        <v>0002004781</v>
      </c>
      <c r="C583" t="s">
        <v>1589</v>
      </c>
      <c r="D583" t="s">
        <v>10</v>
      </c>
      <c r="E583" t="s">
        <v>233</v>
      </c>
      <c r="F583">
        <v>2</v>
      </c>
      <c r="G583" t="s">
        <v>996</v>
      </c>
      <c r="H583" t="str">
        <f>HYPERLINK("http://service.sap.com/sap/support/notes/0002074892","0002074892")</f>
        <v>0002074892</v>
      </c>
      <c r="I583" t="s">
        <v>1590</v>
      </c>
      <c r="J583">
        <v>1</v>
      </c>
      <c r="K583" t="s">
        <v>47</v>
      </c>
    </row>
    <row r="584" spans="1:11" x14ac:dyDescent="0.25">
      <c r="A584" t="s">
        <v>1591</v>
      </c>
      <c r="B584" t="str">
        <f>HYPERLINK("http://service.sap.com/sap/support/notes/0001933985","0001933985")</f>
        <v>0001933985</v>
      </c>
      <c r="C584" t="s">
        <v>1592</v>
      </c>
      <c r="D584" t="s">
        <v>10</v>
      </c>
      <c r="E584" t="s">
        <v>493</v>
      </c>
      <c r="F584">
        <v>5</v>
      </c>
      <c r="G584" t="s">
        <v>1591</v>
      </c>
      <c r="H584" t="str">
        <f>HYPERLINK("http://service.sap.com/sap/support/notes/0002008086","0002008086")</f>
        <v>0002008086</v>
      </c>
      <c r="I584" t="s">
        <v>1593</v>
      </c>
      <c r="J584">
        <v>1</v>
      </c>
      <c r="K584" t="s">
        <v>13</v>
      </c>
    </row>
    <row r="585" spans="1:11" x14ac:dyDescent="0.25">
      <c r="A585" t="s">
        <v>1591</v>
      </c>
      <c r="B585" t="str">
        <f>HYPERLINK("http://service.sap.com/sap/support/notes/0001980784","0001980784")</f>
        <v>0001980784</v>
      </c>
      <c r="C585" t="s">
        <v>1594</v>
      </c>
      <c r="D585" t="s">
        <v>10</v>
      </c>
      <c r="E585" t="s">
        <v>493</v>
      </c>
      <c r="F585">
        <v>1</v>
      </c>
      <c r="G585" t="s">
        <v>1591</v>
      </c>
      <c r="H585" t="str">
        <f>HYPERLINK("http://service.sap.com/sap/support/notes/0002008086","0002008086")</f>
        <v>0002008086</v>
      </c>
      <c r="I585" t="s">
        <v>1593</v>
      </c>
      <c r="J585">
        <v>1</v>
      </c>
      <c r="K585" t="s">
        <v>13</v>
      </c>
    </row>
    <row r="586" spans="1:11" x14ac:dyDescent="0.25">
      <c r="A586" t="s">
        <v>1591</v>
      </c>
      <c r="B586" t="str">
        <f>HYPERLINK("http://service.sap.com/sap/support/notes/0001993209","0001993209")</f>
        <v>0001993209</v>
      </c>
      <c r="C586" t="s">
        <v>1595</v>
      </c>
      <c r="D586" t="s">
        <v>10</v>
      </c>
      <c r="E586" t="s">
        <v>602</v>
      </c>
      <c r="F586">
        <v>5</v>
      </c>
      <c r="G586" t="s">
        <v>1591</v>
      </c>
      <c r="H586" t="str">
        <f>HYPERLINK("http://service.sap.com/sap/support/notes/0002051906","0002051906")</f>
        <v>0002051906</v>
      </c>
      <c r="I586" t="s">
        <v>1596</v>
      </c>
      <c r="J586">
        <v>2</v>
      </c>
      <c r="K586" t="s">
        <v>47</v>
      </c>
    </row>
    <row r="587" spans="1:11" x14ac:dyDescent="0.25">
      <c r="A587" t="s">
        <v>1591</v>
      </c>
      <c r="B587" t="str">
        <f>HYPERLINK("http://service.sap.com/sap/support/notes/0001993209","0001993209")</f>
        <v>0001993209</v>
      </c>
      <c r="C587" t="s">
        <v>1595</v>
      </c>
      <c r="D587" t="s">
        <v>10</v>
      </c>
      <c r="E587" t="s">
        <v>602</v>
      </c>
      <c r="F587">
        <v>5</v>
      </c>
      <c r="G587" t="s">
        <v>1591</v>
      </c>
      <c r="H587" t="str">
        <f>HYPERLINK("http://service.sap.com/sap/support/notes/0002069238","0002069238")</f>
        <v>0002069238</v>
      </c>
      <c r="I587" t="s">
        <v>1597</v>
      </c>
      <c r="J587">
        <v>1</v>
      </c>
      <c r="K587" t="s">
        <v>47</v>
      </c>
    </row>
    <row r="588" spans="1:11" x14ac:dyDescent="0.25">
      <c r="A588" t="s">
        <v>1591</v>
      </c>
      <c r="B588" t="str">
        <f>HYPERLINK("http://service.sap.com/sap/support/notes/0002019723","0002019723")</f>
        <v>0002019723</v>
      </c>
      <c r="C588" t="s">
        <v>1598</v>
      </c>
      <c r="D588" t="s">
        <v>10</v>
      </c>
      <c r="E588" t="s">
        <v>233</v>
      </c>
      <c r="F588">
        <v>3</v>
      </c>
      <c r="G588" t="s">
        <v>1591</v>
      </c>
      <c r="H588" t="str">
        <f>HYPERLINK("http://service.sap.com/sap/support/notes/0002066847","0002066847")</f>
        <v>0002066847</v>
      </c>
      <c r="I588" t="s">
        <v>1599</v>
      </c>
      <c r="J588">
        <v>1</v>
      </c>
      <c r="K588" t="s">
        <v>47</v>
      </c>
    </row>
    <row r="589" spans="1:11" x14ac:dyDescent="0.25">
      <c r="A589" t="s">
        <v>1591</v>
      </c>
      <c r="B589" t="str">
        <f>HYPERLINK("http://service.sap.com/sap/support/notes/0002059020","0002059020")</f>
        <v>0002059020</v>
      </c>
      <c r="C589" t="s">
        <v>1600</v>
      </c>
      <c r="D589" t="s">
        <v>10</v>
      </c>
      <c r="E589" t="s">
        <v>233</v>
      </c>
      <c r="F589">
        <v>4</v>
      </c>
      <c r="G589" t="s">
        <v>1591</v>
      </c>
      <c r="H589" t="str">
        <f>HYPERLINK("http://service.sap.com/sap/support/notes/0002068757","0002068757")</f>
        <v>0002068757</v>
      </c>
      <c r="I589" t="s">
        <v>1601</v>
      </c>
      <c r="J589">
        <v>1</v>
      </c>
      <c r="K589" t="s">
        <v>47</v>
      </c>
    </row>
    <row r="590" spans="1:11" x14ac:dyDescent="0.25">
      <c r="A590" t="s">
        <v>1602</v>
      </c>
      <c r="B590" t="str">
        <f>HYPERLINK("http://service.sap.com/sap/support/notes/0001982076","0001982076")</f>
        <v>0001982076</v>
      </c>
      <c r="C590" t="s">
        <v>1603</v>
      </c>
      <c r="D590" t="s">
        <v>10</v>
      </c>
      <c r="E590" t="s">
        <v>602</v>
      </c>
      <c r="F590">
        <v>3</v>
      </c>
      <c r="G590" t="s">
        <v>1602</v>
      </c>
      <c r="H590" t="str">
        <f>HYPERLINK("http://service.sap.com/sap/support/notes/0002027435","0002027435")</f>
        <v>0002027435</v>
      </c>
      <c r="I590" t="s">
        <v>1604</v>
      </c>
      <c r="J590">
        <v>1</v>
      </c>
      <c r="K590" t="s">
        <v>47</v>
      </c>
    </row>
    <row r="591" spans="1:11" x14ac:dyDescent="0.25">
      <c r="A591" t="s">
        <v>1605</v>
      </c>
      <c r="B591" t="str">
        <f>HYPERLINK("http://service.sap.com/sap/support/notes/0002005513","0002005513")</f>
        <v>0002005513</v>
      </c>
      <c r="C591" t="s">
        <v>1606</v>
      </c>
      <c r="D591" t="s">
        <v>10</v>
      </c>
      <c r="E591" t="s">
        <v>602</v>
      </c>
      <c r="F591">
        <v>2</v>
      </c>
      <c r="G591" t="s">
        <v>1605</v>
      </c>
      <c r="H591" t="str">
        <f>HYPERLINK("http://service.sap.com/sap/support/notes/0002080917","0002080917")</f>
        <v>0002080917</v>
      </c>
      <c r="I591" t="s">
        <v>1607</v>
      </c>
      <c r="J591">
        <v>1</v>
      </c>
      <c r="K591" t="s">
        <v>47</v>
      </c>
    </row>
    <row r="592" spans="1:11" x14ac:dyDescent="0.25">
      <c r="A592" t="s">
        <v>1608</v>
      </c>
      <c r="B592" t="str">
        <f>HYPERLINK("http://service.sap.com/sap/support/notes/0001966589","0001966589")</f>
        <v>0001966589</v>
      </c>
      <c r="C592" t="s">
        <v>1609</v>
      </c>
      <c r="D592" t="s">
        <v>10</v>
      </c>
      <c r="E592" t="s">
        <v>477</v>
      </c>
      <c r="F592">
        <v>7</v>
      </c>
      <c r="G592" t="s">
        <v>1608</v>
      </c>
      <c r="H592" t="str">
        <f>HYPERLINK("http://service.sap.com/sap/support/notes/0001979825","0001979825")</f>
        <v>0001979825</v>
      </c>
      <c r="I592" t="s">
        <v>1610</v>
      </c>
      <c r="J592">
        <v>3</v>
      </c>
      <c r="K592" t="s">
        <v>1324</v>
      </c>
    </row>
    <row r="593" spans="1:11" x14ac:dyDescent="0.25">
      <c r="A593" t="s">
        <v>1611</v>
      </c>
      <c r="B593" t="str">
        <f>HYPERLINK("http://service.sap.com/sap/support/notes/0001943776","0001943776")</f>
        <v>0001943776</v>
      </c>
      <c r="C593" t="s">
        <v>1612</v>
      </c>
      <c r="D593" t="s">
        <v>10</v>
      </c>
      <c r="E593" t="s">
        <v>639</v>
      </c>
      <c r="F593">
        <v>2</v>
      </c>
      <c r="G593" t="s">
        <v>1611</v>
      </c>
      <c r="H593" t="str">
        <f>HYPERLINK("http://service.sap.com/sap/support/notes/0002062285","0002062285")</f>
        <v>0002062285</v>
      </c>
      <c r="I593" t="s">
        <v>1613</v>
      </c>
      <c r="J593">
        <v>1</v>
      </c>
      <c r="K593" t="s">
        <v>13</v>
      </c>
    </row>
    <row r="594" spans="1:11" x14ac:dyDescent="0.25">
      <c r="A594" t="s">
        <v>1614</v>
      </c>
      <c r="B594" t="str">
        <f>HYPERLINK("http://service.sap.com/sap/support/notes/0001960865","0001960865")</f>
        <v>0001960865</v>
      </c>
      <c r="C594" t="s">
        <v>1615</v>
      </c>
      <c r="D594" t="s">
        <v>10</v>
      </c>
      <c r="E594" t="s">
        <v>482</v>
      </c>
      <c r="F594">
        <v>3</v>
      </c>
      <c r="G594" t="s">
        <v>1614</v>
      </c>
      <c r="H594" t="str">
        <f>HYPERLINK("http://service.sap.com/sap/support/notes/0002066853","0002066853")</f>
        <v>0002066853</v>
      </c>
      <c r="I594" t="s">
        <v>1616</v>
      </c>
      <c r="J594">
        <v>1</v>
      </c>
      <c r="K594" t="s">
        <v>13</v>
      </c>
    </row>
    <row r="595" spans="1:11" x14ac:dyDescent="0.25">
      <c r="A595" t="s">
        <v>1617</v>
      </c>
      <c r="B595" t="str">
        <f>HYPERLINK("http://service.sap.com/sap/support/notes/0002052506","0002052506")</f>
        <v>0002052506</v>
      </c>
      <c r="C595" t="s">
        <v>1618</v>
      </c>
      <c r="D595" t="s">
        <v>10</v>
      </c>
      <c r="E595" t="s">
        <v>644</v>
      </c>
      <c r="F595">
        <v>4</v>
      </c>
      <c r="G595" t="s">
        <v>1617</v>
      </c>
      <c r="H595" t="str">
        <f>HYPERLINK("http://service.sap.com/sap/support/notes/0002066260","0002066260")</f>
        <v>0002066260</v>
      </c>
      <c r="I595" t="s">
        <v>1619</v>
      </c>
      <c r="J595">
        <v>1</v>
      </c>
      <c r="K595" t="s">
        <v>13</v>
      </c>
    </row>
    <row r="596" spans="1:11" x14ac:dyDescent="0.25">
      <c r="A596" t="s">
        <v>1620</v>
      </c>
      <c r="B596" t="str">
        <f>HYPERLINK("http://service.sap.com/sap/support/notes/0002005314","0002005314")</f>
        <v>0002005314</v>
      </c>
      <c r="C596" t="s">
        <v>1621</v>
      </c>
      <c r="D596" t="s">
        <v>10</v>
      </c>
      <c r="E596" t="s">
        <v>233</v>
      </c>
      <c r="F596">
        <v>5</v>
      </c>
      <c r="G596" t="s">
        <v>1620</v>
      </c>
      <c r="H596" t="str">
        <f>HYPERLINK("http://service.sap.com/sap/support/notes/0002079392","0002079392")</f>
        <v>0002079392</v>
      </c>
      <c r="I596" t="s">
        <v>1622</v>
      </c>
      <c r="J596">
        <v>1</v>
      </c>
      <c r="K596" t="s">
        <v>13</v>
      </c>
    </row>
    <row r="597" spans="1:11" x14ac:dyDescent="0.25">
      <c r="A597" t="s">
        <v>1620</v>
      </c>
      <c r="B597" t="str">
        <f>HYPERLINK("http://service.sap.com/sap/support/notes/0002005314","0002005314")</f>
        <v>0002005314</v>
      </c>
      <c r="C597" t="s">
        <v>1621</v>
      </c>
      <c r="D597" t="s">
        <v>10</v>
      </c>
      <c r="E597" t="s">
        <v>233</v>
      </c>
      <c r="F597">
        <v>5</v>
      </c>
      <c r="G597" t="s">
        <v>1620</v>
      </c>
      <c r="H597" t="str">
        <f>HYPERLINK("http://service.sap.com/sap/support/notes/0002053397","0002053397")</f>
        <v>0002053397</v>
      </c>
      <c r="I597" t="s">
        <v>1623</v>
      </c>
      <c r="J597">
        <v>1</v>
      </c>
      <c r="K597" t="s">
        <v>13</v>
      </c>
    </row>
    <row r="598" spans="1:11" x14ac:dyDescent="0.25">
      <c r="A598" t="s">
        <v>1620</v>
      </c>
      <c r="B598" t="str">
        <f>HYPERLINK("http://service.sap.com/sap/support/notes/0002028833","0002028833")</f>
        <v>0002028833</v>
      </c>
      <c r="C598" t="s">
        <v>1624</v>
      </c>
      <c r="D598" t="s">
        <v>10</v>
      </c>
      <c r="E598" t="s">
        <v>233</v>
      </c>
      <c r="F598">
        <v>10</v>
      </c>
      <c r="G598" t="s">
        <v>1620</v>
      </c>
      <c r="H598" t="str">
        <f>HYPERLINK("http://service.sap.com/sap/support/notes/0002053397","0002053397")</f>
        <v>0002053397</v>
      </c>
      <c r="I598" t="s">
        <v>1623</v>
      </c>
      <c r="J598">
        <v>1</v>
      </c>
      <c r="K598" t="s">
        <v>13</v>
      </c>
    </row>
    <row r="599" spans="1:11" x14ac:dyDescent="0.25">
      <c r="A599" t="s">
        <v>1625</v>
      </c>
      <c r="B599" t="str">
        <f>HYPERLINK("http://service.sap.com/sap/support/notes/0002036441","0002036441")</f>
        <v>0002036441</v>
      </c>
      <c r="C599" t="s">
        <v>1626</v>
      </c>
      <c r="D599" t="s">
        <v>10</v>
      </c>
      <c r="E599" t="s">
        <v>230</v>
      </c>
      <c r="F599">
        <v>2</v>
      </c>
      <c r="G599" t="s">
        <v>1625</v>
      </c>
      <c r="H599" t="str">
        <f>HYPERLINK("http://service.sap.com/sap/support/notes/0002062676","0002062676")</f>
        <v>0002062676</v>
      </c>
      <c r="I599" t="s">
        <v>1626</v>
      </c>
      <c r="J599">
        <v>1</v>
      </c>
      <c r="K599" t="s">
        <v>13</v>
      </c>
    </row>
    <row r="600" spans="1:11" x14ac:dyDescent="0.25">
      <c r="A600" t="s">
        <v>1627</v>
      </c>
      <c r="B600" t="str">
        <f>HYPERLINK("http://service.sap.com/sap/support/notes/0001963866","0001963866")</f>
        <v>0001963866</v>
      </c>
      <c r="C600" t="s">
        <v>1628</v>
      </c>
      <c r="D600" t="s">
        <v>10</v>
      </c>
      <c r="E600" t="s">
        <v>493</v>
      </c>
      <c r="F600">
        <v>3</v>
      </c>
      <c r="G600" t="s">
        <v>1629</v>
      </c>
      <c r="H600" t="str">
        <f>HYPERLINK("http://service.sap.com/sap/support/notes/0001987224","0001987224")</f>
        <v>0001987224</v>
      </c>
      <c r="I600" t="s">
        <v>1630</v>
      </c>
      <c r="J600">
        <v>1</v>
      </c>
      <c r="K600" t="s">
        <v>13</v>
      </c>
    </row>
    <row r="601" spans="1:11" x14ac:dyDescent="0.25">
      <c r="A601" t="s">
        <v>1631</v>
      </c>
      <c r="B601" t="str">
        <f>HYPERLINK("http://service.sap.com/sap/support/notes/0001905569","0001905569")</f>
        <v>0001905569</v>
      </c>
      <c r="C601" t="s">
        <v>1632</v>
      </c>
      <c r="D601" t="s">
        <v>10</v>
      </c>
      <c r="E601" t="s">
        <v>477</v>
      </c>
      <c r="F601">
        <v>2</v>
      </c>
      <c r="G601" t="s">
        <v>1631</v>
      </c>
      <c r="H601" t="str">
        <f>HYPERLINK("http://service.sap.com/sap/support/notes/0001971880","0001971880")</f>
        <v>0001971880</v>
      </c>
      <c r="I601" t="s">
        <v>1633</v>
      </c>
      <c r="J601">
        <v>1</v>
      </c>
      <c r="K601" t="s">
        <v>13</v>
      </c>
    </row>
    <row r="602" spans="1:11" x14ac:dyDescent="0.25">
      <c r="A602" t="s">
        <v>1631</v>
      </c>
      <c r="B602" t="str">
        <f>HYPERLINK("http://service.sap.com/sap/support/notes/0001905569","0001905569")</f>
        <v>0001905569</v>
      </c>
      <c r="C602" t="s">
        <v>1632</v>
      </c>
      <c r="D602" t="s">
        <v>10</v>
      </c>
      <c r="E602" t="s">
        <v>493</v>
      </c>
      <c r="F602">
        <v>2</v>
      </c>
      <c r="G602" t="s">
        <v>1631</v>
      </c>
      <c r="H602" t="str">
        <f>HYPERLINK("http://service.sap.com/sap/support/notes/0001971880","0001971880")</f>
        <v>0001971880</v>
      </c>
      <c r="I602" t="s">
        <v>1633</v>
      </c>
      <c r="J602">
        <v>1</v>
      </c>
      <c r="K602" t="s">
        <v>13</v>
      </c>
    </row>
    <row r="603" spans="1:11" x14ac:dyDescent="0.25">
      <c r="A603" t="s">
        <v>1634</v>
      </c>
      <c r="B603" t="str">
        <f>HYPERLINK("http://service.sap.com/sap/support/notes/0002048797","0002048797")</f>
        <v>0002048797</v>
      </c>
      <c r="C603" t="s">
        <v>1635</v>
      </c>
      <c r="D603" t="s">
        <v>564</v>
      </c>
      <c r="E603" t="s">
        <v>865</v>
      </c>
      <c r="F603">
        <v>3</v>
      </c>
      <c r="G603" t="s">
        <v>1634</v>
      </c>
      <c r="H603" t="str">
        <f>HYPERLINK("http://service.sap.com/sap/support/notes/0002085153","0002085153")</f>
        <v>0002085153</v>
      </c>
      <c r="I603" t="s">
        <v>1636</v>
      </c>
      <c r="J603">
        <v>1</v>
      </c>
      <c r="K603" t="s">
        <v>13</v>
      </c>
    </row>
    <row r="604" spans="1:11" x14ac:dyDescent="0.25">
      <c r="A604" t="s">
        <v>1637</v>
      </c>
      <c r="B604" t="str">
        <f>HYPERLINK("http://service.sap.com/sap/support/notes/0002000745","0002000745")</f>
        <v>0002000745</v>
      </c>
      <c r="C604" t="s">
        <v>1638</v>
      </c>
      <c r="D604" t="s">
        <v>10</v>
      </c>
      <c r="E604" t="s">
        <v>230</v>
      </c>
      <c r="F604">
        <v>10</v>
      </c>
      <c r="G604" t="s">
        <v>1639</v>
      </c>
      <c r="H604" t="str">
        <f>HYPERLINK("http://service.sap.com/sap/support/notes/0001459306","0001459306")</f>
        <v>0001459306</v>
      </c>
      <c r="I604" t="s">
        <v>1640</v>
      </c>
      <c r="J604">
        <v>1</v>
      </c>
      <c r="K604" t="s">
        <v>1324</v>
      </c>
    </row>
    <row r="605" spans="1:11" x14ac:dyDescent="0.25">
      <c r="A605" t="s">
        <v>1641</v>
      </c>
      <c r="B605" t="str">
        <f>HYPERLINK("http://service.sap.com/sap/support/notes/0002003303","0002003303")</f>
        <v>0002003303</v>
      </c>
      <c r="C605" t="s">
        <v>1642</v>
      </c>
      <c r="D605" t="s">
        <v>10</v>
      </c>
      <c r="E605" t="s">
        <v>391</v>
      </c>
      <c r="F605">
        <v>4</v>
      </c>
      <c r="G605" t="s">
        <v>1641</v>
      </c>
      <c r="H605" t="str">
        <f>HYPERLINK("http://service.sap.com/sap/support/notes/0002042035","0002042035")</f>
        <v>0002042035</v>
      </c>
      <c r="I605" t="s">
        <v>1643</v>
      </c>
      <c r="J605">
        <v>1</v>
      </c>
      <c r="K605" t="s">
        <v>13</v>
      </c>
    </row>
    <row r="606" spans="1:11" x14ac:dyDescent="0.25">
      <c r="A606" t="s">
        <v>1641</v>
      </c>
      <c r="B606" t="str">
        <f>HYPERLINK("http://service.sap.com/sap/support/notes/0002034542","0002034542")</f>
        <v>0002034542</v>
      </c>
      <c r="C606" t="s">
        <v>1644</v>
      </c>
      <c r="D606" t="s">
        <v>10</v>
      </c>
      <c r="E606" t="s">
        <v>391</v>
      </c>
      <c r="F606">
        <v>8</v>
      </c>
      <c r="G606" t="s">
        <v>1641</v>
      </c>
      <c r="H606" t="str">
        <f>HYPERLINK("http://service.sap.com/sap/support/notes/0002066982","0002066982")</f>
        <v>0002066982</v>
      </c>
      <c r="I606" t="s">
        <v>1645</v>
      </c>
      <c r="J606">
        <v>1</v>
      </c>
      <c r="K606" t="s">
        <v>13</v>
      </c>
    </row>
    <row r="607" spans="1:11" x14ac:dyDescent="0.25">
      <c r="A607" t="s">
        <v>1646</v>
      </c>
      <c r="B607" t="str">
        <f>HYPERLINK("http://service.sap.com/sap/support/notes/0001955777","0001955777")</f>
        <v>0001955777</v>
      </c>
      <c r="C607" t="s">
        <v>1647</v>
      </c>
      <c r="D607" t="s">
        <v>10</v>
      </c>
      <c r="E607" t="s">
        <v>477</v>
      </c>
      <c r="F607">
        <v>3</v>
      </c>
      <c r="G607" t="s">
        <v>1646</v>
      </c>
      <c r="H607" t="str">
        <f>HYPERLINK("http://service.sap.com/sap/support/notes/0001961040","0001961040")</f>
        <v>0001961040</v>
      </c>
      <c r="I607" t="s">
        <v>1648</v>
      </c>
      <c r="J607">
        <v>1</v>
      </c>
      <c r="K607" t="s">
        <v>47</v>
      </c>
    </row>
    <row r="608" spans="1:11" x14ac:dyDescent="0.25">
      <c r="A608" t="s">
        <v>1646</v>
      </c>
      <c r="B608" t="str">
        <f>HYPERLINK("http://service.sap.com/sap/support/notes/0001959669","0001959669")</f>
        <v>0001959669</v>
      </c>
      <c r="C608" t="s">
        <v>1649</v>
      </c>
      <c r="D608" t="s">
        <v>10</v>
      </c>
      <c r="E608" t="s">
        <v>477</v>
      </c>
      <c r="F608">
        <v>3</v>
      </c>
      <c r="G608" t="s">
        <v>1646</v>
      </c>
      <c r="H608" t="str">
        <f>HYPERLINK("http://service.sap.com/sap/support/notes/0001961040","0001961040")</f>
        <v>0001961040</v>
      </c>
      <c r="I608" t="s">
        <v>1648</v>
      </c>
      <c r="J608">
        <v>1</v>
      </c>
      <c r="K608" t="s">
        <v>47</v>
      </c>
    </row>
    <row r="609" spans="1:11" x14ac:dyDescent="0.25">
      <c r="A609" t="s">
        <v>1646</v>
      </c>
      <c r="B609" t="str">
        <f>HYPERLINK("http://service.sap.com/sap/support/notes/0001969695","0001969695")</f>
        <v>0001969695</v>
      </c>
      <c r="C609" t="s">
        <v>1650</v>
      </c>
      <c r="D609" t="s">
        <v>10</v>
      </c>
      <c r="E609" t="s">
        <v>639</v>
      </c>
      <c r="F609">
        <v>4</v>
      </c>
      <c r="G609" t="s">
        <v>1646</v>
      </c>
      <c r="H609" t="str">
        <f>HYPERLINK("http://service.sap.com/sap/support/notes/0001996237","0001996237")</f>
        <v>0001996237</v>
      </c>
      <c r="I609" t="s">
        <v>1651</v>
      </c>
      <c r="J609">
        <v>6</v>
      </c>
      <c r="K609" t="s">
        <v>13</v>
      </c>
    </row>
    <row r="610" spans="1:11" x14ac:dyDescent="0.25">
      <c r="A610" t="s">
        <v>1646</v>
      </c>
      <c r="B610" t="str">
        <f>HYPERLINK("http://service.sap.com/sap/support/notes/0001969695","0001969695")</f>
        <v>0001969695</v>
      </c>
      <c r="C610" t="s">
        <v>1650</v>
      </c>
      <c r="D610" t="s">
        <v>10</v>
      </c>
      <c r="E610" t="s">
        <v>477</v>
      </c>
      <c r="F610">
        <v>4</v>
      </c>
      <c r="G610" t="s">
        <v>1646</v>
      </c>
      <c r="H610" t="str">
        <f>HYPERLINK("http://service.sap.com/sap/support/notes/0001996237","0001996237")</f>
        <v>0001996237</v>
      </c>
      <c r="I610" t="s">
        <v>1651</v>
      </c>
      <c r="J610">
        <v>6</v>
      </c>
      <c r="K610" t="s">
        <v>13</v>
      </c>
    </row>
    <row r="611" spans="1:11" x14ac:dyDescent="0.25">
      <c r="A611" t="s">
        <v>1646</v>
      </c>
      <c r="B611" t="str">
        <f>HYPERLINK("http://service.sap.com/sap/support/notes/0001975237","0001975237")</f>
        <v>0001975237</v>
      </c>
      <c r="C611" t="s">
        <v>1652</v>
      </c>
      <c r="D611" t="s">
        <v>10</v>
      </c>
      <c r="E611" t="s">
        <v>493</v>
      </c>
      <c r="F611">
        <v>1</v>
      </c>
      <c r="G611" t="s">
        <v>1653</v>
      </c>
      <c r="H611" t="str">
        <f>HYPERLINK("http://service.sap.com/sap/support/notes/0002047440","0002047440")</f>
        <v>0002047440</v>
      </c>
      <c r="I611" t="s">
        <v>1652</v>
      </c>
      <c r="J611">
        <v>1</v>
      </c>
      <c r="K611" t="s">
        <v>13</v>
      </c>
    </row>
    <row r="612" spans="1:11" x14ac:dyDescent="0.25">
      <c r="A612" t="s">
        <v>1646</v>
      </c>
      <c r="B612" t="str">
        <f>HYPERLINK("http://service.sap.com/sap/support/notes/0001975237","0001975237")</f>
        <v>0001975237</v>
      </c>
      <c r="C612" t="s">
        <v>1652</v>
      </c>
      <c r="D612" t="s">
        <v>10</v>
      </c>
      <c r="E612" t="s">
        <v>493</v>
      </c>
      <c r="F612">
        <v>1</v>
      </c>
      <c r="G612" t="s">
        <v>1646</v>
      </c>
      <c r="H612" t="str">
        <f>HYPERLINK("http://service.sap.com/sap/support/notes/0001989709","0001989709")</f>
        <v>0001989709</v>
      </c>
      <c r="I612" t="s">
        <v>1654</v>
      </c>
      <c r="J612">
        <v>1</v>
      </c>
      <c r="K612" t="s">
        <v>13</v>
      </c>
    </row>
    <row r="613" spans="1:11" x14ac:dyDescent="0.25">
      <c r="A613" t="s">
        <v>1646</v>
      </c>
      <c r="B613" t="str">
        <f>HYPERLINK("http://service.sap.com/sap/support/notes/0001975237","0001975237")</f>
        <v>0001975237</v>
      </c>
      <c r="C613" t="s">
        <v>1652</v>
      </c>
      <c r="D613" t="s">
        <v>10</v>
      </c>
      <c r="E613" t="s">
        <v>477</v>
      </c>
      <c r="F613">
        <v>1</v>
      </c>
      <c r="G613" t="s">
        <v>1653</v>
      </c>
      <c r="H613" t="str">
        <f>HYPERLINK("http://service.sap.com/sap/support/notes/0002047440","0002047440")</f>
        <v>0002047440</v>
      </c>
      <c r="I613" t="s">
        <v>1652</v>
      </c>
      <c r="J613">
        <v>1</v>
      </c>
      <c r="K613" t="s">
        <v>13</v>
      </c>
    </row>
    <row r="614" spans="1:11" x14ac:dyDescent="0.25">
      <c r="A614" t="s">
        <v>1646</v>
      </c>
      <c r="B614" t="str">
        <f>HYPERLINK("http://service.sap.com/sap/support/notes/0002027374","0002027374")</f>
        <v>0002027374</v>
      </c>
      <c r="C614" t="s">
        <v>1655</v>
      </c>
      <c r="D614" t="s">
        <v>10</v>
      </c>
      <c r="E614" t="s">
        <v>230</v>
      </c>
      <c r="F614">
        <v>5</v>
      </c>
      <c r="G614" t="s">
        <v>1646</v>
      </c>
      <c r="H614" t="str">
        <f>HYPERLINK("http://service.sap.com/sap/support/notes/0002032072","0002032072")</f>
        <v>0002032072</v>
      </c>
      <c r="I614" t="s">
        <v>1655</v>
      </c>
      <c r="J614">
        <v>1</v>
      </c>
      <c r="K614" t="s">
        <v>13</v>
      </c>
    </row>
    <row r="615" spans="1:11" x14ac:dyDescent="0.25">
      <c r="A615" t="s">
        <v>1656</v>
      </c>
      <c r="B615" t="str">
        <f>HYPERLINK("http://service.sap.com/sap/support/notes/0001979562","0001979562")</f>
        <v>0001979562</v>
      </c>
      <c r="C615" t="s">
        <v>1657</v>
      </c>
      <c r="D615" t="s">
        <v>10</v>
      </c>
      <c r="E615" t="s">
        <v>477</v>
      </c>
      <c r="F615">
        <v>1</v>
      </c>
      <c r="G615" t="s">
        <v>1656</v>
      </c>
      <c r="H615" t="str">
        <f>HYPERLINK("http://service.sap.com/sap/support/notes/0002032865","0002032865")</f>
        <v>0002032865</v>
      </c>
      <c r="I615" t="s">
        <v>1658</v>
      </c>
      <c r="J615">
        <v>1</v>
      </c>
      <c r="K615" t="s">
        <v>13</v>
      </c>
    </row>
    <row r="616" spans="1:11" x14ac:dyDescent="0.25">
      <c r="A616" t="s">
        <v>1659</v>
      </c>
      <c r="B616" t="str">
        <f>HYPERLINK("http://service.sap.com/sap/support/notes/0001950826","0001950826")</f>
        <v>0001950826</v>
      </c>
      <c r="C616" t="s">
        <v>1660</v>
      </c>
      <c r="D616" t="s">
        <v>10</v>
      </c>
      <c r="E616" t="s">
        <v>869</v>
      </c>
      <c r="F616">
        <v>3</v>
      </c>
      <c r="G616" t="s">
        <v>1223</v>
      </c>
      <c r="H616" t="str">
        <f>HYPERLINK("http://service.sap.com/sap/support/notes/0001998920","0001998920")</f>
        <v>0001998920</v>
      </c>
      <c r="I616" t="s">
        <v>1661</v>
      </c>
      <c r="J616">
        <v>1</v>
      </c>
      <c r="K616" t="s">
        <v>13</v>
      </c>
    </row>
    <row r="617" spans="1:11" x14ac:dyDescent="0.25">
      <c r="A617" t="s">
        <v>1659</v>
      </c>
      <c r="B617" t="str">
        <f>HYPERLINK("http://service.sap.com/sap/support/notes/0002018547","0002018547")</f>
        <v>0002018547</v>
      </c>
      <c r="C617" t="s">
        <v>1662</v>
      </c>
      <c r="D617" t="s">
        <v>10</v>
      </c>
      <c r="E617" t="s">
        <v>1663</v>
      </c>
      <c r="F617">
        <v>3</v>
      </c>
      <c r="G617" t="s">
        <v>1659</v>
      </c>
      <c r="H617" t="str">
        <f>HYPERLINK("http://service.sap.com/sap/support/notes/0002066305","0002066305")</f>
        <v>0002066305</v>
      </c>
      <c r="I617" t="s">
        <v>1664</v>
      </c>
      <c r="J617">
        <v>1</v>
      </c>
      <c r="K617" t="s">
        <v>13</v>
      </c>
    </row>
    <row r="618" spans="1:11" x14ac:dyDescent="0.25">
      <c r="A618" t="s">
        <v>1659</v>
      </c>
      <c r="B618" t="str">
        <f>HYPERLINK("http://service.sap.com/sap/support/notes/0002048652","0002048652")</f>
        <v>0002048652</v>
      </c>
      <c r="C618" t="s">
        <v>1665</v>
      </c>
      <c r="D618" t="s">
        <v>10</v>
      </c>
      <c r="E618" t="s">
        <v>865</v>
      </c>
      <c r="F618">
        <v>4</v>
      </c>
      <c r="G618" t="s">
        <v>1659</v>
      </c>
      <c r="H618" t="str">
        <f>HYPERLINK("http://service.sap.com/sap/support/notes/0002056626","0002056626")</f>
        <v>0002056626</v>
      </c>
      <c r="I618" t="s">
        <v>1666</v>
      </c>
      <c r="J618">
        <v>1</v>
      </c>
      <c r="K618" t="s">
        <v>13</v>
      </c>
    </row>
    <row r="619" spans="1:11" x14ac:dyDescent="0.25">
      <c r="A619" t="s">
        <v>1659</v>
      </c>
      <c r="B619" t="str">
        <f>HYPERLINK("http://service.sap.com/sap/support/notes/0002062568","0002062568")</f>
        <v>0002062568</v>
      </c>
      <c r="C619" t="s">
        <v>1667</v>
      </c>
      <c r="D619" t="s">
        <v>10</v>
      </c>
      <c r="E619" t="s">
        <v>865</v>
      </c>
      <c r="F619">
        <v>2</v>
      </c>
      <c r="G619" t="s">
        <v>1659</v>
      </c>
      <c r="H619" t="str">
        <f>HYPERLINK("http://service.sap.com/sap/support/notes/0002066375","0002066375")</f>
        <v>0002066375</v>
      </c>
      <c r="I619" t="s">
        <v>1668</v>
      </c>
      <c r="J619">
        <v>1</v>
      </c>
      <c r="K619" t="s">
        <v>13</v>
      </c>
    </row>
    <row r="620" spans="1:11" x14ac:dyDescent="0.25">
      <c r="A620" t="s">
        <v>1223</v>
      </c>
      <c r="B620" t="str">
        <f>HYPERLINK("http://service.sap.com/sap/support/notes/0001974782","0001974782")</f>
        <v>0001974782</v>
      </c>
      <c r="C620" t="s">
        <v>1669</v>
      </c>
      <c r="D620" t="s">
        <v>10</v>
      </c>
      <c r="E620" t="s">
        <v>883</v>
      </c>
      <c r="F620">
        <v>7</v>
      </c>
      <c r="G620" t="s">
        <v>1223</v>
      </c>
      <c r="H620" t="str">
        <f>HYPERLINK("http://service.sap.com/sap/support/notes/0002082638","0002082638")</f>
        <v>0002082638</v>
      </c>
      <c r="I620" t="s">
        <v>1670</v>
      </c>
      <c r="J620">
        <v>1</v>
      </c>
      <c r="K620" t="s">
        <v>13</v>
      </c>
    </row>
    <row r="621" spans="1:11" x14ac:dyDescent="0.25">
      <c r="A621" t="s">
        <v>349</v>
      </c>
      <c r="B621" t="str">
        <f>HYPERLINK("http://service.sap.com/sap/support/notes/0001963716","0001963716")</f>
        <v>0001963716</v>
      </c>
      <c r="C621" t="s">
        <v>1671</v>
      </c>
      <c r="D621" t="s">
        <v>10</v>
      </c>
      <c r="E621" t="s">
        <v>1672</v>
      </c>
      <c r="F621">
        <v>1</v>
      </c>
      <c r="G621" t="s">
        <v>349</v>
      </c>
      <c r="H621" t="str">
        <f>HYPERLINK("http://service.sap.com/sap/support/notes/0002073123","0002073123")</f>
        <v>0002073123</v>
      </c>
      <c r="I621" t="s">
        <v>1673</v>
      </c>
      <c r="J621">
        <v>1</v>
      </c>
      <c r="K621" t="s">
        <v>13</v>
      </c>
    </row>
    <row r="622" spans="1:11" x14ac:dyDescent="0.25">
      <c r="A622" t="s">
        <v>349</v>
      </c>
      <c r="B622" t="str">
        <f>HYPERLINK("http://service.sap.com/sap/support/notes/0001995647","0001995647")</f>
        <v>0001995647</v>
      </c>
      <c r="C622" t="s">
        <v>1674</v>
      </c>
      <c r="D622" t="s">
        <v>10</v>
      </c>
      <c r="E622" t="s">
        <v>1675</v>
      </c>
      <c r="F622">
        <v>1</v>
      </c>
      <c r="G622" t="s">
        <v>805</v>
      </c>
      <c r="H622" t="str">
        <f>HYPERLINK("http://service.sap.com/sap/support/notes/0002022647","0002022647")</f>
        <v>0002022647</v>
      </c>
      <c r="I622" t="s">
        <v>1676</v>
      </c>
      <c r="J622">
        <v>1</v>
      </c>
      <c r="K622" t="s">
        <v>13</v>
      </c>
    </row>
    <row r="623" spans="1:11" x14ac:dyDescent="0.25">
      <c r="A623" t="s">
        <v>349</v>
      </c>
      <c r="B623" t="str">
        <f>HYPERLINK("http://service.sap.com/sap/support/notes/0002010663","0002010663")</f>
        <v>0002010663</v>
      </c>
      <c r="C623" t="s">
        <v>1677</v>
      </c>
      <c r="D623" t="s">
        <v>10</v>
      </c>
      <c r="E623" t="s">
        <v>391</v>
      </c>
      <c r="F623">
        <v>2</v>
      </c>
      <c r="G623" t="s">
        <v>349</v>
      </c>
      <c r="H623" t="str">
        <f>HYPERLINK("http://service.sap.com/sap/support/notes/0002071160","0002071160")</f>
        <v>0002071160</v>
      </c>
      <c r="I623" t="s">
        <v>1678</v>
      </c>
      <c r="J623">
        <v>1</v>
      </c>
      <c r="K623" t="s">
        <v>13</v>
      </c>
    </row>
    <row r="624" spans="1:11" x14ac:dyDescent="0.25">
      <c r="A624" t="s">
        <v>349</v>
      </c>
      <c r="B624" t="str">
        <f>HYPERLINK("http://service.sap.com/sap/support/notes/0002018127","0002018127")</f>
        <v>0002018127</v>
      </c>
      <c r="C624" t="s">
        <v>1679</v>
      </c>
      <c r="D624" t="s">
        <v>10</v>
      </c>
      <c r="E624" t="s">
        <v>1675</v>
      </c>
      <c r="F624">
        <v>3</v>
      </c>
      <c r="G624" t="s">
        <v>349</v>
      </c>
      <c r="H624" t="str">
        <f>HYPERLINK("http://service.sap.com/sap/support/notes/0002079379","0002079379")</f>
        <v>0002079379</v>
      </c>
      <c r="I624" t="s">
        <v>1680</v>
      </c>
      <c r="J624">
        <v>1</v>
      </c>
      <c r="K624" t="s">
        <v>13</v>
      </c>
    </row>
    <row r="625" spans="1:11" x14ac:dyDescent="0.25">
      <c r="A625" t="s">
        <v>349</v>
      </c>
      <c r="B625" t="str">
        <f>HYPERLINK("http://service.sap.com/sap/support/notes/0002028850","0002028850")</f>
        <v>0002028850</v>
      </c>
      <c r="C625" t="s">
        <v>1681</v>
      </c>
      <c r="D625" t="s">
        <v>10</v>
      </c>
      <c r="E625" t="s">
        <v>391</v>
      </c>
      <c r="F625">
        <v>6</v>
      </c>
      <c r="G625" t="s">
        <v>349</v>
      </c>
      <c r="H625" t="str">
        <f>HYPERLINK("http://service.sap.com/sap/support/notes/0002058092","0002058092")</f>
        <v>0002058092</v>
      </c>
      <c r="I625" t="s">
        <v>1682</v>
      </c>
      <c r="J625">
        <v>1</v>
      </c>
      <c r="K625" t="s">
        <v>13</v>
      </c>
    </row>
    <row r="626" spans="1:11" x14ac:dyDescent="0.25">
      <c r="A626" t="s">
        <v>349</v>
      </c>
      <c r="B626" t="str">
        <f>HYPERLINK("http://service.sap.com/sap/support/notes/0002041521","0002041521")</f>
        <v>0002041521</v>
      </c>
      <c r="C626" t="s">
        <v>1683</v>
      </c>
      <c r="D626" t="s">
        <v>10</v>
      </c>
      <c r="E626" t="s">
        <v>391</v>
      </c>
      <c r="F626">
        <v>1</v>
      </c>
      <c r="G626" t="s">
        <v>349</v>
      </c>
      <c r="H626" t="str">
        <f>HYPERLINK("http://service.sap.com/sap/support/notes/0002068774","0002068774")</f>
        <v>0002068774</v>
      </c>
      <c r="I626" t="s">
        <v>1684</v>
      </c>
      <c r="J626">
        <v>1</v>
      </c>
      <c r="K626" t="s">
        <v>13</v>
      </c>
    </row>
    <row r="627" spans="1:11" x14ac:dyDescent="0.25">
      <c r="A627" t="s">
        <v>349</v>
      </c>
      <c r="B627" t="str">
        <f>HYPERLINK("http://service.sap.com/sap/support/notes/0002045663","0002045663")</f>
        <v>0002045663</v>
      </c>
      <c r="C627" t="s">
        <v>1685</v>
      </c>
      <c r="D627" t="s">
        <v>10</v>
      </c>
      <c r="E627" t="s">
        <v>391</v>
      </c>
      <c r="F627">
        <v>4</v>
      </c>
      <c r="G627" t="s">
        <v>349</v>
      </c>
      <c r="H627" t="str">
        <f>HYPERLINK("http://service.sap.com/sap/support/notes/0002074007","0002074007")</f>
        <v>0002074007</v>
      </c>
      <c r="I627" t="s">
        <v>1686</v>
      </c>
      <c r="J627">
        <v>1</v>
      </c>
      <c r="K627" t="s">
        <v>13</v>
      </c>
    </row>
    <row r="628" spans="1:11" x14ac:dyDescent="0.25">
      <c r="A628" t="s">
        <v>349</v>
      </c>
      <c r="B628" t="str">
        <f>HYPERLINK("http://service.sap.com/sap/support/notes/0002057174","0002057174")</f>
        <v>0002057174</v>
      </c>
      <c r="C628" t="s">
        <v>1687</v>
      </c>
      <c r="D628" t="s">
        <v>10</v>
      </c>
      <c r="E628" t="s">
        <v>391</v>
      </c>
      <c r="F628">
        <v>2</v>
      </c>
      <c r="G628" t="s">
        <v>349</v>
      </c>
      <c r="H628" t="str">
        <f>HYPERLINK("http://service.sap.com/sap/support/notes/0002068568","0002068568")</f>
        <v>0002068568</v>
      </c>
      <c r="I628" t="s">
        <v>1688</v>
      </c>
      <c r="J628">
        <v>1</v>
      </c>
      <c r="K628" t="s">
        <v>13</v>
      </c>
    </row>
    <row r="629" spans="1:11" x14ac:dyDescent="0.25">
      <c r="A629" t="s">
        <v>349</v>
      </c>
      <c r="B629" t="str">
        <f>HYPERLINK("http://service.sap.com/sap/support/notes/0002059091","0002059091")</f>
        <v>0002059091</v>
      </c>
      <c r="C629" t="s">
        <v>1689</v>
      </c>
      <c r="D629" t="s">
        <v>10</v>
      </c>
      <c r="E629" t="s">
        <v>391</v>
      </c>
      <c r="F629">
        <v>1</v>
      </c>
      <c r="G629" t="s">
        <v>349</v>
      </c>
      <c r="H629" t="str">
        <f>HYPERLINK("http://service.sap.com/sap/support/notes/0002060054","0002060054")</f>
        <v>0002060054</v>
      </c>
      <c r="I629" t="s">
        <v>1689</v>
      </c>
      <c r="J629">
        <v>1</v>
      </c>
      <c r="K629" t="s">
        <v>13</v>
      </c>
    </row>
  </sheetData>
  <autoFilter ref="A1:K62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ERP_Update_Side-Effects-Report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Quern</dc:creator>
  <cp:lastModifiedBy>Frank Quern</cp:lastModifiedBy>
  <dcterms:created xsi:type="dcterms:W3CDTF">2014-10-25T22:41:19Z</dcterms:created>
  <dcterms:modified xsi:type="dcterms:W3CDTF">2014-10-25T22:57:47Z</dcterms:modified>
</cp:coreProperties>
</file>