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rad\Downloads\"/>
    </mc:Choice>
  </mc:AlternateContent>
  <xr:revisionPtr revIDLastSave="0" documentId="13_ncr:1_{BEAFD9AE-8B51-46BE-90AD-D05F892B2672}" xr6:coauthVersionLast="47" xr6:coauthVersionMax="47" xr10:uidLastSave="{00000000-0000-0000-0000-000000000000}"/>
  <bookViews>
    <workbookView xWindow="340" yWindow="0" windowWidth="25240" windowHeight="15370" xr2:uid="{5A5C015C-C50A-4507-A35C-EE2AA51D542D}"/>
  </bookViews>
  <sheets>
    <sheet name="Hand Calcs - Dish" sheetId="1" r:id="rId1"/>
    <sheet name="Hand Calcs - Gri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40" i="2"/>
  <c r="C35" i="2"/>
  <c r="C36" i="2"/>
  <c r="C3" i="2"/>
  <c r="C6" i="1"/>
  <c r="C5" i="1" s="1"/>
  <c r="C6" i="2"/>
  <c r="C5" i="2" s="1"/>
  <c r="G6" i="1"/>
  <c r="C47" i="1"/>
  <c r="C33" i="1"/>
  <c r="C39" i="2"/>
  <c r="C38" i="1"/>
  <c r="C55" i="2"/>
  <c r="C51" i="2"/>
  <c r="C44" i="2"/>
  <c r="C54" i="2" s="1"/>
  <c r="C56" i="2" s="1"/>
  <c r="G9" i="2" s="1"/>
  <c r="C43" i="2"/>
  <c r="C34" i="2"/>
  <c r="C3" i="1"/>
  <c r="C54" i="1"/>
  <c r="C50" i="1"/>
  <c r="C51" i="1" s="1"/>
  <c r="G8" i="1" s="1"/>
  <c r="C43" i="1"/>
  <c r="C53" i="1" s="1"/>
  <c r="C42" i="1"/>
  <c r="G5" i="2" l="1"/>
  <c r="C4" i="1"/>
  <c r="C35" i="1" s="1"/>
  <c r="G4" i="1" s="1"/>
  <c r="C4" i="2"/>
  <c r="G3" i="2" s="1"/>
  <c r="G5" i="1"/>
  <c r="C45" i="2"/>
  <c r="C46" i="2" s="1"/>
  <c r="G6" i="2" s="1"/>
  <c r="C48" i="2"/>
  <c r="G7" i="2" s="1"/>
  <c r="C52" i="2"/>
  <c r="G8" i="2" s="1"/>
  <c r="C55" i="1"/>
  <c r="G9" i="1" s="1"/>
  <c r="C44" i="1"/>
  <c r="C45" i="1" s="1"/>
  <c r="G7" i="1"/>
  <c r="C34" i="1" l="1"/>
  <c r="G3" i="1" s="1"/>
  <c r="G4" i="2"/>
</calcChain>
</file>

<file path=xl/sharedStrings.xml><?xml version="1.0" encoding="utf-8"?>
<sst xmlns="http://schemas.openxmlformats.org/spreadsheetml/2006/main" count="194" uniqueCount="66">
  <si>
    <t>Pointer Base Parameters</t>
  </si>
  <si>
    <t>Base Mass (mB)</t>
  </si>
  <si>
    <t>kg</t>
  </si>
  <si>
    <t>Legs Horizontal Separation - Front (xB)</t>
  </si>
  <si>
    <t>m</t>
  </si>
  <si>
    <t>Legs Horizontal Separation - Side (yB)</t>
  </si>
  <si>
    <t>Leg Vertical Height (zB)</t>
  </si>
  <si>
    <t>Antenna Parameters</t>
  </si>
  <si>
    <t>Top of Base to Beam - Vertical (zT)</t>
  </si>
  <si>
    <t>Side Panel Area (Ap)</t>
  </si>
  <si>
    <t>m^2</t>
  </si>
  <si>
    <r>
      <t xml:space="preserve">Yagi Mass </t>
    </r>
    <r>
      <rPr>
        <b/>
        <sz val="11"/>
        <color theme="1"/>
        <rFont val="Aptos Narrow"/>
        <family val="2"/>
        <scheme val="minor"/>
      </rPr>
      <t>(m1)</t>
    </r>
  </si>
  <si>
    <r>
      <t xml:space="preserve">Beam Length to Yagi </t>
    </r>
    <r>
      <rPr>
        <b/>
        <sz val="11"/>
        <color theme="1"/>
        <rFont val="Aptos Narrow"/>
        <family val="2"/>
        <scheme val="minor"/>
      </rPr>
      <t>(x1)</t>
    </r>
  </si>
  <si>
    <r>
      <t xml:space="preserve">Yagi Length </t>
    </r>
    <r>
      <rPr>
        <b/>
        <sz val="11"/>
        <color theme="1"/>
        <rFont val="Aptos Narrow"/>
        <family val="2"/>
        <scheme val="minor"/>
      </rPr>
      <t>(L1)</t>
    </r>
  </si>
  <si>
    <r>
      <t xml:space="preserve">Dish Mass </t>
    </r>
    <r>
      <rPr>
        <b/>
        <sz val="11"/>
        <color theme="1"/>
        <rFont val="Aptos Narrow"/>
        <family val="2"/>
        <scheme val="minor"/>
      </rPr>
      <t>(m2)</t>
    </r>
  </si>
  <si>
    <r>
      <t xml:space="preserve">Dish "Length" </t>
    </r>
    <r>
      <rPr>
        <b/>
        <sz val="11"/>
        <color theme="1"/>
        <rFont val="Aptos Narrow"/>
        <family val="2"/>
        <scheme val="minor"/>
      </rPr>
      <t>(L2)</t>
    </r>
  </si>
  <si>
    <r>
      <t xml:space="preserve">Helical Antenna Mass </t>
    </r>
    <r>
      <rPr>
        <b/>
        <sz val="11"/>
        <color theme="1"/>
        <rFont val="Aptos Narrow"/>
        <family val="2"/>
        <scheme val="minor"/>
      </rPr>
      <t>(m3)</t>
    </r>
  </si>
  <si>
    <r>
      <t xml:space="preserve">Helical Antenna Length </t>
    </r>
    <r>
      <rPr>
        <b/>
        <sz val="11"/>
        <color theme="1"/>
        <rFont val="Aptos Narrow"/>
        <family val="2"/>
        <scheme val="minor"/>
      </rPr>
      <t>(L3)</t>
    </r>
  </si>
  <si>
    <t>Results</t>
  </si>
  <si>
    <t>Beam Bending Stress FOS</t>
  </si>
  <si>
    <t>Drag</t>
  </si>
  <si>
    <t>CD Flat Plate</t>
  </si>
  <si>
    <t>[-]</t>
  </si>
  <si>
    <t>Wind Velocity</t>
  </si>
  <si>
    <t>m/s</t>
  </si>
  <si>
    <t>Density</t>
  </si>
  <si>
    <t>kg/m^3</t>
  </si>
  <si>
    <t>N</t>
  </si>
  <si>
    <r>
      <t>Beam Length to Helical Antenna</t>
    </r>
    <r>
      <rPr>
        <b/>
        <sz val="11"/>
        <color theme="1"/>
        <rFont val="Aptos Narrow"/>
        <family val="2"/>
        <scheme val="minor"/>
      </rPr>
      <t xml:space="preserve"> (x3)</t>
    </r>
  </si>
  <si>
    <t>N*m</t>
  </si>
  <si>
    <t>Drag on Dish</t>
  </si>
  <si>
    <t>Sum of Moments Direction 1 (must be &lt;0)</t>
  </si>
  <si>
    <t>Sum of Moments (must be &gt;0)</t>
  </si>
  <si>
    <t>Sum of Moments Direction 2 (must be &gt;0)</t>
  </si>
  <si>
    <t>MPa</t>
  </si>
  <si>
    <t>Beam ID</t>
  </si>
  <si>
    <t>Beam OD</t>
  </si>
  <si>
    <r>
      <t xml:space="preserve">Beam Parameters </t>
    </r>
    <r>
      <rPr>
        <sz val="11"/>
        <color theme="1"/>
        <rFont val="Aptos Narrow"/>
        <family val="2"/>
        <scheme val="minor"/>
      </rPr>
      <t>(Al 6061-T6)</t>
    </r>
  </si>
  <si>
    <t>Yield Strength</t>
  </si>
  <si>
    <t>Elastic Modulus</t>
  </si>
  <si>
    <t>GPa</t>
  </si>
  <si>
    <t>Shear Strength</t>
  </si>
  <si>
    <t>Shear Modulus</t>
  </si>
  <si>
    <t>Yagi Bending Calcs</t>
  </si>
  <si>
    <t>Max Bending Stress</t>
  </si>
  <si>
    <t>Moment from Yagi</t>
  </si>
  <si>
    <t>m^4</t>
  </si>
  <si>
    <t>FOS</t>
  </si>
  <si>
    <t>Tip Displacement</t>
  </si>
  <si>
    <t>Vibrations</t>
  </si>
  <si>
    <t>First Bending Mode</t>
  </si>
  <si>
    <t>Cross-Sectional Area</t>
  </si>
  <si>
    <t>Hz</t>
  </si>
  <si>
    <t>Torsional Stiffness</t>
  </si>
  <si>
    <t>First Torsional Mode</t>
  </si>
  <si>
    <t>Yagi MOI</t>
  </si>
  <si>
    <t>kg*m^2</t>
  </si>
  <si>
    <t>Beam 2nd MOI</t>
  </si>
  <si>
    <t>Yagi Tip Displacement</t>
  </si>
  <si>
    <t>mm</t>
  </si>
  <si>
    <t>Topple Over Front View Calc</t>
  </si>
  <si>
    <t>Topple Over Side View Calc</t>
  </si>
  <si>
    <t>Falls Over Towards Yagi in 10m/s wind?</t>
  </si>
  <si>
    <t>Falls Over Towards Helical in 10m/s wind?</t>
  </si>
  <si>
    <t>Falls Over Forwards in 10m/s wind?</t>
  </si>
  <si>
    <t>(want these all false)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</si>
</sst>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19601</xdr:colOff>
      <xdr:row>26</xdr:row>
      <xdr:rowOff>28318</xdr:rowOff>
    </xdr:from>
    <xdr:to>
      <xdr:col>5</xdr:col>
      <xdr:colOff>2343150</xdr:colOff>
      <xdr:row>40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2EEBCE-A979-BB8E-6305-716354616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2301" y="4816218"/>
          <a:ext cx="2323549" cy="2549782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29</xdr:row>
      <xdr:rowOff>63500</xdr:rowOff>
    </xdr:from>
    <xdr:to>
      <xdr:col>8</xdr:col>
      <xdr:colOff>346696</xdr:colOff>
      <xdr:row>36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1AE693-35E8-9E89-2AB9-880AD2CD5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5403850"/>
          <a:ext cx="1057896" cy="1301750"/>
        </a:xfrm>
        <a:prstGeom prst="rect">
          <a:avLst/>
        </a:prstGeom>
      </xdr:spPr>
    </xdr:pic>
    <xdr:clientData/>
  </xdr:twoCellAnchor>
  <xdr:twoCellAnchor editAs="oneCell">
    <xdr:from>
      <xdr:col>9</xdr:col>
      <xdr:colOff>184150</xdr:colOff>
      <xdr:row>29</xdr:row>
      <xdr:rowOff>57150</xdr:rowOff>
    </xdr:from>
    <xdr:to>
      <xdr:col>11</xdr:col>
      <xdr:colOff>285750</xdr:colOff>
      <xdr:row>35</xdr:row>
      <xdr:rowOff>135390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808F5A-69AB-7110-8FFA-7F31623CC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37700" y="5397500"/>
          <a:ext cx="1320800" cy="1183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19601</xdr:colOff>
      <xdr:row>27</xdr:row>
      <xdr:rowOff>28318</xdr:rowOff>
    </xdr:from>
    <xdr:to>
      <xdr:col>5</xdr:col>
      <xdr:colOff>2343150</xdr:colOff>
      <xdr:row>41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51EFA9-38F8-774C-8DFE-678CE6954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4901" y="4981318"/>
          <a:ext cx="2323549" cy="2638682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30</xdr:row>
      <xdr:rowOff>63500</xdr:rowOff>
    </xdr:from>
    <xdr:to>
      <xdr:col>8</xdr:col>
      <xdr:colOff>346696</xdr:colOff>
      <xdr:row>37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08C717-D9C6-F041-BE78-36C5DE33F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37600" y="5588000"/>
          <a:ext cx="1184896" cy="1346200"/>
        </a:xfrm>
        <a:prstGeom prst="rect">
          <a:avLst/>
        </a:prstGeom>
      </xdr:spPr>
    </xdr:pic>
    <xdr:clientData/>
  </xdr:twoCellAnchor>
  <xdr:twoCellAnchor editAs="oneCell">
    <xdr:from>
      <xdr:col>9</xdr:col>
      <xdr:colOff>184150</xdr:colOff>
      <xdr:row>30</xdr:row>
      <xdr:rowOff>57150</xdr:rowOff>
    </xdr:from>
    <xdr:to>
      <xdr:col>11</xdr:col>
      <xdr:colOff>285750</xdr:colOff>
      <xdr:row>36</xdr:row>
      <xdr:rowOff>135390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E7BCBA-71B6-4E41-BD50-668DF8439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33050" y="5581650"/>
          <a:ext cx="1447800" cy="1221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5174-423B-4FD8-82ED-A8C06185B5B0}">
  <dimension ref="B2:I55"/>
  <sheetViews>
    <sheetView tabSelected="1" zoomScale="120" workbookViewId="0">
      <selection activeCell="F19" sqref="F19"/>
    </sheetView>
  </sheetViews>
  <sheetFormatPr defaultColWidth="8.81640625" defaultRowHeight="14.5" x14ac:dyDescent="0.35"/>
  <cols>
    <col min="2" max="2" width="34.81640625" customWidth="1"/>
    <col min="3" max="3" width="11.81640625" bestFit="1" customWidth="1"/>
    <col min="6" max="6" width="34.81640625" customWidth="1"/>
  </cols>
  <sheetData>
    <row r="2" spans="2:9" x14ac:dyDescent="0.35">
      <c r="B2" s="1" t="s">
        <v>0</v>
      </c>
      <c r="F2" s="1" t="s">
        <v>18</v>
      </c>
    </row>
    <row r="3" spans="2:9" x14ac:dyDescent="0.35">
      <c r="B3" s="5" t="s">
        <v>1</v>
      </c>
      <c r="C3" s="5">
        <f>(2.06+1+2.36+3.14)/2.205</f>
        <v>3.8820861678004537</v>
      </c>
      <c r="D3" s="5" t="s">
        <v>2</v>
      </c>
      <c r="F3" t="s">
        <v>62</v>
      </c>
      <c r="G3" t="b">
        <f>IF(C34&gt;=0, TRUE, FALSE)</f>
        <v>0</v>
      </c>
    </row>
    <row r="4" spans="2:9" x14ac:dyDescent="0.35">
      <c r="B4" s="5" t="s">
        <v>3</v>
      </c>
      <c r="C4" s="5">
        <f>0.266+2*C6</f>
        <v>0.62521024484276611</v>
      </c>
      <c r="D4" s="5" t="s">
        <v>4</v>
      </c>
      <c r="F4" t="s">
        <v>63</v>
      </c>
      <c r="G4" t="b">
        <f>IF(C35&lt;=0, TRUE, FALSE)</f>
        <v>0</v>
      </c>
      <c r="I4" t="s">
        <v>65</v>
      </c>
    </row>
    <row r="5" spans="2:9" x14ac:dyDescent="0.35">
      <c r="B5" s="5" t="s">
        <v>5</v>
      </c>
      <c r="C5" s="5">
        <f>0.266+2*C6</f>
        <v>0.62521024484276611</v>
      </c>
      <c r="D5" s="5" t="s">
        <v>4</v>
      </c>
      <c r="F5" t="s">
        <v>64</v>
      </c>
      <c r="G5" t="b">
        <f>IF(C39&gt;=0, FALSE, TRUE)</f>
        <v>0</v>
      </c>
    </row>
    <row r="6" spans="2:9" x14ac:dyDescent="0.35">
      <c r="B6" s="5" t="s">
        <v>6</v>
      </c>
      <c r="C6" s="5">
        <f>0.254*SQRT(2)/2</f>
        <v>0.17960512242138307</v>
      </c>
      <c r="D6" s="5" t="s">
        <v>4</v>
      </c>
      <c r="F6" t="s">
        <v>19</v>
      </c>
      <c r="G6" s="7">
        <f>C45</f>
        <v>19.777029121347223</v>
      </c>
      <c r="H6" t="s">
        <v>22</v>
      </c>
    </row>
    <row r="7" spans="2:9" x14ac:dyDescent="0.35">
      <c r="B7" s="5" t="s">
        <v>8</v>
      </c>
      <c r="C7" s="5">
        <v>0.38100000000000001</v>
      </c>
      <c r="D7" s="5" t="s">
        <v>4</v>
      </c>
      <c r="F7" t="s">
        <v>58</v>
      </c>
      <c r="G7" s="6">
        <f>C47*1000</f>
        <v>9.7356109678932992</v>
      </c>
      <c r="H7" t="s">
        <v>59</v>
      </c>
    </row>
    <row r="8" spans="2:9" x14ac:dyDescent="0.35">
      <c r="B8" s="5" t="s">
        <v>9</v>
      </c>
      <c r="C8" s="5">
        <v>8.5699999999999998E-2</v>
      </c>
      <c r="D8" s="5" t="s">
        <v>10</v>
      </c>
      <c r="F8" t="s">
        <v>50</v>
      </c>
      <c r="G8" s="6">
        <f>C51</f>
        <v>4.9475670660150293</v>
      </c>
      <c r="H8" t="s">
        <v>52</v>
      </c>
    </row>
    <row r="9" spans="2:9" x14ac:dyDescent="0.35">
      <c r="F9" t="s">
        <v>54</v>
      </c>
      <c r="G9" s="6">
        <f>C55</f>
        <v>7.5642608950270791</v>
      </c>
      <c r="H9" t="s">
        <v>52</v>
      </c>
    </row>
    <row r="10" spans="2:9" x14ac:dyDescent="0.35">
      <c r="B10" s="1" t="s">
        <v>7</v>
      </c>
    </row>
    <row r="11" spans="2:9" x14ac:dyDescent="0.35">
      <c r="B11" s="2" t="s">
        <v>11</v>
      </c>
      <c r="C11" s="2">
        <v>2.5</v>
      </c>
      <c r="D11" s="2" t="s">
        <v>2</v>
      </c>
    </row>
    <row r="12" spans="2:9" x14ac:dyDescent="0.35">
      <c r="B12" s="2" t="s">
        <v>12</v>
      </c>
      <c r="C12" s="2">
        <v>0.91439999999999999</v>
      </c>
      <c r="D12" s="2" t="s">
        <v>4</v>
      </c>
    </row>
    <row r="13" spans="2:9" x14ac:dyDescent="0.35">
      <c r="B13" s="2" t="s">
        <v>13</v>
      </c>
      <c r="C13" s="2">
        <v>1.36</v>
      </c>
      <c r="D13" s="2" t="s">
        <v>4</v>
      </c>
    </row>
    <row r="14" spans="2:9" x14ac:dyDescent="0.35">
      <c r="B14" s="3" t="s">
        <v>14</v>
      </c>
      <c r="C14" s="3">
        <v>7.4</v>
      </c>
      <c r="D14" s="3" t="s">
        <v>2</v>
      </c>
    </row>
    <row r="15" spans="2:9" x14ac:dyDescent="0.35">
      <c r="B15" s="3" t="s">
        <v>15</v>
      </c>
      <c r="C15" s="3">
        <v>0.38600000000000001</v>
      </c>
      <c r="D15" s="3" t="s">
        <v>4</v>
      </c>
    </row>
    <row r="16" spans="2:9" x14ac:dyDescent="0.35">
      <c r="B16" s="4" t="s">
        <v>16</v>
      </c>
      <c r="C16" s="4">
        <v>0.25</v>
      </c>
      <c r="D16" s="4" t="s">
        <v>2</v>
      </c>
    </row>
    <row r="17" spans="2:4" x14ac:dyDescent="0.35">
      <c r="B17" s="4" t="s">
        <v>28</v>
      </c>
      <c r="C17" s="4">
        <v>0.91439999999999999</v>
      </c>
      <c r="D17" s="4" t="s">
        <v>4</v>
      </c>
    </row>
    <row r="18" spans="2:4" x14ac:dyDescent="0.35">
      <c r="B18" s="4" t="s">
        <v>17</v>
      </c>
      <c r="C18" s="4">
        <v>0.27</v>
      </c>
      <c r="D18" s="4" t="s">
        <v>4</v>
      </c>
    </row>
    <row r="20" spans="2:4" x14ac:dyDescent="0.35">
      <c r="B20" s="1" t="s">
        <v>37</v>
      </c>
    </row>
    <row r="21" spans="2:4" x14ac:dyDescent="0.35">
      <c r="B21" s="5" t="s">
        <v>36</v>
      </c>
      <c r="C21" s="5">
        <v>3.8100000000000002E-2</v>
      </c>
      <c r="D21" s="5" t="s">
        <v>4</v>
      </c>
    </row>
    <row r="22" spans="2:4" x14ac:dyDescent="0.35">
      <c r="B22" s="5" t="s">
        <v>35</v>
      </c>
      <c r="C22" s="5">
        <v>3.49E-2</v>
      </c>
      <c r="D22" s="5" t="s">
        <v>4</v>
      </c>
    </row>
    <row r="23" spans="2:4" x14ac:dyDescent="0.35">
      <c r="B23" t="s">
        <v>38</v>
      </c>
      <c r="C23">
        <v>276</v>
      </c>
      <c r="D23" t="s">
        <v>34</v>
      </c>
    </row>
    <row r="24" spans="2:4" x14ac:dyDescent="0.35">
      <c r="B24" t="s">
        <v>39</v>
      </c>
      <c r="C24">
        <v>69</v>
      </c>
      <c r="D24" t="s">
        <v>40</v>
      </c>
    </row>
    <row r="25" spans="2:4" x14ac:dyDescent="0.35">
      <c r="B25" t="s">
        <v>41</v>
      </c>
      <c r="C25">
        <v>206</v>
      </c>
      <c r="D25" t="s">
        <v>34</v>
      </c>
    </row>
    <row r="26" spans="2:4" x14ac:dyDescent="0.35">
      <c r="B26" t="s">
        <v>42</v>
      </c>
      <c r="C26">
        <v>26</v>
      </c>
      <c r="D26" t="s">
        <v>40</v>
      </c>
    </row>
    <row r="27" spans="2:4" x14ac:dyDescent="0.35">
      <c r="B27" t="s">
        <v>25</v>
      </c>
      <c r="C27">
        <v>2700</v>
      </c>
      <c r="D27" t="s">
        <v>26</v>
      </c>
    </row>
    <row r="29" spans="2:4" x14ac:dyDescent="0.35">
      <c r="B29" s="1" t="s">
        <v>60</v>
      </c>
    </row>
    <row r="30" spans="2:4" x14ac:dyDescent="0.35">
      <c r="B30" t="s">
        <v>21</v>
      </c>
      <c r="C30">
        <v>1.28</v>
      </c>
      <c r="D30" t="s">
        <v>22</v>
      </c>
    </row>
    <row r="31" spans="2:4" x14ac:dyDescent="0.35">
      <c r="B31" t="s">
        <v>23</v>
      </c>
      <c r="C31">
        <v>10</v>
      </c>
      <c r="D31" t="s">
        <v>24</v>
      </c>
    </row>
    <row r="32" spans="2:4" x14ac:dyDescent="0.35">
      <c r="B32" t="s">
        <v>25</v>
      </c>
      <c r="C32">
        <v>1.2250000000000001</v>
      </c>
      <c r="D32" t="s">
        <v>26</v>
      </c>
    </row>
    <row r="33" spans="2:4" x14ac:dyDescent="0.35">
      <c r="B33" t="s">
        <v>20</v>
      </c>
      <c r="C33">
        <f>2*(0.5*C32*C31^2*C8*C30)</f>
        <v>13.437760000000001</v>
      </c>
      <c r="D33" t="s">
        <v>27</v>
      </c>
    </row>
    <row r="34" spans="2:4" x14ac:dyDescent="0.35">
      <c r="B34" t="s">
        <v>31</v>
      </c>
      <c r="C34">
        <f>9.81*C11*(C12-C4/2)+C33*(C6+C7/2)-9.81*C3*(C4/2)-9.81*C14*(C4/2)-9.81*C16*(C17-C4/2)</f>
        <v>-16.341778825061112</v>
      </c>
      <c r="D34" t="s">
        <v>29</v>
      </c>
    </row>
    <row r="35" spans="2:4" x14ac:dyDescent="0.35">
      <c r="B35" t="s">
        <v>33</v>
      </c>
      <c r="C35">
        <f>9.81*C11*(C12+C4/2)-C33*(C6+C7/2)+9.81*C3*(C4/2)+9.81*C14*(C4/2)+9.81*C16*(C17-C4/2)</f>
        <v>61.193098825061114</v>
      </c>
      <c r="D35" t="s">
        <v>29</v>
      </c>
    </row>
    <row r="37" spans="2:4" x14ac:dyDescent="0.35">
      <c r="B37" s="1" t="s">
        <v>61</v>
      </c>
    </row>
    <row r="38" spans="2:4" x14ac:dyDescent="0.35">
      <c r="B38" t="s">
        <v>30</v>
      </c>
      <c r="C38">
        <f>790*(3.6/200)^2*100</f>
        <v>25.596000000000007</v>
      </c>
      <c r="D38" t="s">
        <v>27</v>
      </c>
    </row>
    <row r="39" spans="2:4" x14ac:dyDescent="0.35">
      <c r="B39" t="s">
        <v>32</v>
      </c>
      <c r="C39">
        <f>-9.81*C11*(C13-C5)/2-9.81*C14*(C15-C5)/2-9.81*C16*(C18-C5)/2-C33*(C6+C7/2)+9.81*C3*(C5/2)</f>
        <v>7.0394714505379943</v>
      </c>
      <c r="D39" t="s">
        <v>29</v>
      </c>
    </row>
    <row r="41" spans="2:4" x14ac:dyDescent="0.35">
      <c r="B41" s="1" t="s">
        <v>43</v>
      </c>
    </row>
    <row r="42" spans="2:4" x14ac:dyDescent="0.35">
      <c r="B42" t="s">
        <v>45</v>
      </c>
      <c r="C42">
        <f>9.81*C11*C12</f>
        <v>22.425660000000001</v>
      </c>
      <c r="D42" t="s">
        <v>29</v>
      </c>
    </row>
    <row r="43" spans="2:4" x14ac:dyDescent="0.35">
      <c r="B43" t="s">
        <v>57</v>
      </c>
      <c r="C43">
        <f>PI()/64*(C21^4-C22^4)</f>
        <v>3.0612033816548811E-8</v>
      </c>
      <c r="D43" t="s">
        <v>46</v>
      </c>
    </row>
    <row r="44" spans="2:4" x14ac:dyDescent="0.35">
      <c r="B44" t="s">
        <v>44</v>
      </c>
      <c r="C44">
        <f>C42/C43*C21/2*10^-6</f>
        <v>13.955584446305286</v>
      </c>
      <c r="D44" t="s">
        <v>34</v>
      </c>
    </row>
    <row r="45" spans="2:4" x14ac:dyDescent="0.35">
      <c r="B45" t="s">
        <v>47</v>
      </c>
      <c r="C45">
        <f>C23/C44</f>
        <v>19.777029121347223</v>
      </c>
    </row>
    <row r="47" spans="2:4" x14ac:dyDescent="0.35">
      <c r="B47" t="s">
        <v>48</v>
      </c>
      <c r="C47">
        <f>(9.81*C11*C13^3)/(3*C24*10^9*C43)</f>
        <v>9.7356109678932989E-3</v>
      </c>
      <c r="D47" t="s">
        <v>4</v>
      </c>
    </row>
    <row r="49" spans="2:4" x14ac:dyDescent="0.35">
      <c r="B49" s="1" t="s">
        <v>49</v>
      </c>
    </row>
    <row r="50" spans="2:4" x14ac:dyDescent="0.35">
      <c r="B50" t="s">
        <v>51</v>
      </c>
      <c r="C50">
        <f>PI()/4*(C21^2-C22^2)</f>
        <v>1.8346901096964394E-4</v>
      </c>
      <c r="D50" t="s">
        <v>10</v>
      </c>
    </row>
    <row r="51" spans="2:4" x14ac:dyDescent="0.35">
      <c r="B51" t="s">
        <v>50</v>
      </c>
      <c r="C51">
        <f>1/(2*PI())*SQRT((3*C24*10^9*C43/C13^3)/(33/140*C27*C50*C12+C11))</f>
        <v>4.9475670660150293</v>
      </c>
      <c r="D51" t="s">
        <v>52</v>
      </c>
    </row>
    <row r="53" spans="2:4" x14ac:dyDescent="0.35">
      <c r="B53" t="s">
        <v>53</v>
      </c>
      <c r="C53">
        <f>(C26*10^9*C43)/C12</f>
        <v>870.42090904447616</v>
      </c>
      <c r="D53" t="s">
        <v>29</v>
      </c>
    </row>
    <row r="54" spans="2:4" x14ac:dyDescent="0.35">
      <c r="B54" t="s">
        <v>55</v>
      </c>
      <c r="C54">
        <f>1/3*C11*(C13/2)^2</f>
        <v>0.38533333333333336</v>
      </c>
      <c r="D54" t="s">
        <v>56</v>
      </c>
    </row>
    <row r="55" spans="2:4" x14ac:dyDescent="0.35">
      <c r="B55" t="s">
        <v>54</v>
      </c>
      <c r="C55">
        <f>1/(2*PI())*SQRT(C53/C54)</f>
        <v>7.5642608950270791</v>
      </c>
      <c r="D55" t="s">
        <v>52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E320-3568-9042-A001-62C5194ED5BA}">
  <dimension ref="B2:I56"/>
  <sheetViews>
    <sheetView workbookViewId="0">
      <selection activeCell="F26" sqref="F26"/>
    </sheetView>
  </sheetViews>
  <sheetFormatPr defaultColWidth="8.81640625" defaultRowHeight="14.5" x14ac:dyDescent="0.35"/>
  <cols>
    <col min="2" max="2" width="34.81640625" customWidth="1"/>
    <col min="3" max="3" width="11.81640625" bestFit="1" customWidth="1"/>
    <col min="6" max="6" width="34.81640625" customWidth="1"/>
  </cols>
  <sheetData>
    <row r="2" spans="2:9" x14ac:dyDescent="0.35">
      <c r="B2" s="1" t="s">
        <v>0</v>
      </c>
      <c r="F2" s="1" t="s">
        <v>18</v>
      </c>
    </row>
    <row r="3" spans="2:9" x14ac:dyDescent="0.35">
      <c r="B3" s="5" t="s">
        <v>1</v>
      </c>
      <c r="C3" s="5">
        <f>(2.06+1+2.36+3.14)/2.205</f>
        <v>3.8820861678004537</v>
      </c>
      <c r="D3" s="5" t="s">
        <v>2</v>
      </c>
      <c r="F3" t="s">
        <v>62</v>
      </c>
      <c r="G3" t="b">
        <f>IF(C35&gt;=0, TRUE, FALSE)</f>
        <v>0</v>
      </c>
    </row>
    <row r="4" spans="2:9" x14ac:dyDescent="0.35">
      <c r="B4" s="5" t="s">
        <v>3</v>
      </c>
      <c r="C4" s="5">
        <f>0.266+2*C6</f>
        <v>0.62521024484276611</v>
      </c>
      <c r="D4" s="5" t="s">
        <v>4</v>
      </c>
      <c r="F4" t="s">
        <v>63</v>
      </c>
      <c r="G4" t="b">
        <f>IF(C36&lt;=0, TRUE, FALSE)</f>
        <v>0</v>
      </c>
      <c r="I4" t="s">
        <v>65</v>
      </c>
    </row>
    <row r="5" spans="2:9" x14ac:dyDescent="0.35">
      <c r="B5" s="5" t="s">
        <v>5</v>
      </c>
      <c r="C5" s="5">
        <f>0.266+2*C6</f>
        <v>0.62521024484276611</v>
      </c>
      <c r="D5" s="5" t="s">
        <v>4</v>
      </c>
      <c r="F5" t="s">
        <v>64</v>
      </c>
      <c r="G5" t="b">
        <f>IF(C40&gt;=0, FALSE, TRUE)</f>
        <v>0</v>
      </c>
    </row>
    <row r="6" spans="2:9" x14ac:dyDescent="0.35">
      <c r="B6" s="5" t="s">
        <v>6</v>
      </c>
      <c r="C6" s="5">
        <f>0.254*SQRT(2)/2</f>
        <v>0.17960512242138307</v>
      </c>
      <c r="D6" s="5" t="s">
        <v>4</v>
      </c>
      <c r="F6" t="s">
        <v>19</v>
      </c>
      <c r="G6" s="7">
        <f>C46</f>
        <v>19.777029121347223</v>
      </c>
      <c r="H6" t="s">
        <v>22</v>
      </c>
    </row>
    <row r="7" spans="2:9" x14ac:dyDescent="0.35">
      <c r="B7" s="5" t="s">
        <v>8</v>
      </c>
      <c r="C7" s="5">
        <v>0.38100000000000001</v>
      </c>
      <c r="D7" s="5" t="s">
        <v>4</v>
      </c>
      <c r="F7" t="s">
        <v>58</v>
      </c>
      <c r="G7" s="6">
        <f>C48*1000</f>
        <v>9.7356109678932992</v>
      </c>
      <c r="H7" t="s">
        <v>59</v>
      </c>
    </row>
    <row r="8" spans="2:9" x14ac:dyDescent="0.35">
      <c r="B8" s="5" t="s">
        <v>9</v>
      </c>
      <c r="C8" s="5">
        <v>8.5699999999999998E-2</v>
      </c>
      <c r="D8" s="5" t="s">
        <v>10</v>
      </c>
      <c r="F8" t="s">
        <v>50</v>
      </c>
      <c r="G8" s="6">
        <f>C52</f>
        <v>4.9475670660150293</v>
      </c>
      <c r="H8" t="s">
        <v>52</v>
      </c>
    </row>
    <row r="9" spans="2:9" x14ac:dyDescent="0.35">
      <c r="B9" s="5"/>
      <c r="C9" s="5"/>
      <c r="D9" s="5"/>
      <c r="F9" t="s">
        <v>54</v>
      </c>
      <c r="G9" s="6">
        <f>C56</f>
        <v>7.5642608950270791</v>
      </c>
      <c r="H9" t="s">
        <v>52</v>
      </c>
    </row>
    <row r="11" spans="2:9" x14ac:dyDescent="0.35">
      <c r="B11" s="1" t="s">
        <v>7</v>
      </c>
    </row>
    <row r="12" spans="2:9" x14ac:dyDescent="0.35">
      <c r="B12" s="2" t="s">
        <v>11</v>
      </c>
      <c r="C12" s="2">
        <v>2.5</v>
      </c>
      <c r="D12" s="2" t="s">
        <v>2</v>
      </c>
    </row>
    <row r="13" spans="2:9" x14ac:dyDescent="0.35">
      <c r="B13" s="2" t="s">
        <v>12</v>
      </c>
      <c r="C13" s="2">
        <v>0.91439999999999999</v>
      </c>
      <c r="D13" s="2" t="s">
        <v>4</v>
      </c>
    </row>
    <row r="14" spans="2:9" x14ac:dyDescent="0.35">
      <c r="B14" s="2" t="s">
        <v>13</v>
      </c>
      <c r="C14" s="2">
        <v>1.36</v>
      </c>
      <c r="D14" s="2" t="s">
        <v>4</v>
      </c>
    </row>
    <row r="15" spans="2:9" x14ac:dyDescent="0.35">
      <c r="B15" s="3" t="s">
        <v>14</v>
      </c>
      <c r="C15" s="3">
        <v>2.4</v>
      </c>
      <c r="D15" s="3" t="s">
        <v>2</v>
      </c>
    </row>
    <row r="16" spans="2:9" x14ac:dyDescent="0.35">
      <c r="B16" s="3" t="s">
        <v>15</v>
      </c>
      <c r="C16" s="3">
        <v>0.185</v>
      </c>
      <c r="D16" s="3" t="s">
        <v>4</v>
      </c>
    </row>
    <row r="17" spans="2:4" x14ac:dyDescent="0.35">
      <c r="B17" s="4" t="s">
        <v>16</v>
      </c>
      <c r="C17" s="4">
        <v>0.25</v>
      </c>
      <c r="D17" s="4" t="s">
        <v>2</v>
      </c>
    </row>
    <row r="18" spans="2:4" x14ac:dyDescent="0.35">
      <c r="B18" s="4" t="s">
        <v>28</v>
      </c>
      <c r="C18" s="4">
        <v>0.91439999999999999</v>
      </c>
      <c r="D18" s="4" t="s">
        <v>4</v>
      </c>
    </row>
    <row r="19" spans="2:4" x14ac:dyDescent="0.35">
      <c r="B19" s="4" t="s">
        <v>17</v>
      </c>
      <c r="C19" s="4">
        <v>0.27</v>
      </c>
      <c r="D19" s="4" t="s">
        <v>4</v>
      </c>
    </row>
    <row r="21" spans="2:4" x14ac:dyDescent="0.35">
      <c r="B21" s="1" t="s">
        <v>37</v>
      </c>
    </row>
    <row r="22" spans="2:4" x14ac:dyDescent="0.35">
      <c r="B22" s="5" t="s">
        <v>36</v>
      </c>
      <c r="C22" s="5">
        <v>3.8100000000000002E-2</v>
      </c>
      <c r="D22" s="5" t="s">
        <v>4</v>
      </c>
    </row>
    <row r="23" spans="2:4" x14ac:dyDescent="0.35">
      <c r="B23" s="5" t="s">
        <v>35</v>
      </c>
      <c r="C23" s="5">
        <v>3.49E-2</v>
      </c>
      <c r="D23" s="5" t="s">
        <v>4</v>
      </c>
    </row>
    <row r="24" spans="2:4" x14ac:dyDescent="0.35">
      <c r="B24" t="s">
        <v>38</v>
      </c>
      <c r="C24">
        <v>276</v>
      </c>
      <c r="D24" t="s">
        <v>34</v>
      </c>
    </row>
    <row r="25" spans="2:4" x14ac:dyDescent="0.35">
      <c r="B25" t="s">
        <v>39</v>
      </c>
      <c r="C25">
        <v>69</v>
      </c>
      <c r="D25" t="s">
        <v>40</v>
      </c>
    </row>
    <row r="26" spans="2:4" x14ac:dyDescent="0.35">
      <c r="B26" t="s">
        <v>41</v>
      </c>
      <c r="C26">
        <v>206</v>
      </c>
      <c r="D26" t="s">
        <v>34</v>
      </c>
    </row>
    <row r="27" spans="2:4" x14ac:dyDescent="0.35">
      <c r="B27" t="s">
        <v>42</v>
      </c>
      <c r="C27">
        <v>26</v>
      </c>
      <c r="D27" t="s">
        <v>40</v>
      </c>
    </row>
    <row r="28" spans="2:4" x14ac:dyDescent="0.35">
      <c r="B28" t="s">
        <v>25</v>
      </c>
      <c r="C28">
        <v>2700</v>
      </c>
      <c r="D28" t="s">
        <v>26</v>
      </c>
    </row>
    <row r="30" spans="2:4" x14ac:dyDescent="0.35">
      <c r="B30" s="1" t="s">
        <v>60</v>
      </c>
    </row>
    <row r="31" spans="2:4" x14ac:dyDescent="0.35">
      <c r="B31" t="s">
        <v>21</v>
      </c>
      <c r="C31">
        <v>1.28</v>
      </c>
      <c r="D31" t="s">
        <v>22</v>
      </c>
    </row>
    <row r="32" spans="2:4" x14ac:dyDescent="0.35">
      <c r="B32" t="s">
        <v>23</v>
      </c>
      <c r="C32">
        <v>10</v>
      </c>
      <c r="D32" t="s">
        <v>24</v>
      </c>
    </row>
    <row r="33" spans="2:4" x14ac:dyDescent="0.35">
      <c r="B33" t="s">
        <v>25</v>
      </c>
      <c r="C33">
        <v>1.2250000000000001</v>
      </c>
      <c r="D33" t="s">
        <v>26</v>
      </c>
    </row>
    <row r="34" spans="2:4" x14ac:dyDescent="0.35">
      <c r="B34" t="s">
        <v>20</v>
      </c>
      <c r="C34">
        <f>2*(0.5*C33*C32^2*C8*C31)</f>
        <v>13.437760000000001</v>
      </c>
      <c r="D34" t="s">
        <v>27</v>
      </c>
    </row>
    <row r="35" spans="2:4" x14ac:dyDescent="0.35">
      <c r="B35" t="s">
        <v>31</v>
      </c>
      <c r="C35">
        <f>9.81*C12*(C13-C4/2)+C34*(C6+C7/2)-9.81*C3*(C4/2)-9.81*C15*(C4/2)-9.81*C17*(C18-C4/2)</f>
        <v>-1.0084975702922736</v>
      </c>
      <c r="D35" t="s">
        <v>29</v>
      </c>
    </row>
    <row r="36" spans="2:4" x14ac:dyDescent="0.35">
      <c r="B36" t="s">
        <v>33</v>
      </c>
      <c r="C36">
        <f>9.81*C12*(C13+C4/2)-C34*(C6+C7/2)+9.81*C3*(C4/2)+9.81*C15*(C4/2)+9.81*C17*(C18-C4/2)</f>
        <v>45.859817570292272</v>
      </c>
      <c r="D36" t="s">
        <v>29</v>
      </c>
    </row>
    <row r="38" spans="2:4" x14ac:dyDescent="0.35">
      <c r="B38" s="1" t="s">
        <v>61</v>
      </c>
    </row>
    <row r="39" spans="2:4" x14ac:dyDescent="0.35">
      <c r="B39" t="s">
        <v>30</v>
      </c>
      <c r="C39">
        <f>(790/4)*(3.6/200)^2*100</f>
        <v>6.3990000000000018</v>
      </c>
      <c r="D39" t="s">
        <v>27</v>
      </c>
    </row>
    <row r="40" spans="2:4" x14ac:dyDescent="0.35">
      <c r="B40" t="s">
        <v>32</v>
      </c>
      <c r="C40">
        <f>-9.81*C12*(C14-C5)/2-9.81*C15*(C16-C5)/2-9.81*C17*(C19-C5)/2-C34*(C6+C7/2)+9.81*C3*(C5/2)</f>
        <v>3.5390121957691552</v>
      </c>
      <c r="D40" t="s">
        <v>29</v>
      </c>
    </row>
    <row r="42" spans="2:4" x14ac:dyDescent="0.35">
      <c r="B42" s="1" t="s">
        <v>43</v>
      </c>
    </row>
    <row r="43" spans="2:4" x14ac:dyDescent="0.35">
      <c r="B43" t="s">
        <v>45</v>
      </c>
      <c r="C43">
        <f>9.81*C12*C13</f>
        <v>22.425660000000001</v>
      </c>
      <c r="D43" t="s">
        <v>29</v>
      </c>
    </row>
    <row r="44" spans="2:4" x14ac:dyDescent="0.35">
      <c r="B44" t="s">
        <v>57</v>
      </c>
      <c r="C44">
        <f>PI()/64*(C22^4-C23^4)</f>
        <v>3.0612033816548811E-8</v>
      </c>
      <c r="D44" t="s">
        <v>46</v>
      </c>
    </row>
    <row r="45" spans="2:4" x14ac:dyDescent="0.35">
      <c r="B45" t="s">
        <v>44</v>
      </c>
      <c r="C45">
        <f>C43/C44*C22/2*10^-6</f>
        <v>13.955584446305286</v>
      </c>
      <c r="D45" t="s">
        <v>34</v>
      </c>
    </row>
    <row r="46" spans="2:4" x14ac:dyDescent="0.35">
      <c r="B46" t="s">
        <v>47</v>
      </c>
      <c r="C46">
        <f>C24/C45</f>
        <v>19.777029121347223</v>
      </c>
    </row>
    <row r="48" spans="2:4" x14ac:dyDescent="0.35">
      <c r="B48" t="s">
        <v>48</v>
      </c>
      <c r="C48">
        <f>(9.81*C12*C14^3)/(3*C25*10^9*C44)</f>
        <v>9.7356109678932989E-3</v>
      </c>
      <c r="D48" t="s">
        <v>4</v>
      </c>
    </row>
    <row r="50" spans="2:4" x14ac:dyDescent="0.35">
      <c r="B50" s="1" t="s">
        <v>49</v>
      </c>
    </row>
    <row r="51" spans="2:4" x14ac:dyDescent="0.35">
      <c r="B51" t="s">
        <v>51</v>
      </c>
      <c r="C51">
        <f>PI()/4*(C22^2-C23^2)</f>
        <v>1.8346901096964394E-4</v>
      </c>
      <c r="D51" t="s">
        <v>10</v>
      </c>
    </row>
    <row r="52" spans="2:4" x14ac:dyDescent="0.35">
      <c r="B52" t="s">
        <v>50</v>
      </c>
      <c r="C52">
        <f>1/(2*PI())*SQRT((3*C25*10^9*C44/C14^3)/(33/140*C28*C51*C13+C12))</f>
        <v>4.9475670660150293</v>
      </c>
      <c r="D52" t="s">
        <v>52</v>
      </c>
    </row>
    <row r="54" spans="2:4" x14ac:dyDescent="0.35">
      <c r="B54" t="s">
        <v>53</v>
      </c>
      <c r="C54">
        <f>(C27*10^9*C44)/C13</f>
        <v>870.42090904447616</v>
      </c>
      <c r="D54" t="s">
        <v>29</v>
      </c>
    </row>
    <row r="55" spans="2:4" x14ac:dyDescent="0.35">
      <c r="B55" t="s">
        <v>55</v>
      </c>
      <c r="C55">
        <f>1/3*C12*(C14/2)^2</f>
        <v>0.38533333333333336</v>
      </c>
      <c r="D55" t="s">
        <v>56</v>
      </c>
    </row>
    <row r="56" spans="2:4" x14ac:dyDescent="0.35">
      <c r="B56" t="s">
        <v>54</v>
      </c>
      <c r="C56">
        <f>1/(2*PI())*SQRT(C54/C55)</f>
        <v>7.5642608950270791</v>
      </c>
      <c r="D56" t="s">
        <v>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Hand Calcs - Dish</vt:lpstr>
      <vt:lpstr>Hand Calcs - 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 Casebolt</dc:creator>
  <cp:lastModifiedBy>Conrad Casebolt</cp:lastModifiedBy>
  <dcterms:created xsi:type="dcterms:W3CDTF">2025-12-16T00:43:19Z</dcterms:created>
  <dcterms:modified xsi:type="dcterms:W3CDTF">2025-12-22T06:38:41Z</dcterms:modified>
</cp:coreProperties>
</file>