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9005" windowHeight="11535"/>
  </bookViews>
  <sheets>
    <sheet name="SAPKE60415_notes" sheetId="1" r:id="rId1"/>
  </sheets>
  <definedNames>
    <definedName name="_xlnm._FilterDatabase" localSheetId="0" hidden="1">SAPKE60415_notes!$A$1:$F$5019</definedName>
  </definedNames>
  <calcPr calcId="125725"/>
</workbook>
</file>

<file path=xl/calcChain.xml><?xml version="1.0" encoding="utf-8"?>
<calcChain xmlns="http://schemas.openxmlformats.org/spreadsheetml/2006/main">
  <c r="D5450" i="1"/>
  <c r="D5449"/>
  <c r="D5448"/>
  <c r="D5447"/>
  <c r="D5446"/>
  <c r="D5445"/>
  <c r="D5443"/>
  <c r="D5442"/>
  <c r="D5441"/>
  <c r="D5440"/>
  <c r="D5439"/>
  <c r="D5438"/>
  <c r="D5437"/>
  <c r="D5436"/>
  <c r="D5435"/>
  <c r="D5434"/>
  <c r="D5433"/>
  <c r="D5432"/>
  <c r="D5430"/>
  <c r="D5429"/>
  <c r="D5428"/>
  <c r="D5427"/>
  <c r="D5426"/>
  <c r="D5425"/>
  <c r="D5424"/>
  <c r="D5423"/>
  <c r="D5422"/>
  <c r="D5421"/>
  <c r="D5420"/>
  <c r="D5419"/>
  <c r="D5418"/>
  <c r="D5417"/>
  <c r="D5416"/>
  <c r="D5415"/>
  <c r="D5414"/>
  <c r="D5413"/>
  <c r="D5412"/>
  <c r="D5411"/>
  <c r="D5410"/>
  <c r="D5409"/>
  <c r="D5408"/>
  <c r="D5407"/>
  <c r="D5406"/>
  <c r="D5405"/>
  <c r="D5404"/>
  <c r="D5403"/>
  <c r="D5402"/>
  <c r="D5401"/>
  <c r="D5400"/>
  <c r="D5399"/>
  <c r="D5398"/>
  <c r="D5397"/>
  <c r="D5396"/>
  <c r="D5395"/>
  <c r="D5394"/>
  <c r="D5393"/>
  <c r="D5392"/>
  <c r="D5391"/>
  <c r="D5390"/>
  <c r="D5389"/>
  <c r="D5388"/>
  <c r="D5387"/>
  <c r="D5386"/>
  <c r="D5385"/>
  <c r="D5384"/>
  <c r="D5383"/>
  <c r="D5382"/>
  <c r="D5381"/>
  <c r="D5380"/>
  <c r="D5379"/>
  <c r="D5378"/>
  <c r="D5377"/>
  <c r="D5376"/>
  <c r="D5375"/>
  <c r="D5374"/>
  <c r="D5373"/>
  <c r="D5372"/>
  <c r="D5371"/>
  <c r="D5370"/>
  <c r="D5369"/>
  <c r="D5368"/>
  <c r="D5367"/>
  <c r="D5366"/>
  <c r="D5365"/>
  <c r="D5364"/>
  <c r="D5363"/>
  <c r="D5362"/>
  <c r="D5361"/>
  <c r="D5360"/>
  <c r="D5359"/>
  <c r="D5358"/>
  <c r="D5357"/>
  <c r="D5356"/>
  <c r="D5355"/>
  <c r="D5354"/>
  <c r="D5353"/>
  <c r="D5352"/>
  <c r="D5351"/>
  <c r="D5350"/>
  <c r="D5349"/>
  <c r="D5348"/>
  <c r="D5347"/>
  <c r="D5346"/>
  <c r="D5345"/>
  <c r="D5344"/>
  <c r="D5343"/>
  <c r="D5342"/>
  <c r="D5341"/>
  <c r="D5340"/>
  <c r="D5339"/>
  <c r="D5338"/>
  <c r="D5337"/>
  <c r="D5336"/>
  <c r="D5335"/>
  <c r="D5334"/>
  <c r="D5333"/>
  <c r="D5332"/>
  <c r="D5331"/>
  <c r="D5330"/>
  <c r="D5329"/>
  <c r="D5328"/>
  <c r="D5327"/>
  <c r="D5325"/>
  <c r="D5324"/>
  <c r="D5323"/>
  <c r="D5322"/>
  <c r="D5321"/>
  <c r="D5319"/>
  <c r="D5318"/>
  <c r="D5317"/>
  <c r="D5316"/>
  <c r="D5315"/>
  <c r="D5314"/>
  <c r="D5313"/>
  <c r="D5312"/>
  <c r="D5311"/>
  <c r="D5310"/>
  <c r="D5309"/>
  <c r="D5308"/>
  <c r="D5307"/>
  <c r="D5306"/>
  <c r="D5305"/>
  <c r="D5304"/>
  <c r="D5303"/>
  <c r="D5302"/>
  <c r="D5301"/>
  <c r="D5300"/>
  <c r="D5299"/>
  <c r="D5298"/>
  <c r="D5297"/>
  <c r="D5296"/>
  <c r="D5295"/>
  <c r="D5294"/>
  <c r="D5293"/>
  <c r="D5292"/>
  <c r="D5291"/>
  <c r="D5290"/>
  <c r="D5289"/>
  <c r="D5288"/>
  <c r="D5287"/>
  <c r="D5286"/>
  <c r="D5285"/>
  <c r="D5284"/>
  <c r="D5283"/>
  <c r="D5282"/>
  <c r="D5281"/>
  <c r="D5280"/>
  <c r="D5279"/>
  <c r="D5278"/>
  <c r="D5277"/>
  <c r="D5276"/>
  <c r="D5275"/>
  <c r="D5274"/>
  <c r="D5273"/>
  <c r="D5272"/>
  <c r="D5271"/>
  <c r="D5270"/>
  <c r="D5269"/>
  <c r="D5268"/>
  <c r="D5267"/>
  <c r="D5266"/>
  <c r="D5265"/>
  <c r="D5264"/>
  <c r="D5263"/>
  <c r="D5262"/>
  <c r="D5261"/>
  <c r="D5260"/>
  <c r="D5259"/>
  <c r="D5258"/>
  <c r="D5257"/>
  <c r="D5256"/>
  <c r="D5255"/>
  <c r="D5254"/>
  <c r="D5253"/>
  <c r="D5252"/>
  <c r="D5251"/>
  <c r="D5250"/>
  <c r="D5249"/>
  <c r="D5248"/>
  <c r="D5247"/>
  <c r="D5246"/>
  <c r="D5245"/>
  <c r="D5244"/>
  <c r="D5243"/>
  <c r="D5242"/>
  <c r="D5241"/>
  <c r="D5240"/>
  <c r="D5239"/>
  <c r="D5238"/>
  <c r="D5237"/>
  <c r="D5236"/>
  <c r="D5235"/>
  <c r="D5234"/>
  <c r="D5233"/>
  <c r="D5232"/>
  <c r="D5231"/>
  <c r="D5230"/>
  <c r="D5228"/>
  <c r="D5227"/>
  <c r="D5226"/>
  <c r="D5225"/>
  <c r="D5224"/>
  <c r="D5223"/>
  <c r="D5222"/>
  <c r="D5221"/>
  <c r="D5220"/>
  <c r="D5219"/>
  <c r="D5218"/>
  <c r="D5217"/>
  <c r="D5216"/>
  <c r="D5215"/>
  <c r="D5214"/>
  <c r="D5213"/>
  <c r="D5212"/>
  <c r="D5211"/>
  <c r="D5210"/>
  <c r="D5209"/>
  <c r="D5208"/>
  <c r="D5207"/>
  <c r="D5205"/>
  <c r="D5204"/>
  <c r="D5203"/>
  <c r="D5202"/>
  <c r="D5201"/>
  <c r="D5200"/>
  <c r="D5199"/>
  <c r="D5198"/>
  <c r="D5197"/>
  <c r="D5196"/>
  <c r="D5195"/>
  <c r="D5194"/>
  <c r="D5193"/>
  <c r="D5192"/>
  <c r="D5191"/>
  <c r="D5190"/>
  <c r="D5189"/>
  <c r="D5188"/>
  <c r="D5187"/>
  <c r="D5186"/>
  <c r="D5185"/>
  <c r="D5184"/>
  <c r="D5183"/>
  <c r="D5182"/>
  <c r="D5181"/>
  <c r="D5180"/>
  <c r="D5179"/>
  <c r="D5178"/>
  <c r="D5177"/>
  <c r="D5176"/>
  <c r="D5175"/>
  <c r="D5174"/>
  <c r="D5173"/>
  <c r="D5172"/>
  <c r="D5171"/>
  <c r="D5170"/>
  <c r="D5169"/>
  <c r="D5168"/>
  <c r="D5167"/>
  <c r="D5166"/>
  <c r="D5165"/>
  <c r="D5164"/>
  <c r="D5163"/>
  <c r="D5162"/>
  <c r="D5161"/>
  <c r="D5160"/>
  <c r="D5159"/>
  <c r="D5158"/>
  <c r="D5157"/>
  <c r="D5156"/>
  <c r="D5155"/>
  <c r="D5154"/>
  <c r="D5153"/>
  <c r="D5152"/>
  <c r="D5151"/>
  <c r="D5150"/>
  <c r="D5149"/>
  <c r="D5148"/>
  <c r="D5147"/>
  <c r="D5146"/>
  <c r="D5145"/>
  <c r="D5144"/>
  <c r="D5143"/>
  <c r="D5142"/>
  <c r="D5141"/>
  <c r="D5140"/>
  <c r="D5139"/>
  <c r="D5138"/>
  <c r="D5137"/>
  <c r="D5136"/>
  <c r="D5135"/>
  <c r="D5134"/>
  <c r="D5133"/>
  <c r="D5132"/>
  <c r="D5131"/>
  <c r="D5130"/>
  <c r="D5129"/>
  <c r="D5128"/>
  <c r="D5127"/>
  <c r="D5126"/>
  <c r="D5125"/>
  <c r="D5124"/>
  <c r="D5123"/>
  <c r="D5122"/>
  <c r="D5121"/>
  <c r="D5120"/>
  <c r="D5119"/>
  <c r="D5118"/>
  <c r="D5117"/>
  <c r="D5116"/>
  <c r="D5115"/>
  <c r="D5114"/>
  <c r="D5113"/>
  <c r="D5112"/>
  <c r="D5111"/>
  <c r="D5110"/>
  <c r="D5109"/>
  <c r="D5108"/>
  <c r="D5107"/>
  <c r="D5106"/>
  <c r="D5105"/>
  <c r="D5104"/>
  <c r="D5103"/>
  <c r="D5102"/>
  <c r="D5101"/>
  <c r="D5100"/>
  <c r="D5099"/>
  <c r="D5098"/>
  <c r="D5097"/>
  <c r="D5096"/>
  <c r="D5095"/>
  <c r="D5094"/>
  <c r="D5093"/>
  <c r="D5092"/>
  <c r="D5091"/>
  <c r="D5090"/>
  <c r="D5089"/>
  <c r="D5088"/>
  <c r="D5087"/>
  <c r="D5085"/>
  <c r="D5084"/>
  <c r="D5083"/>
  <c r="D5082"/>
  <c r="D5081"/>
  <c r="D5080"/>
  <c r="D5079"/>
  <c r="D5077"/>
  <c r="D5076"/>
  <c r="D5074"/>
  <c r="D5073"/>
  <c r="D5072"/>
  <c r="D5071"/>
  <c r="D5069"/>
  <c r="D5068"/>
  <c r="D5067"/>
  <c r="D5066"/>
  <c r="D5065"/>
  <c r="D5064"/>
  <c r="D5063"/>
  <c r="D5062"/>
  <c r="D5061"/>
  <c r="D5060"/>
  <c r="D5059"/>
  <c r="D5058"/>
  <c r="D5057"/>
  <c r="D5056"/>
  <c r="D5055"/>
  <c r="D5054"/>
  <c r="D5053"/>
  <c r="D5052"/>
  <c r="D5051"/>
  <c r="D5050"/>
  <c r="D5049"/>
  <c r="D5048"/>
  <c r="D5047"/>
  <c r="D5046"/>
  <c r="D5045"/>
  <c r="D5044"/>
  <c r="D5043"/>
  <c r="D5042"/>
  <c r="D5041"/>
  <c r="D5040"/>
  <c r="D5039"/>
  <c r="D5038"/>
  <c r="D5037"/>
  <c r="D5036"/>
  <c r="D5034"/>
  <c r="D5033"/>
  <c r="D5031"/>
  <c r="D5030"/>
  <c r="D5029"/>
  <c r="D5027"/>
  <c r="D5023"/>
  <c r="D5021"/>
  <c r="D5019"/>
  <c r="D5018"/>
  <c r="D5017"/>
  <c r="D5016"/>
  <c r="D5014"/>
  <c r="D5013"/>
  <c r="D5012"/>
  <c r="D5011"/>
  <c r="D5010"/>
  <c r="D5009"/>
  <c r="D5008"/>
  <c r="D5007"/>
  <c r="D5006"/>
  <c r="D5005"/>
  <c r="D5004"/>
  <c r="D5003"/>
  <c r="D5002"/>
  <c r="D5001"/>
  <c r="D5000"/>
  <c r="D4999"/>
  <c r="D4998"/>
  <c r="D4997"/>
  <c r="D4996"/>
  <c r="D4995"/>
  <c r="D4994"/>
  <c r="D4993"/>
  <c r="D4992"/>
  <c r="D4991"/>
  <c r="D4990"/>
  <c r="D4989"/>
  <c r="D4988"/>
  <c r="D4987"/>
  <c r="D4986"/>
  <c r="D4985"/>
  <c r="D4984"/>
  <c r="D4983"/>
  <c r="D4982"/>
  <c r="D4981"/>
  <c r="D4980"/>
  <c r="D4979"/>
  <c r="D4978"/>
  <c r="D4977"/>
  <c r="D4976"/>
  <c r="D4975"/>
  <c r="D4974"/>
  <c r="D4973"/>
  <c r="D4972"/>
  <c r="D4971"/>
  <c r="D4970"/>
  <c r="D4969"/>
  <c r="D4968"/>
  <c r="D4967"/>
  <c r="D4966"/>
  <c r="D4965"/>
  <c r="D4964"/>
  <c r="D4963"/>
  <c r="D4962"/>
  <c r="D4961"/>
  <c r="D4960"/>
  <c r="D4959"/>
  <c r="D4958"/>
  <c r="D4957"/>
  <c r="D4956"/>
  <c r="D4955"/>
  <c r="D4954"/>
  <c r="D4953"/>
  <c r="D4952"/>
  <c r="D4951"/>
  <c r="D4950"/>
  <c r="D4949"/>
  <c r="D4948"/>
  <c r="D4947"/>
  <c r="D4946"/>
  <c r="D4945"/>
  <c r="D4944"/>
  <c r="D4943"/>
  <c r="D4942"/>
  <c r="D4941"/>
  <c r="D4940"/>
  <c r="D4939"/>
  <c r="D4938"/>
  <c r="D4937"/>
  <c r="D4936"/>
  <c r="D4935"/>
  <c r="D4934"/>
  <c r="D4933"/>
  <c r="D4932"/>
  <c r="D4931"/>
  <c r="D4930"/>
  <c r="D4929"/>
  <c r="D4928"/>
  <c r="D4927"/>
  <c r="D4926"/>
  <c r="D4925"/>
  <c r="D4924"/>
  <c r="D4923"/>
  <c r="D4922"/>
  <c r="D4921"/>
  <c r="D4920"/>
  <c r="D4919"/>
  <c r="D4918"/>
  <c r="D4917"/>
  <c r="D4916"/>
  <c r="D4914"/>
  <c r="D4913"/>
  <c r="D4912"/>
  <c r="D4911"/>
  <c r="D4910"/>
  <c r="D4909"/>
  <c r="D4908"/>
  <c r="D4907"/>
  <c r="D4906"/>
  <c r="D4905"/>
  <c r="D4904"/>
  <c r="D4903"/>
  <c r="D4902"/>
  <c r="D4901"/>
  <c r="D4900"/>
  <c r="D4899"/>
  <c r="D4898"/>
  <c r="D4897"/>
  <c r="D4896"/>
  <c r="D4895"/>
  <c r="D4894"/>
  <c r="D4893"/>
  <c r="D4892"/>
  <c r="D4891"/>
  <c r="D4890"/>
  <c r="D4889"/>
  <c r="D4888"/>
  <c r="D4887"/>
  <c r="D4886"/>
  <c r="D4885"/>
  <c r="D4884"/>
  <c r="D4883"/>
  <c r="D4882"/>
  <c r="D4881"/>
  <c r="D4879"/>
  <c r="D4878"/>
  <c r="D4877"/>
  <c r="D4876"/>
  <c r="D4875"/>
  <c r="D4874"/>
  <c r="D4873"/>
  <c r="D4872"/>
  <c r="D4871"/>
  <c r="D4870"/>
  <c r="D4869"/>
  <c r="D4868"/>
  <c r="D4867"/>
  <c r="D4866"/>
  <c r="D4865"/>
  <c r="D4864"/>
  <c r="D4863"/>
  <c r="D4862"/>
  <c r="D4861"/>
  <c r="D4860"/>
  <c r="D4859"/>
  <c r="D4858"/>
  <c r="D4857"/>
  <c r="D4856"/>
  <c r="D4854"/>
  <c r="D4853"/>
  <c r="D4852"/>
  <c r="D4851"/>
  <c r="D4850"/>
  <c r="D4849"/>
  <c r="D4848"/>
  <c r="D4847"/>
  <c r="D4846"/>
  <c r="D4845"/>
  <c r="D4844"/>
  <c r="D4843"/>
  <c r="D4842"/>
  <c r="D4841"/>
  <c r="D4840"/>
  <c r="D4838"/>
  <c r="D4837"/>
  <c r="D4836"/>
  <c r="D4835"/>
  <c r="D4833"/>
  <c r="D4832"/>
  <c r="D4831"/>
  <c r="D4830"/>
  <c r="D4829"/>
  <c r="D4828"/>
  <c r="D4827"/>
  <c r="D4826"/>
  <c r="D4825"/>
  <c r="D4824"/>
  <c r="D4823"/>
  <c r="D4822"/>
  <c r="D4821"/>
  <c r="D4820"/>
  <c r="D4819"/>
  <c r="D4818"/>
  <c r="D4817"/>
  <c r="D4816"/>
  <c r="D4815"/>
  <c r="D4814"/>
  <c r="D4813"/>
  <c r="D4812"/>
  <c r="D4811"/>
  <c r="D4810"/>
  <c r="D4809"/>
  <c r="D4808"/>
  <c r="D4807"/>
  <c r="D4806"/>
  <c r="D4805"/>
  <c r="D4804"/>
  <c r="D4803"/>
  <c r="D4802"/>
  <c r="D4801"/>
  <c r="D4800"/>
  <c r="D4799"/>
  <c r="D4798"/>
  <c r="D4797"/>
  <c r="D4796"/>
  <c r="D4795"/>
  <c r="D4794"/>
  <c r="D4793"/>
  <c r="D4792"/>
  <c r="D4791"/>
  <c r="D4790"/>
  <c r="D4789"/>
  <c r="D4788"/>
  <c r="D4787"/>
  <c r="D4786"/>
  <c r="D4785"/>
  <c r="D4784"/>
  <c r="D4783"/>
  <c r="D4782"/>
  <c r="D4781"/>
  <c r="D4780"/>
  <c r="D4778"/>
  <c r="D4777"/>
  <c r="D4776"/>
  <c r="D4775"/>
  <c r="D4774"/>
  <c r="D4773"/>
  <c r="D4771"/>
  <c r="D4770"/>
  <c r="D4767"/>
  <c r="D4766"/>
  <c r="D4765"/>
  <c r="D4764"/>
  <c r="D4763"/>
  <c r="D4762"/>
  <c r="D4761"/>
  <c r="D4760"/>
  <c r="D4759"/>
  <c r="D4758"/>
  <c r="D4756"/>
  <c r="D4755"/>
  <c r="D4754"/>
  <c r="D4753"/>
  <c r="D4752"/>
  <c r="D4751"/>
  <c r="D4750"/>
  <c r="D4749"/>
  <c r="D4748"/>
  <c r="D4747"/>
  <c r="D4746"/>
  <c r="D4745"/>
  <c r="D4744"/>
  <c r="D4743"/>
  <c r="D4742"/>
  <c r="D4741"/>
  <c r="D4740"/>
  <c r="D4739"/>
  <c r="D4738"/>
  <c r="D4737"/>
  <c r="D4736"/>
  <c r="D4735"/>
  <c r="D4734"/>
  <c r="D4733"/>
  <c r="D4732"/>
  <c r="D4731"/>
  <c r="D4730"/>
  <c r="D4729"/>
  <c r="D4728"/>
  <c r="D4727"/>
  <c r="D4726"/>
  <c r="D4725"/>
  <c r="D4724"/>
  <c r="D4723"/>
  <c r="D4720"/>
  <c r="D4719"/>
  <c r="D4718"/>
  <c r="D4716"/>
  <c r="D4712"/>
  <c r="D4709"/>
  <c r="D4706"/>
  <c r="D4705"/>
  <c r="D4704"/>
  <c r="D4703"/>
  <c r="D4702"/>
  <c r="D4701"/>
  <c r="D4700"/>
  <c r="D4699"/>
  <c r="D4698"/>
  <c r="D4697"/>
  <c r="D4696"/>
  <c r="D4695"/>
  <c r="D4694"/>
  <c r="D4693"/>
  <c r="D4691"/>
  <c r="D4690"/>
  <c r="D4689"/>
  <c r="D4688"/>
  <c r="D4687"/>
  <c r="D4686"/>
  <c r="D4685"/>
  <c r="D4684"/>
  <c r="D4683"/>
  <c r="D4682"/>
  <c r="D4681"/>
  <c r="D4680"/>
  <c r="D4679"/>
  <c r="D4678"/>
  <c r="D4677"/>
  <c r="D4676"/>
  <c r="D4675"/>
  <c r="D4674"/>
  <c r="D4673"/>
  <c r="D4672"/>
  <c r="D4671"/>
  <c r="D4670"/>
  <c r="D4669"/>
  <c r="D4668"/>
  <c r="D4667"/>
  <c r="D4666"/>
  <c r="D4665"/>
  <c r="D4664"/>
  <c r="D4663"/>
  <c r="D4662"/>
  <c r="D4661"/>
  <c r="D4660"/>
  <c r="D4659"/>
  <c r="D4658"/>
  <c r="D4657"/>
  <c r="D4656"/>
  <c r="D4655"/>
  <c r="D4654"/>
  <c r="D4653"/>
  <c r="D4652"/>
  <c r="D4651"/>
  <c r="D4650"/>
  <c r="D4649"/>
  <c r="D4648"/>
  <c r="D4647"/>
  <c r="D4646"/>
  <c r="D4645"/>
  <c r="D4644"/>
  <c r="D4643"/>
  <c r="D4642"/>
  <c r="D4641"/>
  <c r="D4640"/>
  <c r="D4639"/>
  <c r="D4638"/>
  <c r="D4637"/>
  <c r="D4636"/>
  <c r="D4635"/>
  <c r="D4634"/>
  <c r="D4633"/>
  <c r="D4632"/>
  <c r="D4631"/>
  <c r="D4630"/>
  <c r="D4629"/>
  <c r="D4628"/>
  <c r="D4627"/>
  <c r="D4626"/>
  <c r="D4625"/>
  <c r="D4624"/>
  <c r="D4623"/>
  <c r="D4622"/>
  <c r="D4621"/>
  <c r="D4620"/>
  <c r="D4619"/>
  <c r="D4618"/>
  <c r="D4617"/>
  <c r="D4616"/>
  <c r="D4615"/>
  <c r="D4614"/>
  <c r="D4613"/>
  <c r="D4612"/>
  <c r="D4611"/>
  <c r="D4610"/>
  <c r="D4609"/>
  <c r="D4607"/>
  <c r="D4606"/>
  <c r="D4605"/>
  <c r="D4604"/>
  <c r="D4603"/>
  <c r="D4602"/>
  <c r="D4601"/>
  <c r="D4600"/>
  <c r="D4599"/>
  <c r="D4598"/>
  <c r="D4597"/>
  <c r="D4596"/>
  <c r="D4595"/>
  <c r="D4594"/>
  <c r="D4593"/>
  <c r="D4592"/>
  <c r="D4591"/>
  <c r="D4590"/>
  <c r="D4589"/>
  <c r="D4588"/>
  <c r="D4587"/>
  <c r="D4586"/>
  <c r="D4585"/>
  <c r="D4584"/>
  <c r="D4583"/>
  <c r="D4582"/>
  <c r="D4581"/>
  <c r="D4580"/>
  <c r="D4579"/>
  <c r="D4578"/>
  <c r="D4577"/>
  <c r="D4576"/>
  <c r="D4575"/>
  <c r="D4574"/>
  <c r="D4573"/>
  <c r="D4572"/>
  <c r="D4571"/>
  <c r="D4570"/>
  <c r="D4569"/>
  <c r="D4568"/>
  <c r="D4567"/>
  <c r="D4566"/>
  <c r="D4565"/>
  <c r="D4564"/>
  <c r="D4562"/>
  <c r="D4561"/>
  <c r="D4559"/>
  <c r="D4558"/>
  <c r="D4556"/>
  <c r="D4555"/>
  <c r="D4554"/>
  <c r="D4553"/>
  <c r="D4552"/>
  <c r="D4551"/>
  <c r="D4550"/>
  <c r="D4549"/>
  <c r="D4548"/>
  <c r="D4547"/>
  <c r="D4546"/>
  <c r="D4545"/>
  <c r="D4544"/>
  <c r="D4543"/>
  <c r="D4542"/>
  <c r="D4541"/>
  <c r="D4540"/>
  <c r="D4539"/>
  <c r="D4538"/>
  <c r="D4537"/>
  <c r="D4536"/>
  <c r="D4535"/>
  <c r="D4534"/>
  <c r="D4533"/>
  <c r="D4532"/>
  <c r="D4531"/>
  <c r="D4530"/>
  <c r="D4529"/>
  <c r="D4528"/>
  <c r="D4527"/>
  <c r="D4526"/>
  <c r="D4525"/>
  <c r="D4524"/>
  <c r="D4523"/>
  <c r="D4522"/>
  <c r="D4521"/>
  <c r="D4520"/>
  <c r="D4519"/>
  <c r="D4518"/>
  <c r="D4517"/>
  <c r="D4516"/>
  <c r="D4515"/>
  <c r="D4514"/>
  <c r="D4513"/>
  <c r="D4512"/>
  <c r="D4511"/>
  <c r="D4510"/>
  <c r="D4509"/>
  <c r="D4508"/>
  <c r="D4507"/>
  <c r="D4506"/>
  <c r="D4505"/>
  <c r="D4504"/>
  <c r="D4503"/>
  <c r="D4502"/>
  <c r="D4501"/>
  <c r="D4500"/>
  <c r="D4499"/>
  <c r="D4498"/>
  <c r="D4497"/>
  <c r="D4496"/>
  <c r="D4495"/>
  <c r="D4494"/>
  <c r="D4493"/>
  <c r="D4492"/>
  <c r="D4491"/>
  <c r="D4490"/>
  <c r="D4489"/>
  <c r="D4488"/>
  <c r="D4487"/>
  <c r="D4486"/>
  <c r="D4485"/>
  <c r="D4484"/>
  <c r="D4483"/>
  <c r="D4482"/>
  <c r="D4481"/>
  <c r="D4480"/>
  <c r="D4479"/>
  <c r="D4478"/>
  <c r="D4477"/>
  <c r="D4476"/>
  <c r="D4475"/>
  <c r="D4474"/>
  <c r="D4473"/>
  <c r="D4472"/>
  <c r="D4471"/>
  <c r="D4469"/>
  <c r="D4468"/>
  <c r="D4467"/>
  <c r="D4466"/>
  <c r="D4465"/>
  <c r="D4464"/>
  <c r="D4463"/>
  <c r="D4462"/>
  <c r="D4461"/>
  <c r="D4460"/>
  <c r="D4459"/>
  <c r="D4458"/>
  <c r="D4457"/>
  <c r="D4456"/>
  <c r="D4455"/>
  <c r="D4454"/>
  <c r="D4453"/>
  <c r="D4452"/>
  <c r="D4451"/>
  <c r="D4450"/>
  <c r="D4449"/>
  <c r="D4448"/>
  <c r="D4447"/>
  <c r="D4446"/>
  <c r="D4445"/>
  <c r="D4444"/>
  <c r="D4443"/>
  <c r="D4442"/>
  <c r="D4441"/>
  <c r="D4440"/>
  <c r="D4439"/>
  <c r="D4438"/>
  <c r="D4437"/>
  <c r="D4436"/>
  <c r="D4435"/>
  <c r="D4434"/>
  <c r="D4433"/>
  <c r="D4432"/>
  <c r="D4431"/>
  <c r="D4430"/>
  <c r="D4429"/>
  <c r="D4428"/>
  <c r="D4427"/>
  <c r="D4426"/>
  <c r="D4424"/>
  <c r="D4423"/>
  <c r="D4422"/>
  <c r="D4421"/>
  <c r="D4420"/>
  <c r="D4419"/>
  <c r="D4418"/>
  <c r="D4417"/>
  <c r="D4416"/>
  <c r="D4415"/>
  <c r="D4414"/>
  <c r="D4413"/>
  <c r="D4412"/>
  <c r="D4411"/>
  <c r="D4410"/>
  <c r="D4409"/>
  <c r="D4408"/>
  <c r="D4407"/>
  <c r="D4406"/>
  <c r="D4405"/>
  <c r="D4403"/>
  <c r="D4402"/>
  <c r="D4401"/>
  <c r="D4400"/>
  <c r="D4399"/>
  <c r="D4398"/>
  <c r="D4397"/>
  <c r="D4396"/>
  <c r="D4395"/>
  <c r="D4394"/>
  <c r="D4393"/>
  <c r="D4392"/>
  <c r="D4391"/>
  <c r="D4390"/>
  <c r="D4389"/>
  <c r="D4388"/>
  <c r="D4387"/>
  <c r="D4386"/>
  <c r="D4385"/>
  <c r="D4384"/>
  <c r="D4383"/>
  <c r="D4382"/>
  <c r="D4381"/>
  <c r="D4380"/>
  <c r="D4379"/>
  <c r="D4378"/>
  <c r="D4377"/>
  <c r="D4376"/>
  <c r="D4375"/>
  <c r="D4374"/>
  <c r="D4373"/>
  <c r="D4372"/>
  <c r="D4371"/>
  <c r="D4370"/>
  <c r="D4369"/>
  <c r="D4368"/>
  <c r="D4367"/>
  <c r="D4366"/>
  <c r="D4365"/>
  <c r="D4364"/>
  <c r="D4363"/>
  <c r="D4362"/>
  <c r="D4361"/>
  <c r="D4360"/>
  <c r="D4359"/>
  <c r="D4358"/>
  <c r="D4357"/>
  <c r="D4356"/>
  <c r="D4355"/>
  <c r="D4354"/>
  <c r="D4353"/>
  <c r="D4352"/>
  <c r="D4351"/>
  <c r="D4350"/>
  <c r="D4349"/>
  <c r="D4348"/>
  <c r="D4347"/>
  <c r="D4346"/>
  <c r="D4345"/>
  <c r="D4344"/>
  <c r="D4343"/>
  <c r="D4342"/>
  <c r="D4341"/>
  <c r="D4340"/>
  <c r="D4339"/>
  <c r="D4338"/>
  <c r="D4337"/>
  <c r="D4336"/>
  <c r="D4335"/>
  <c r="D4334"/>
  <c r="D4333"/>
  <c r="D4332"/>
  <c r="D4331"/>
  <c r="D4329"/>
  <c r="D4328"/>
  <c r="D4326"/>
  <c r="D4325"/>
  <c r="D4323"/>
  <c r="D4321"/>
  <c r="D4320"/>
  <c r="D4319"/>
  <c r="D4318"/>
  <c r="D4317"/>
  <c r="D4315"/>
  <c r="D4314"/>
  <c r="D4313"/>
  <c r="D4312"/>
  <c r="D4311"/>
  <c r="D4310"/>
  <c r="D4309"/>
  <c r="D4308"/>
  <c r="D4307"/>
  <c r="D4306"/>
  <c r="D4305"/>
  <c r="D4304"/>
  <c r="D4303"/>
  <c r="D4302"/>
  <c r="D4301"/>
  <c r="D4300"/>
  <c r="D4299"/>
  <c r="D4298"/>
  <c r="D4297"/>
  <c r="D4296"/>
  <c r="D4295"/>
  <c r="D4294"/>
  <c r="D4293"/>
  <c r="D4292"/>
  <c r="D4291"/>
  <c r="D4290"/>
  <c r="D4289"/>
  <c r="D4288"/>
  <c r="D4287"/>
  <c r="D4286"/>
  <c r="D4285"/>
  <c r="D4284"/>
  <c r="D4283"/>
  <c r="D4282"/>
  <c r="D4281"/>
  <c r="D4280"/>
  <c r="D4279"/>
  <c r="D4278"/>
  <c r="D4277"/>
  <c r="D4276"/>
  <c r="D4275"/>
  <c r="D4274"/>
  <c r="D4273"/>
  <c r="D4272"/>
  <c r="D4271"/>
  <c r="D4270"/>
  <c r="D4269"/>
  <c r="D4268"/>
  <c r="D4267"/>
  <c r="D4266"/>
  <c r="D4265"/>
  <c r="D4264"/>
  <c r="D4262"/>
  <c r="D4260"/>
  <c r="D4259"/>
  <c r="D4258"/>
  <c r="D4256"/>
  <c r="D4255"/>
  <c r="D4254"/>
  <c r="D4253"/>
  <c r="D4250"/>
  <c r="D4249"/>
  <c r="D4248"/>
  <c r="D4246"/>
  <c r="D4245"/>
  <c r="D4244"/>
  <c r="D4243"/>
  <c r="D4242"/>
  <c r="D4241"/>
  <c r="D4240"/>
  <c r="D4239"/>
  <c r="D4238"/>
  <c r="D4237"/>
  <c r="D4236"/>
  <c r="D4235"/>
  <c r="D4233"/>
  <c r="D4232"/>
  <c r="D4231"/>
  <c r="D4230"/>
  <c r="D4229"/>
  <c r="D4228"/>
  <c r="D4227"/>
  <c r="D4226"/>
  <c r="D4225"/>
  <c r="D4224"/>
  <c r="D4223"/>
  <c r="D4222"/>
  <c r="D4221"/>
  <c r="D4220"/>
  <c r="D4219"/>
  <c r="D4218"/>
  <c r="D4217"/>
  <c r="D4216"/>
  <c r="D4215"/>
  <c r="D4214"/>
  <c r="D4213"/>
  <c r="D4212"/>
  <c r="D4211"/>
  <c r="D4210"/>
  <c r="D4209"/>
  <c r="D4208"/>
  <c r="D4207"/>
  <c r="D4206"/>
  <c r="D4205"/>
  <c r="D4204"/>
  <c r="D4203"/>
  <c r="D4202"/>
  <c r="D4201"/>
  <c r="D4200"/>
  <c r="D4199"/>
  <c r="D4198"/>
  <c r="D4197"/>
  <c r="D4196"/>
  <c r="D4195"/>
  <c r="D4194"/>
  <c r="D4193"/>
  <c r="D4192"/>
  <c r="D4191"/>
  <c r="D4190"/>
  <c r="D4189"/>
  <c r="D4188"/>
  <c r="D4187"/>
  <c r="D4186"/>
  <c r="D4185"/>
  <c r="D4184"/>
  <c r="D4183"/>
  <c r="D4182"/>
  <c r="D4181"/>
  <c r="D4180"/>
  <c r="D4179"/>
  <c r="D4178"/>
  <c r="D4177"/>
  <c r="D4176"/>
  <c r="D4175"/>
  <c r="D4174"/>
  <c r="D4173"/>
  <c r="D4172"/>
  <c r="D4171"/>
  <c r="D4170"/>
  <c r="D4169"/>
  <c r="D4168"/>
  <c r="D4167"/>
  <c r="D4166"/>
  <c r="D4165"/>
  <c r="D4164"/>
  <c r="D4163"/>
  <c r="D4162"/>
  <c r="D4161"/>
  <c r="D4160"/>
  <c r="D4159"/>
  <c r="D4158"/>
  <c r="D4157"/>
  <c r="D4156"/>
  <c r="D4155"/>
  <c r="D4154"/>
  <c r="D4153"/>
  <c r="D4152"/>
  <c r="D4151"/>
  <c r="D4150"/>
  <c r="D4149"/>
  <c r="D4148"/>
  <c r="D4147"/>
  <c r="D4146"/>
  <c r="D4145"/>
  <c r="D4144"/>
  <c r="D4143"/>
  <c r="D4142"/>
  <c r="D4141"/>
  <c r="D4140"/>
  <c r="D4139"/>
  <c r="D4137"/>
  <c r="D4134"/>
  <c r="D4133"/>
  <c r="D4132"/>
  <c r="D4131"/>
  <c r="D4130"/>
  <c r="D4129"/>
  <c r="D4128"/>
  <c r="D4127"/>
  <c r="D4126"/>
  <c r="D4125"/>
  <c r="D4124"/>
  <c r="D4123"/>
  <c r="D4122"/>
  <c r="D4121"/>
  <c r="D4120"/>
  <c r="D4119"/>
  <c r="D4118"/>
  <c r="D4117"/>
  <c r="D4116"/>
  <c r="D4115"/>
  <c r="D4114"/>
  <c r="D4113"/>
  <c r="D4112"/>
  <c r="D4111"/>
  <c r="D4110"/>
  <c r="D4109"/>
  <c r="D4108"/>
  <c r="D4107"/>
  <c r="D4106"/>
  <c r="D4105"/>
  <c r="D4104"/>
  <c r="D4103"/>
  <c r="D4102"/>
  <c r="D4101"/>
  <c r="D4100"/>
  <c r="D4099"/>
  <c r="D4098"/>
  <c r="D4097"/>
  <c r="D4096"/>
  <c r="D4094"/>
  <c r="D4093"/>
  <c r="D4092"/>
  <c r="D4091"/>
  <c r="D4090"/>
  <c r="D4089"/>
  <c r="D4088"/>
  <c r="D4087"/>
  <c r="D4086"/>
  <c r="D4085"/>
  <c r="D4084"/>
  <c r="D4083"/>
  <c r="D4082"/>
  <c r="D4081"/>
  <c r="D4080"/>
  <c r="D4079"/>
  <c r="D4078"/>
  <c r="D4077"/>
  <c r="D4076"/>
  <c r="D4075"/>
  <c r="D4074"/>
  <c r="D4073"/>
  <c r="D4072"/>
  <c r="D4071"/>
  <c r="D4070"/>
  <c r="D4068"/>
  <c r="D4067"/>
  <c r="D4066"/>
  <c r="D4065"/>
  <c r="D4064"/>
  <c r="D4063"/>
  <c r="D4062"/>
  <c r="D4060"/>
  <c r="D4059"/>
  <c r="D4058"/>
  <c r="D4057"/>
  <c r="D4056"/>
  <c r="D4055"/>
  <c r="D4054"/>
  <c r="D4053"/>
  <c r="D4052"/>
  <c r="D4051"/>
  <c r="D4050"/>
  <c r="D4049"/>
  <c r="D4048"/>
  <c r="D4047"/>
  <c r="D4046"/>
  <c r="D4045"/>
  <c r="D4044"/>
  <c r="D4043"/>
  <c r="D4042"/>
  <c r="D4041"/>
  <c r="D4040"/>
  <c r="D4039"/>
  <c r="D4038"/>
  <c r="D4037"/>
  <c r="D4036"/>
  <c r="D4035"/>
  <c r="D4034"/>
  <c r="D4033"/>
  <c r="D4032"/>
  <c r="D4031"/>
  <c r="D4030"/>
  <c r="D4029"/>
  <c r="D4028"/>
  <c r="D4027"/>
  <c r="D4026"/>
  <c r="D4025"/>
  <c r="D4024"/>
  <c r="D4023"/>
  <c r="D4022"/>
  <c r="D4021"/>
  <c r="D4020"/>
  <c r="D4019"/>
  <c r="D4018"/>
  <c r="D4017"/>
  <c r="D4016"/>
  <c r="D4015"/>
  <c r="D4014"/>
  <c r="D4013"/>
  <c r="D4012"/>
  <c r="D4011"/>
  <c r="D4010"/>
  <c r="D4009"/>
  <c r="D4008"/>
  <c r="D4007"/>
  <c r="D4006"/>
  <c r="D4005"/>
  <c r="D4004"/>
  <c r="D4003"/>
  <c r="D4001"/>
  <c r="D3999"/>
  <c r="D3997"/>
  <c r="D3996"/>
  <c r="D3995"/>
  <c r="D3994"/>
  <c r="D3993"/>
  <c r="D3992"/>
  <c r="D3990"/>
  <c r="D3989"/>
  <c r="D3988"/>
  <c r="D3987"/>
  <c r="D3986"/>
  <c r="D3985"/>
  <c r="D3984"/>
  <c r="D3983"/>
  <c r="D3982"/>
  <c r="D3981"/>
  <c r="D3980"/>
  <c r="D3979"/>
  <c r="D3978"/>
  <c r="D3977"/>
  <c r="D3976"/>
  <c r="D3975"/>
  <c r="D3974"/>
  <c r="D3973"/>
  <c r="D3972"/>
  <c r="D3971"/>
  <c r="D3969"/>
  <c r="D3968"/>
  <c r="D3966"/>
  <c r="D3964"/>
  <c r="D3961"/>
  <c r="D3960"/>
  <c r="D3959"/>
  <c r="D3958"/>
  <c r="D3957"/>
  <c r="D3956"/>
  <c r="D3955"/>
  <c r="D3954"/>
  <c r="D3953"/>
  <c r="D3952"/>
  <c r="D3951"/>
  <c r="D3950"/>
  <c r="D3949"/>
  <c r="D3948"/>
  <c r="D3947"/>
  <c r="D3946"/>
  <c r="D3945"/>
  <c r="D3944"/>
  <c r="D3943"/>
  <c r="D3942"/>
  <c r="D3941"/>
  <c r="D3940"/>
  <c r="D3939"/>
  <c r="D3938"/>
  <c r="D3937"/>
  <c r="D3936"/>
  <c r="D3935"/>
  <c r="D3934"/>
  <c r="D3933"/>
  <c r="D3932"/>
  <c r="D3931"/>
  <c r="D3930"/>
  <c r="D3929"/>
  <c r="D3928"/>
  <c r="D3927"/>
  <c r="D3926"/>
  <c r="D3925"/>
  <c r="D3924"/>
  <c r="D3923"/>
  <c r="D3922"/>
  <c r="D3921"/>
  <c r="D3920"/>
  <c r="D3919"/>
  <c r="D3918"/>
  <c r="D3917"/>
  <c r="D3916"/>
  <c r="D3915"/>
  <c r="D3914"/>
  <c r="D3913"/>
  <c r="D3912"/>
  <c r="D3911"/>
  <c r="D3910"/>
  <c r="D3909"/>
  <c r="D3908"/>
  <c r="D3907"/>
  <c r="D3906"/>
  <c r="D3905"/>
  <c r="D3904"/>
  <c r="D3903"/>
  <c r="D3902"/>
  <c r="D3901"/>
  <c r="D3900"/>
  <c r="D3899"/>
  <c r="D3898"/>
  <c r="D3897"/>
  <c r="D3896"/>
  <c r="D3895"/>
  <c r="D3894"/>
  <c r="D3893"/>
  <c r="D3892"/>
  <c r="D3891"/>
  <c r="D3890"/>
  <c r="D3889"/>
  <c r="D3888"/>
  <c r="D3887"/>
  <c r="D3886"/>
  <c r="D3885"/>
  <c r="D3884"/>
  <c r="D3883"/>
  <c r="D3882"/>
  <c r="D3881"/>
  <c r="D3880"/>
  <c r="D3879"/>
  <c r="D3878"/>
  <c r="D3877"/>
  <c r="D3876"/>
  <c r="D3875"/>
  <c r="D3874"/>
  <c r="D3873"/>
  <c r="D3872"/>
  <c r="D3871"/>
  <c r="D3870"/>
  <c r="D3869"/>
  <c r="D3868"/>
  <c r="D3867"/>
  <c r="D3866"/>
  <c r="D3865"/>
  <c r="D3864"/>
  <c r="D3863"/>
  <c r="D3862"/>
  <c r="D3861"/>
  <c r="D3860"/>
  <c r="D3859"/>
  <c r="D3858"/>
  <c r="D3857"/>
  <c r="D3856"/>
  <c r="D3855"/>
  <c r="D3854"/>
  <c r="D3853"/>
  <c r="D3852"/>
  <c r="D3851"/>
  <c r="D3850"/>
  <c r="D3849"/>
  <c r="D3848"/>
  <c r="D3847"/>
  <c r="D3846"/>
  <c r="D3845"/>
  <c r="D3843"/>
  <c r="D3842"/>
  <c r="D3841"/>
  <c r="D3840"/>
  <c r="D3839"/>
  <c r="D3838"/>
  <c r="D3837"/>
  <c r="D3836"/>
  <c r="D3835"/>
  <c r="D3834"/>
  <c r="D3833"/>
  <c r="D3832"/>
  <c r="D3831"/>
  <c r="D3830"/>
  <c r="D3829"/>
  <c r="D3828"/>
  <c r="D3827"/>
  <c r="D3826"/>
  <c r="D3825"/>
  <c r="D3824"/>
  <c r="D3823"/>
  <c r="D3822"/>
  <c r="D3821"/>
  <c r="D3820"/>
  <c r="D3819"/>
  <c r="D3818"/>
  <c r="D3817"/>
  <c r="D3816"/>
  <c r="D3815"/>
  <c r="D3814"/>
  <c r="D3813"/>
  <c r="D3812"/>
  <c r="D3811"/>
  <c r="D3810"/>
  <c r="D3809"/>
  <c r="D3808"/>
  <c r="D3807"/>
  <c r="D3806"/>
  <c r="D3805"/>
  <c r="D3804"/>
  <c r="D3803"/>
  <c r="D3802"/>
  <c r="D3801"/>
  <c r="D3800"/>
  <c r="D3799"/>
  <c r="D3798"/>
  <c r="D3797"/>
  <c r="D3796"/>
  <c r="D3795"/>
  <c r="D3794"/>
  <c r="D3793"/>
  <c r="D3792"/>
  <c r="D3791"/>
  <c r="D3790"/>
  <c r="D3789"/>
  <c r="D3788"/>
  <c r="D3787"/>
  <c r="D3786"/>
  <c r="D3785"/>
  <c r="D3784"/>
  <c r="D3783"/>
  <c r="D3782"/>
  <c r="D3781"/>
  <c r="D3780"/>
  <c r="D3779"/>
  <c r="D3778"/>
  <c r="D3777"/>
  <c r="D3776"/>
  <c r="D3775"/>
  <c r="D3774"/>
  <c r="D3773"/>
  <c r="D3772"/>
  <c r="D3771"/>
  <c r="D3770"/>
  <c r="D3769"/>
  <c r="D3768"/>
  <c r="D3767"/>
  <c r="D3766"/>
  <c r="D3765"/>
  <c r="D3764"/>
  <c r="D3763"/>
  <c r="D3762"/>
  <c r="D3761"/>
  <c r="D3760"/>
  <c r="D3759"/>
  <c r="D3758"/>
  <c r="D3757"/>
  <c r="D3756"/>
  <c r="D3755"/>
  <c r="D3754"/>
  <c r="D3753"/>
  <c r="D3752"/>
  <c r="D3751"/>
  <c r="D3750"/>
  <c r="D3749"/>
  <c r="D3748"/>
  <c r="D3747"/>
  <c r="D3746"/>
  <c r="D3745"/>
  <c r="D3744"/>
  <c r="D3743"/>
  <c r="D3742"/>
  <c r="D3741"/>
  <c r="D3740"/>
  <c r="D3739"/>
  <c r="D3738"/>
  <c r="D3737"/>
  <c r="D3736"/>
  <c r="D3735"/>
  <c r="D3734"/>
  <c r="D3733"/>
  <c r="D3732"/>
  <c r="D3731"/>
  <c r="D3730"/>
  <c r="D3729"/>
  <c r="D3728"/>
  <c r="D3727"/>
  <c r="D3725"/>
  <c r="D3724"/>
  <c r="D3723"/>
  <c r="D3722"/>
  <c r="D3721"/>
  <c r="D3720"/>
  <c r="D3719"/>
  <c r="D3718"/>
  <c r="D3717"/>
  <c r="D3716"/>
  <c r="D3715"/>
  <c r="D3714"/>
  <c r="D3713"/>
  <c r="D3711"/>
  <c r="D3710"/>
  <c r="D3709"/>
  <c r="D3706"/>
  <c r="D3705"/>
  <c r="D3704"/>
  <c r="D3703"/>
  <c r="D3702"/>
  <c r="D3701"/>
  <c r="D3700"/>
  <c r="D3699"/>
  <c r="D3698"/>
  <c r="D3697"/>
  <c r="D3696"/>
  <c r="D3695"/>
  <c r="D3694"/>
  <c r="D3693"/>
  <c r="D3692"/>
  <c r="D3691"/>
  <c r="D3690"/>
  <c r="D3689"/>
  <c r="D3688"/>
  <c r="D3687"/>
  <c r="D3686"/>
  <c r="D3685"/>
  <c r="D3684"/>
  <c r="D3683"/>
  <c r="D3682"/>
  <c r="D3681"/>
  <c r="D3680"/>
  <c r="D3679"/>
  <c r="D3678"/>
  <c r="D3677"/>
  <c r="D3676"/>
  <c r="D3675"/>
  <c r="D3674"/>
  <c r="D3673"/>
  <c r="D3672"/>
  <c r="D3671"/>
  <c r="D3670"/>
  <c r="D3669"/>
  <c r="D3668"/>
  <c r="D3667"/>
  <c r="D3666"/>
  <c r="D3665"/>
  <c r="D3664"/>
  <c r="D3663"/>
  <c r="D3662"/>
  <c r="D3661"/>
  <c r="D3660"/>
  <c r="D3659"/>
  <c r="D3658"/>
  <c r="D3657"/>
  <c r="D3656"/>
  <c r="D3655"/>
  <c r="D3654"/>
  <c r="D3653"/>
  <c r="D3652"/>
  <c r="D3651"/>
  <c r="D3650"/>
  <c r="D3649"/>
  <c r="D3648"/>
  <c r="D3647"/>
  <c r="D3646"/>
  <c r="D3645"/>
  <c r="D3644"/>
  <c r="D3643"/>
  <c r="D3642"/>
  <c r="D3641"/>
  <c r="D3640"/>
  <c r="D3639"/>
  <c r="D3638"/>
  <c r="D3637"/>
  <c r="D3636"/>
  <c r="D3635"/>
  <c r="D3634"/>
  <c r="D3633"/>
  <c r="D3631"/>
  <c r="D3630"/>
  <c r="D3629"/>
  <c r="D3628"/>
  <c r="D3627"/>
  <c r="D3626"/>
  <c r="D3625"/>
  <c r="D3624"/>
  <c r="D3623"/>
  <c r="D3622"/>
  <c r="D3621"/>
  <c r="D3620"/>
  <c r="D3619"/>
  <c r="D3618"/>
  <c r="D3617"/>
  <c r="D3616"/>
  <c r="D3615"/>
  <c r="D3614"/>
  <c r="D3613"/>
  <c r="D3612"/>
  <c r="D3611"/>
  <c r="D3610"/>
  <c r="D3609"/>
  <c r="D3608"/>
  <c r="D3607"/>
  <c r="D3606"/>
  <c r="D3605"/>
  <c r="D3604"/>
  <c r="D3603"/>
  <c r="D3602"/>
  <c r="D3601"/>
  <c r="D3600"/>
  <c r="D3599"/>
  <c r="D3598"/>
  <c r="D3597"/>
  <c r="D3596"/>
  <c r="D3595"/>
  <c r="D3594"/>
  <c r="D3593"/>
  <c r="D3592"/>
  <c r="D3591"/>
  <c r="D3590"/>
  <c r="D3589"/>
  <c r="D3588"/>
  <c r="D3586"/>
  <c r="D3585"/>
  <c r="D3584"/>
  <c r="D3583"/>
  <c r="D3582"/>
  <c r="D3581"/>
  <c r="D3580"/>
  <c r="D3579"/>
  <c r="D3578"/>
  <c r="D3576"/>
  <c r="D3575"/>
  <c r="D3574"/>
  <c r="D3573"/>
  <c r="D3572"/>
  <c r="D3571"/>
  <c r="D3570"/>
  <c r="D3569"/>
  <c r="D3568"/>
  <c r="D3567"/>
  <c r="D3566"/>
  <c r="D3565"/>
  <c r="D3564"/>
  <c r="D3563"/>
  <c r="D3562"/>
  <c r="D3561"/>
  <c r="D3560"/>
  <c r="D3559"/>
  <c r="D3558"/>
  <c r="D3557"/>
  <c r="D3556"/>
  <c r="D3555"/>
  <c r="D3554"/>
  <c r="D3553"/>
  <c r="D3552"/>
  <c r="D3551"/>
  <c r="D3550"/>
  <c r="D3549"/>
  <c r="D3548"/>
  <c r="D3547"/>
  <c r="D3546"/>
  <c r="D3545"/>
  <c r="D3544"/>
  <c r="D3543"/>
  <c r="D3542"/>
  <c r="D3541"/>
  <c r="D3540"/>
  <c r="D3539"/>
  <c r="D3538"/>
  <c r="D3537"/>
  <c r="D3536"/>
  <c r="D3535"/>
  <c r="D3534"/>
  <c r="D3533"/>
  <c r="D3532"/>
  <c r="D3531"/>
  <c r="D3530"/>
  <c r="D3529"/>
  <c r="D3528"/>
  <c r="D3527"/>
  <c r="D3526"/>
  <c r="D3525"/>
  <c r="D3524"/>
  <c r="D3523"/>
  <c r="D3522"/>
  <c r="D3521"/>
  <c r="D3520"/>
  <c r="D3519"/>
  <c r="D3518"/>
  <c r="D3517"/>
  <c r="D3516"/>
  <c r="D3515"/>
  <c r="D3514"/>
  <c r="D3513"/>
  <c r="D3511"/>
  <c r="D3510"/>
  <c r="D3509"/>
  <c r="D3508"/>
  <c r="D3507"/>
  <c r="D3506"/>
  <c r="D3505"/>
  <c r="D3504"/>
  <c r="D3503"/>
  <c r="D3501"/>
  <c r="D3500"/>
  <c r="D3499"/>
  <c r="D3498"/>
  <c r="D3497"/>
  <c r="D3496"/>
  <c r="D3495"/>
  <c r="D3494"/>
  <c r="D3493"/>
  <c r="D3492"/>
  <c r="D3491"/>
  <c r="D3490"/>
  <c r="D3489"/>
  <c r="D3488"/>
  <c r="D3487"/>
  <c r="D3486"/>
  <c r="D3485"/>
  <c r="D3483"/>
  <c r="D3481"/>
  <c r="D3479"/>
  <c r="D3478"/>
  <c r="D3477"/>
  <c r="D3476"/>
  <c r="D3475"/>
  <c r="D3474"/>
  <c r="D3473"/>
  <c r="D3472"/>
  <c r="D3471"/>
  <c r="D3470"/>
  <c r="D3468"/>
  <c r="D3467"/>
  <c r="D3466"/>
  <c r="D3465"/>
  <c r="D3464"/>
  <c r="D3463"/>
  <c r="D3462"/>
  <c r="D3461"/>
  <c r="D3460"/>
  <c r="D3459"/>
  <c r="D3458"/>
  <c r="D3457"/>
  <c r="D3456"/>
  <c r="D3455"/>
  <c r="D3453"/>
  <c r="D3452"/>
  <c r="D3451"/>
  <c r="D3449"/>
  <c r="D3447"/>
  <c r="D3446"/>
  <c r="D3445"/>
  <c r="D3444"/>
  <c r="D3443"/>
  <c r="D3442"/>
  <c r="D3441"/>
  <c r="D3440"/>
  <c r="D3438"/>
  <c r="D3437"/>
  <c r="D3436"/>
  <c r="D3435"/>
  <c r="D3434"/>
  <c r="D3433"/>
  <c r="D3432"/>
  <c r="D3431"/>
  <c r="D3430"/>
  <c r="D3429"/>
  <c r="D3428"/>
  <c r="D3427"/>
  <c r="D3426"/>
  <c r="D3425"/>
  <c r="D3424"/>
  <c r="D3423"/>
  <c r="D3422"/>
  <c r="D3421"/>
  <c r="D3420"/>
  <c r="D3419"/>
  <c r="D3418"/>
  <c r="D3417"/>
  <c r="D3416"/>
  <c r="D3415"/>
  <c r="D3414"/>
  <c r="D3413"/>
  <c r="D3412"/>
  <c r="D3411"/>
  <c r="D3410"/>
  <c r="D3409"/>
  <c r="D3408"/>
  <c r="D3407"/>
  <c r="D3406"/>
  <c r="D3405"/>
  <c r="D3404"/>
  <c r="D3403"/>
  <c r="D3402"/>
  <c r="D3401"/>
  <c r="D3400"/>
  <c r="D3399"/>
  <c r="D3398"/>
  <c r="D3397"/>
  <c r="D3396"/>
  <c r="D3395"/>
  <c r="D3394"/>
  <c r="D3393"/>
  <c r="D3392"/>
  <c r="D3391"/>
  <c r="D3390"/>
  <c r="D3389"/>
  <c r="D3388"/>
  <c r="D3387"/>
  <c r="D3386"/>
  <c r="D3385"/>
  <c r="D3384"/>
  <c r="D3383"/>
  <c r="D3382"/>
  <c r="D3381"/>
  <c r="D3380"/>
  <c r="D3379"/>
  <c r="D3378"/>
  <c r="D3377"/>
  <c r="D3376"/>
  <c r="D3375"/>
  <c r="D3374"/>
  <c r="D3373"/>
  <c r="D3372"/>
  <c r="D3371"/>
  <c r="D3370"/>
  <c r="D3369"/>
  <c r="D3368"/>
  <c r="D3367"/>
  <c r="D3366"/>
  <c r="D3365"/>
  <c r="D3364"/>
  <c r="D3363"/>
  <c r="D3362"/>
  <c r="D3361"/>
  <c r="D3360"/>
  <c r="D3359"/>
  <c r="D3358"/>
  <c r="D3357"/>
  <c r="D3356"/>
  <c r="D3355"/>
  <c r="D3354"/>
  <c r="D3353"/>
  <c r="D3352"/>
  <c r="D3351"/>
  <c r="D3350"/>
  <c r="D3349"/>
  <c r="D3348"/>
  <c r="D3347"/>
  <c r="D3346"/>
  <c r="D3345"/>
  <c r="D3344"/>
  <c r="D3343"/>
  <c r="D3342"/>
  <c r="D3341"/>
  <c r="D3340"/>
  <c r="D3339"/>
  <c r="D3338"/>
  <c r="D3337"/>
  <c r="D3336"/>
  <c r="D3335"/>
  <c r="D3334"/>
  <c r="D3333"/>
  <c r="D3332"/>
  <c r="D3331"/>
  <c r="D3330"/>
  <c r="D3329"/>
  <c r="D3328"/>
  <c r="D3327"/>
  <c r="D3326"/>
  <c r="D3325"/>
  <c r="D3324"/>
  <c r="D3323"/>
  <c r="D3322"/>
  <c r="D3321"/>
  <c r="D3320"/>
  <c r="D3319"/>
  <c r="D3318"/>
  <c r="D3317"/>
  <c r="D3316"/>
  <c r="D3315"/>
  <c r="D3314"/>
  <c r="D3313"/>
  <c r="D3312"/>
  <c r="D3311"/>
  <c r="D3310"/>
  <c r="D3309"/>
  <c r="D3308"/>
  <c r="D3307"/>
  <c r="D3306"/>
  <c r="D3305"/>
  <c r="D3304"/>
  <c r="D3303"/>
  <c r="D3302"/>
  <c r="D3301"/>
  <c r="D3300"/>
  <c r="D3299"/>
  <c r="D3298"/>
  <c r="D3297"/>
  <c r="D3296"/>
  <c r="D3295"/>
  <c r="D3294"/>
  <c r="D3293"/>
  <c r="D3292"/>
  <c r="D3291"/>
  <c r="D3290"/>
  <c r="D3289"/>
  <c r="D3288"/>
  <c r="D3287"/>
  <c r="D3286"/>
  <c r="D3285"/>
  <c r="D3284"/>
  <c r="D3283"/>
  <c r="D3282"/>
  <c r="D3281"/>
  <c r="D3280"/>
  <c r="D3279"/>
  <c r="D3278"/>
  <c r="D3277"/>
  <c r="D3276"/>
  <c r="D3275"/>
  <c r="D3274"/>
  <c r="D3273"/>
  <c r="D3272"/>
  <c r="D3271"/>
  <c r="D3270"/>
  <c r="D3269"/>
  <c r="D3268"/>
  <c r="D3267"/>
  <c r="D3266"/>
  <c r="D3265"/>
  <c r="D3264"/>
  <c r="D3263"/>
  <c r="D3262"/>
  <c r="D3261"/>
  <c r="D3260"/>
  <c r="D3259"/>
  <c r="D3257"/>
  <c r="D3255"/>
  <c r="D3253"/>
  <c r="D3252"/>
  <c r="D3250"/>
  <c r="D3249"/>
  <c r="D3246"/>
  <c r="D3245"/>
  <c r="D3244"/>
  <c r="D3243"/>
  <c r="D3242"/>
  <c r="D3241"/>
  <c r="D3239"/>
  <c r="D3236"/>
  <c r="D3235"/>
  <c r="D3234"/>
  <c r="D3233"/>
  <c r="D3232"/>
  <c r="D3231"/>
  <c r="D3230"/>
  <c r="D3229"/>
  <c r="D3228"/>
  <c r="D3227"/>
  <c r="D3226"/>
  <c r="D3225"/>
  <c r="D3224"/>
  <c r="D3223"/>
  <c r="D3222"/>
  <c r="D3221"/>
  <c r="D3219"/>
  <c r="D3218"/>
  <c r="D3217"/>
  <c r="D3216"/>
  <c r="D3215"/>
  <c r="D3214"/>
  <c r="D3213"/>
  <c r="D3212"/>
  <c r="D3211"/>
  <c r="D3210"/>
  <c r="D3209"/>
  <c r="D3208"/>
  <c r="D3207"/>
  <c r="D3206"/>
  <c r="D3205"/>
  <c r="D3204"/>
  <c r="D3203"/>
  <c r="D3202"/>
  <c r="D3201"/>
  <c r="D3200"/>
  <c r="D3199"/>
  <c r="D3198"/>
  <c r="D3197"/>
  <c r="D3196"/>
  <c r="D3195"/>
  <c r="D3194"/>
  <c r="D3193"/>
  <c r="D3192"/>
  <c r="D3191"/>
  <c r="D3190"/>
  <c r="D3189"/>
  <c r="D3188"/>
  <c r="D3187"/>
  <c r="D3186"/>
  <c r="D3185"/>
  <c r="D3184"/>
  <c r="D3183"/>
  <c r="D3182"/>
  <c r="D3181"/>
  <c r="D3180"/>
  <c r="D3179"/>
  <c r="D3178"/>
  <c r="D3177"/>
  <c r="D3176"/>
  <c r="D3175"/>
  <c r="D3174"/>
  <c r="D3173"/>
  <c r="D3172"/>
  <c r="D3171"/>
  <c r="D3170"/>
  <c r="D3169"/>
  <c r="D3168"/>
  <c r="D3167"/>
  <c r="D3166"/>
  <c r="D3165"/>
  <c r="D3164"/>
  <c r="D3163"/>
  <c r="D3162"/>
  <c r="D3161"/>
  <c r="D3160"/>
  <c r="D3159"/>
  <c r="D3158"/>
  <c r="D3157"/>
  <c r="D3156"/>
  <c r="D3155"/>
  <c r="D3154"/>
  <c r="D3153"/>
  <c r="D3152"/>
  <c r="D3151"/>
  <c r="D3150"/>
  <c r="D3149"/>
  <c r="D3148"/>
  <c r="D3147"/>
  <c r="D3146"/>
  <c r="D3145"/>
  <c r="D3144"/>
  <c r="D3143"/>
  <c r="D3142"/>
  <c r="D3141"/>
  <c r="D3140"/>
  <c r="D3139"/>
  <c r="D3138"/>
  <c r="D3137"/>
  <c r="D3136"/>
  <c r="D3135"/>
  <c r="D3134"/>
  <c r="D3133"/>
  <c r="D3132"/>
  <c r="D3131"/>
  <c r="D3130"/>
  <c r="D3129"/>
  <c r="D3128"/>
  <c r="D3127"/>
  <c r="D3126"/>
  <c r="D3125"/>
  <c r="D3124"/>
  <c r="D3123"/>
  <c r="D3122"/>
  <c r="D3121"/>
  <c r="D3120"/>
  <c r="D3119"/>
  <c r="D3118"/>
  <c r="D3117"/>
  <c r="D3116"/>
  <c r="D3115"/>
  <c r="D3114"/>
  <c r="D3113"/>
  <c r="D3112"/>
  <c r="D3111"/>
  <c r="D3110"/>
  <c r="D3109"/>
  <c r="D3108"/>
  <c r="D3107"/>
  <c r="D3106"/>
  <c r="D3105"/>
  <c r="D3104"/>
  <c r="D3103"/>
  <c r="D3101"/>
  <c r="D3100"/>
  <c r="D3099"/>
  <c r="D3098"/>
  <c r="D3097"/>
  <c r="D3096"/>
  <c r="D3095"/>
  <c r="D3094"/>
  <c r="D3093"/>
  <c r="D3092"/>
  <c r="D3091"/>
  <c r="D3090"/>
  <c r="D3089"/>
  <c r="D3088"/>
  <c r="D3087"/>
  <c r="D3086"/>
  <c r="D3085"/>
  <c r="D3084"/>
  <c r="D3083"/>
  <c r="D3082"/>
  <c r="D3081"/>
  <c r="D3080"/>
  <c r="D3079"/>
  <c r="D3078"/>
  <c r="D3077"/>
  <c r="D3076"/>
  <c r="D3075"/>
  <c r="D3074"/>
  <c r="D3073"/>
  <c r="D3072"/>
  <c r="D3071"/>
  <c r="D3070"/>
  <c r="D3069"/>
  <c r="D3068"/>
  <c r="D3067"/>
  <c r="D3066"/>
  <c r="D3065"/>
  <c r="D3064"/>
  <c r="D3063"/>
  <c r="D3062"/>
  <c r="D3061"/>
  <c r="D3060"/>
  <c r="D3059"/>
  <c r="D3058"/>
  <c r="D3057"/>
  <c r="D3056"/>
  <c r="D3055"/>
  <c r="D3054"/>
  <c r="D3052"/>
  <c r="D3051"/>
  <c r="D3050"/>
  <c r="D3049"/>
  <c r="D3048"/>
  <c r="D3047"/>
  <c r="D3046"/>
  <c r="D3045"/>
  <c r="D3044"/>
  <c r="D3043"/>
  <c r="D3042"/>
  <c r="D3041"/>
  <c r="D3040"/>
  <c r="D3039"/>
  <c r="D3038"/>
  <c r="D3037"/>
  <c r="D3036"/>
  <c r="D3035"/>
  <c r="D3034"/>
  <c r="D3033"/>
  <c r="D3032"/>
  <c r="D3031"/>
  <c r="D3030"/>
  <c r="D3029"/>
  <c r="D3028"/>
  <c r="D3027"/>
  <c r="D3026"/>
  <c r="D3025"/>
  <c r="D3024"/>
  <c r="D3022"/>
  <c r="D3021"/>
  <c r="D3020"/>
  <c r="D3019"/>
  <c r="D3018"/>
  <c r="D3017"/>
  <c r="D3016"/>
  <c r="D3015"/>
  <c r="D3013"/>
  <c r="D3012"/>
  <c r="D3011"/>
  <c r="D3010"/>
  <c r="D3009"/>
  <c r="D3007"/>
  <c r="D3006"/>
  <c r="D3005"/>
  <c r="D3004"/>
  <c r="D3003"/>
  <c r="D3002"/>
  <c r="D3001"/>
  <c r="D2999"/>
  <c r="D2998"/>
  <c r="D2997"/>
  <c r="D2996"/>
  <c r="D2995"/>
  <c r="D2994"/>
  <c r="D2993"/>
  <c r="D2992"/>
  <c r="D2991"/>
  <c r="D2990"/>
  <c r="D2989"/>
  <c r="D2988"/>
  <c r="D2987"/>
  <c r="D2986"/>
  <c r="D2985"/>
  <c r="D2984"/>
  <c r="D2983"/>
  <c r="D2982"/>
  <c r="D2981"/>
  <c r="D2980"/>
  <c r="D2979"/>
  <c r="D2978"/>
  <c r="D2977"/>
  <c r="D2976"/>
  <c r="D2975"/>
  <c r="D2974"/>
  <c r="D2973"/>
  <c r="D2972"/>
  <c r="D2971"/>
  <c r="D2970"/>
  <c r="D2969"/>
  <c r="D2968"/>
  <c r="D2967"/>
  <c r="D2966"/>
  <c r="D2965"/>
  <c r="D2964"/>
  <c r="D2963"/>
  <c r="D2962"/>
  <c r="D2961"/>
  <c r="D2960"/>
  <c r="D2959"/>
  <c r="D2958"/>
  <c r="D2957"/>
  <c r="D2956"/>
  <c r="D2955"/>
  <c r="D2954"/>
  <c r="D2953"/>
  <c r="D2952"/>
  <c r="D2951"/>
  <c r="D2950"/>
  <c r="D2949"/>
  <c r="D2948"/>
  <c r="D2947"/>
  <c r="D2946"/>
  <c r="D2945"/>
  <c r="D2944"/>
  <c r="D2943"/>
  <c r="D2942"/>
  <c r="D2941"/>
  <c r="D2939"/>
  <c r="D2938"/>
  <c r="D2937"/>
  <c r="D2935"/>
  <c r="D2933"/>
  <c r="D2932"/>
  <c r="D2931"/>
  <c r="D2930"/>
  <c r="D2929"/>
  <c r="D2927"/>
  <c r="D2926"/>
  <c r="D2925"/>
  <c r="D2924"/>
  <c r="D2923"/>
  <c r="D2922"/>
  <c r="D2921"/>
  <c r="D2920"/>
  <c r="D2919"/>
  <c r="D2918"/>
  <c r="D2917"/>
  <c r="D2916"/>
  <c r="D2915"/>
  <c r="D2914"/>
  <c r="D2913"/>
  <c r="D2912"/>
  <c r="D2911"/>
  <c r="D2910"/>
  <c r="D2909"/>
  <c r="D2908"/>
  <c r="D2907"/>
  <c r="D2906"/>
  <c r="D2905"/>
  <c r="D2904"/>
  <c r="D2903"/>
  <c r="D2902"/>
  <c r="D2901"/>
  <c r="D2900"/>
  <c r="D2899"/>
  <c r="D2898"/>
  <c r="D2897"/>
  <c r="D2896"/>
  <c r="D2895"/>
  <c r="D2894"/>
  <c r="D2893"/>
  <c r="D2892"/>
  <c r="D2890"/>
  <c r="D2889"/>
  <c r="D2886"/>
  <c r="D2883"/>
  <c r="D2882"/>
  <c r="D2881"/>
  <c r="D2880"/>
  <c r="D2879"/>
  <c r="D2878"/>
  <c r="D2877"/>
  <c r="D2876"/>
  <c r="D2875"/>
  <c r="D2874"/>
  <c r="D2873"/>
  <c r="D2872"/>
  <c r="D2871"/>
  <c r="D2870"/>
  <c r="D2869"/>
  <c r="D2868"/>
  <c r="D2867"/>
  <c r="D2866"/>
  <c r="D2865"/>
  <c r="D2864"/>
  <c r="D2863"/>
  <c r="D2862"/>
  <c r="D2861"/>
  <c r="D2860"/>
  <c r="D2859"/>
  <c r="D2858"/>
  <c r="D2857"/>
  <c r="D2856"/>
  <c r="D2855"/>
  <c r="D2854"/>
  <c r="D2853"/>
  <c r="D2852"/>
  <c r="D2851"/>
  <c r="D2850"/>
  <c r="D2849"/>
  <c r="D2848"/>
  <c r="D2847"/>
  <c r="D2846"/>
  <c r="D2845"/>
  <c r="D2844"/>
  <c r="D2843"/>
  <c r="D2842"/>
  <c r="D2841"/>
  <c r="D2840"/>
  <c r="D2839"/>
  <c r="D2838"/>
  <c r="D2837"/>
  <c r="D2836"/>
  <c r="D2835"/>
  <c r="D2834"/>
  <c r="D2833"/>
  <c r="D2832"/>
  <c r="D2831"/>
  <c r="D2830"/>
  <c r="D2829"/>
  <c r="D2828"/>
  <c r="D2827"/>
  <c r="D2826"/>
  <c r="D2825"/>
  <c r="D2824"/>
  <c r="D2823"/>
  <c r="D2822"/>
  <c r="D2821"/>
  <c r="D2820"/>
  <c r="D2819"/>
  <c r="D2818"/>
  <c r="D2817"/>
  <c r="D2816"/>
  <c r="D2815"/>
  <c r="D2814"/>
  <c r="D2813"/>
  <c r="D2812"/>
  <c r="D2811"/>
  <c r="D2810"/>
  <c r="D2809"/>
  <c r="D2808"/>
  <c r="D2807"/>
  <c r="D2806"/>
  <c r="D2805"/>
  <c r="D2804"/>
  <c r="D2803"/>
  <c r="D2802"/>
  <c r="D2801"/>
  <c r="D2800"/>
  <c r="D2799"/>
  <c r="D2798"/>
  <c r="D2797"/>
  <c r="D2796"/>
  <c r="D2795"/>
  <c r="D2794"/>
  <c r="D2793"/>
  <c r="D2792"/>
  <c r="D2791"/>
  <c r="D2790"/>
  <c r="D2789"/>
  <c r="D2788"/>
  <c r="D2787"/>
  <c r="D2786"/>
  <c r="D2785"/>
  <c r="D2784"/>
  <c r="D2783"/>
  <c r="D2782"/>
  <c r="D2781"/>
  <c r="D2780"/>
  <c r="D2779"/>
  <c r="D2778"/>
  <c r="D2777"/>
  <c r="D2776"/>
  <c r="D2775"/>
  <c r="D2774"/>
  <c r="D2773"/>
  <c r="D2772"/>
  <c r="D2771"/>
  <c r="D2770"/>
  <c r="D2769"/>
  <c r="D2768"/>
  <c r="D2767"/>
  <c r="D2766"/>
  <c r="D2765"/>
  <c r="D2764"/>
  <c r="D2763"/>
  <c r="D2762"/>
  <c r="D2761"/>
  <c r="D2760"/>
  <c r="D2759"/>
  <c r="D2758"/>
  <c r="D2757"/>
  <c r="D2756"/>
  <c r="D2755"/>
  <c r="D2754"/>
  <c r="D2753"/>
  <c r="D2752"/>
  <c r="D2751"/>
  <c r="D2750"/>
  <c r="D2749"/>
  <c r="D2748"/>
  <c r="D2747"/>
  <c r="D2746"/>
  <c r="D2745"/>
  <c r="D2744"/>
  <c r="D2742"/>
  <c r="D2740"/>
  <c r="D2739"/>
  <c r="D2738"/>
  <c r="D2737"/>
  <c r="D2736"/>
  <c r="D2735"/>
  <c r="D2734"/>
  <c r="D2733"/>
  <c r="D2732"/>
  <c r="D2731"/>
  <c r="D2730"/>
  <c r="D2729"/>
  <c r="D2728"/>
  <c r="D2727"/>
  <c r="D2726"/>
  <c r="D2725"/>
  <c r="D2724"/>
  <c r="D2723"/>
  <c r="D2722"/>
  <c r="D2721"/>
  <c r="D2720"/>
  <c r="D2719"/>
  <c r="D2718"/>
  <c r="D2717"/>
  <c r="D2716"/>
  <c r="D2715"/>
  <c r="D2714"/>
  <c r="D2713"/>
  <c r="D2712"/>
  <c r="D2711"/>
  <c r="D2710"/>
  <c r="D2709"/>
  <c r="D2708"/>
  <c r="D2707"/>
  <c r="D2706"/>
  <c r="D2705"/>
  <c r="D2704"/>
  <c r="D2703"/>
  <c r="D2702"/>
  <c r="D2701"/>
  <c r="D2700"/>
  <c r="D2699"/>
  <c r="D2698"/>
  <c r="D2697"/>
  <c r="D2696"/>
  <c r="D2695"/>
  <c r="D2694"/>
  <c r="D2693"/>
  <c r="D2692"/>
  <c r="D2691"/>
  <c r="D2690"/>
  <c r="D2689"/>
  <c r="D2688"/>
  <c r="D2687"/>
  <c r="D2686"/>
  <c r="D2685"/>
  <c r="D2684"/>
  <c r="D2683"/>
  <c r="D2682"/>
  <c r="D2681"/>
  <c r="D2680"/>
  <c r="D2679"/>
  <c r="D2678"/>
  <c r="D2677"/>
  <c r="D2676"/>
  <c r="D2675"/>
  <c r="D2674"/>
  <c r="D2673"/>
  <c r="D2672"/>
  <c r="D2671"/>
  <c r="D2670"/>
  <c r="D2669"/>
  <c r="D2668"/>
  <c r="D2667"/>
  <c r="D2666"/>
  <c r="D2665"/>
  <c r="D2664"/>
  <c r="D2663"/>
  <c r="D2662"/>
  <c r="D2660"/>
  <c r="D2659"/>
  <c r="D2658"/>
  <c r="D2657"/>
  <c r="D2656"/>
  <c r="D2655"/>
  <c r="D2654"/>
  <c r="D2653"/>
  <c r="D2652"/>
  <c r="D2651"/>
  <c r="D2650"/>
  <c r="D2649"/>
  <c r="D2648"/>
  <c r="D2647"/>
  <c r="D2646"/>
  <c r="D2645"/>
  <c r="D2644"/>
  <c r="D2643"/>
  <c r="D2642"/>
  <c r="D2641"/>
  <c r="D2640"/>
  <c r="D2639"/>
  <c r="D2638"/>
  <c r="D2637"/>
  <c r="D2636"/>
  <c r="D2635"/>
  <c r="D2634"/>
  <c r="D2633"/>
  <c r="D2632"/>
  <c r="D2631"/>
  <c r="D2630"/>
  <c r="D2629"/>
  <c r="D2628"/>
  <c r="D2627"/>
  <c r="D2626"/>
  <c r="D2625"/>
  <c r="D2624"/>
  <c r="D2623"/>
  <c r="D2622"/>
  <c r="D2621"/>
  <c r="D2620"/>
  <c r="D2618"/>
  <c r="D2617"/>
  <c r="D2616"/>
  <c r="D2615"/>
  <c r="D2614"/>
  <c r="D2613"/>
  <c r="D2612"/>
  <c r="D2611"/>
  <c r="D2610"/>
  <c r="D2609"/>
  <c r="D2608"/>
  <c r="D2607"/>
  <c r="D2606"/>
  <c r="D2605"/>
  <c r="D2604"/>
  <c r="D2603"/>
  <c r="D2602"/>
  <c r="D2601"/>
  <c r="D2600"/>
  <c r="D2599"/>
  <c r="D2598"/>
  <c r="D2597"/>
  <c r="D2596"/>
  <c r="D2595"/>
  <c r="D2594"/>
  <c r="D2593"/>
  <c r="D2591"/>
  <c r="D2590"/>
  <c r="D2589"/>
  <c r="D2588"/>
  <c r="D2587"/>
  <c r="D2586"/>
  <c r="D2585"/>
  <c r="D2584"/>
  <c r="D2583"/>
  <c r="D2582"/>
  <c r="D2581"/>
  <c r="D2580"/>
  <c r="D2579"/>
  <c r="D2578"/>
  <c r="D2577"/>
  <c r="D2576"/>
  <c r="D2575"/>
  <c r="D2574"/>
  <c r="D2573"/>
  <c r="D2572"/>
  <c r="D2571"/>
  <c r="D2570"/>
  <c r="D2569"/>
  <c r="D2568"/>
  <c r="D2567"/>
  <c r="D2566"/>
  <c r="D2565"/>
  <c r="D2564"/>
  <c r="D2563"/>
  <c r="D2562"/>
  <c r="D2561"/>
  <c r="D2560"/>
  <c r="D2559"/>
  <c r="D2558"/>
  <c r="D2557"/>
  <c r="D2556"/>
  <c r="D2555"/>
  <c r="D2554"/>
  <c r="D2553"/>
  <c r="D2552"/>
  <c r="D2551"/>
  <c r="D2550"/>
  <c r="D2549"/>
  <c r="D2548"/>
  <c r="D2547"/>
  <c r="D2546"/>
  <c r="D2544"/>
  <c r="D2543"/>
  <c r="D2541"/>
  <c r="D2540"/>
  <c r="D2537"/>
  <c r="D2536"/>
  <c r="D2535"/>
  <c r="D2534"/>
  <c r="D2533"/>
  <c r="D2532"/>
  <c r="D2531"/>
  <c r="D2530"/>
  <c r="D2529"/>
  <c r="D2528"/>
  <c r="D2526"/>
  <c r="D2525"/>
  <c r="D2524"/>
  <c r="D2523"/>
  <c r="D2522"/>
  <c r="D2521"/>
  <c r="D2520"/>
  <c r="D2519"/>
  <c r="D2518"/>
  <c r="D2517"/>
  <c r="D2516"/>
  <c r="D2515"/>
  <c r="D2514"/>
  <c r="D2513"/>
  <c r="D2512"/>
  <c r="D2511"/>
  <c r="D2510"/>
  <c r="D2509"/>
  <c r="D2508"/>
  <c r="D2507"/>
  <c r="D2506"/>
  <c r="D2505"/>
  <c r="D2504"/>
  <c r="D2503"/>
  <c r="D2502"/>
  <c r="D2501"/>
  <c r="D2500"/>
  <c r="D2499"/>
  <c r="D2498"/>
  <c r="D2497"/>
  <c r="D2496"/>
  <c r="D2495"/>
  <c r="D2494"/>
  <c r="D2493"/>
  <c r="D2492"/>
  <c r="D2491"/>
  <c r="D2490"/>
  <c r="D2489"/>
  <c r="D2488"/>
  <c r="D2486"/>
  <c r="D2484"/>
  <c r="D2483"/>
  <c r="D2481"/>
  <c r="D2478"/>
  <c r="D2477"/>
  <c r="D2476"/>
  <c r="D2473"/>
  <c r="D2472"/>
  <c r="D2471"/>
  <c r="D2470"/>
  <c r="D2469"/>
  <c r="D2468"/>
  <c r="D2467"/>
  <c r="D2466"/>
  <c r="D2465"/>
  <c r="D2464"/>
  <c r="D2463"/>
  <c r="D2462"/>
  <c r="D2461"/>
  <c r="D2460"/>
  <c r="D2459"/>
  <c r="D2458"/>
  <c r="D2457"/>
  <c r="D2456"/>
  <c r="D2455"/>
  <c r="D2454"/>
  <c r="D2453"/>
  <c r="D2452"/>
  <c r="D2451"/>
  <c r="D2450"/>
  <c r="D2449"/>
  <c r="D2448"/>
  <c r="D2447"/>
  <c r="D2446"/>
  <c r="D2445"/>
  <c r="D2444"/>
  <c r="D2443"/>
  <c r="D2442"/>
  <c r="D2441"/>
  <c r="D2440"/>
  <c r="D2439"/>
  <c r="D2438"/>
  <c r="D2437"/>
  <c r="D2436"/>
  <c r="D2435"/>
  <c r="D2434"/>
  <c r="D2433"/>
  <c r="D2432"/>
  <c r="D2431"/>
  <c r="D2430"/>
  <c r="D2429"/>
  <c r="D2428"/>
  <c r="D2427"/>
  <c r="D2426"/>
  <c r="D2424"/>
  <c r="D2423"/>
  <c r="D2422"/>
  <c r="D2421"/>
  <c r="D2420"/>
  <c r="D2419"/>
  <c r="D2418"/>
  <c r="D2417"/>
  <c r="D2416"/>
  <c r="D2415"/>
  <c r="D2414"/>
  <c r="D2413"/>
  <c r="D2412"/>
  <c r="D2411"/>
  <c r="D2410"/>
  <c r="D2409"/>
  <c r="D2408"/>
  <c r="D2407"/>
  <c r="D2406"/>
  <c r="D2405"/>
  <c r="D2404"/>
  <c r="D2403"/>
  <c r="D2402"/>
  <c r="D2401"/>
  <c r="D2400"/>
  <c r="D2399"/>
  <c r="D2398"/>
  <c r="D2397"/>
  <c r="D2396"/>
  <c r="D2395"/>
  <c r="D2394"/>
  <c r="D2393"/>
  <c r="D2392"/>
  <c r="D2391"/>
  <c r="D2390"/>
  <c r="D2389"/>
  <c r="D2388"/>
  <c r="D2387"/>
  <c r="D2386"/>
  <c r="D2385"/>
  <c r="D2384"/>
  <c r="D2383"/>
  <c r="D2382"/>
  <c r="D2381"/>
  <c r="D2380"/>
  <c r="D2379"/>
  <c r="D2378"/>
  <c r="D2377"/>
  <c r="D2376"/>
  <c r="D2375"/>
  <c r="D2374"/>
  <c r="D2373"/>
  <c r="D2372"/>
  <c r="D2371"/>
  <c r="D2370"/>
  <c r="D2369"/>
  <c r="D2368"/>
  <c r="D2367"/>
  <c r="D2366"/>
  <c r="D2365"/>
  <c r="D2364"/>
  <c r="D2363"/>
  <c r="D2362"/>
  <c r="D2361"/>
  <c r="D2360"/>
  <c r="D2359"/>
  <c r="D2358"/>
  <c r="D2357"/>
  <c r="D2356"/>
  <c r="D2355"/>
  <c r="D2354"/>
  <c r="D2353"/>
  <c r="D2352"/>
  <c r="D2351"/>
  <c r="D2350"/>
  <c r="D2349"/>
  <c r="D2348"/>
  <c r="D2347"/>
  <c r="D2346"/>
  <c r="D2345"/>
  <c r="D2344"/>
  <c r="D2343"/>
  <c r="D2342"/>
  <c r="D2341"/>
  <c r="D2340"/>
  <c r="D2339"/>
  <c r="D2338"/>
  <c r="D2337"/>
  <c r="D2336"/>
  <c r="D2335"/>
  <c r="D2334"/>
  <c r="D2333"/>
  <c r="D2332"/>
  <c r="D2331"/>
  <c r="D2330"/>
  <c r="D2329"/>
  <c r="D2328"/>
  <c r="D2327"/>
  <c r="D2326"/>
  <c r="D2325"/>
  <c r="D2324"/>
  <c r="D2323"/>
  <c r="D2322"/>
  <c r="D2321"/>
  <c r="D2320"/>
  <c r="D2319"/>
  <c r="D2318"/>
  <c r="D2317"/>
  <c r="D2316"/>
  <c r="D2315"/>
  <c r="D2314"/>
  <c r="D2313"/>
  <c r="D2311"/>
  <c r="D2309"/>
  <c r="D2308"/>
  <c r="D2307"/>
  <c r="D2306"/>
  <c r="D2305"/>
  <c r="D2304"/>
  <c r="D2303"/>
  <c r="D2302"/>
  <c r="D2301"/>
  <c r="D2300"/>
  <c r="D2299"/>
  <c r="D2298"/>
  <c r="D2297"/>
  <c r="D2296"/>
  <c r="D2295"/>
  <c r="D2294"/>
  <c r="D2293"/>
  <c r="D2292"/>
  <c r="D2291"/>
  <c r="D2290"/>
  <c r="D2289"/>
  <c r="D2288"/>
  <c r="D2287"/>
  <c r="D2286"/>
  <c r="D2285"/>
  <c r="D2284"/>
  <c r="D2283"/>
  <c r="D2282"/>
  <c r="D2281"/>
  <c r="D2280"/>
  <c r="D2279"/>
  <c r="D2278"/>
  <c r="D2277"/>
  <c r="D2276"/>
  <c r="D2275"/>
  <c r="D2274"/>
  <c r="D2273"/>
  <c r="D2272"/>
  <c r="D2271"/>
  <c r="D2270"/>
  <c r="D2269"/>
  <c r="D2268"/>
  <c r="D2267"/>
  <c r="D2266"/>
  <c r="D2265"/>
  <c r="D2264"/>
  <c r="D2263"/>
  <c r="D2262"/>
  <c r="D2261"/>
  <c r="D2259"/>
  <c r="D2258"/>
  <c r="D2257"/>
  <c r="D2256"/>
  <c r="D2255"/>
  <c r="D2254"/>
  <c r="D2253"/>
  <c r="D2252"/>
  <c r="D2251"/>
  <c r="D2250"/>
  <c r="D2249"/>
  <c r="D2248"/>
  <c r="D2247"/>
  <c r="D2246"/>
  <c r="D2245"/>
  <c r="D2244"/>
  <c r="D2243"/>
  <c r="D2242"/>
  <c r="D2241"/>
  <c r="D2240"/>
  <c r="D2239"/>
  <c r="D2238"/>
  <c r="D2237"/>
  <c r="D2236"/>
  <c r="D2235"/>
  <c r="D2234"/>
  <c r="D2232"/>
  <c r="D2231"/>
  <c r="D2230"/>
  <c r="D2229"/>
  <c r="D2228"/>
  <c r="D2227"/>
  <c r="D2226"/>
  <c r="D2225"/>
  <c r="D2224"/>
  <c r="D2223"/>
  <c r="D2222"/>
  <c r="D2221"/>
  <c r="D2220"/>
  <c r="D2218"/>
  <c r="D2217"/>
  <c r="D2216"/>
  <c r="D2215"/>
  <c r="D2214"/>
  <c r="D2213"/>
  <c r="D2212"/>
  <c r="D2211"/>
  <c r="D2210"/>
  <c r="D2209"/>
  <c r="D2208"/>
  <c r="D2207"/>
  <c r="D2206"/>
  <c r="D2205"/>
  <c r="D2204"/>
  <c r="D2203"/>
  <c r="D2202"/>
  <c r="D2201"/>
  <c r="D2200"/>
  <c r="D2199"/>
  <c r="D2198"/>
  <c r="D2197"/>
  <c r="D2196"/>
  <c r="D2195"/>
  <c r="D2194"/>
  <c r="D2193"/>
  <c r="D2192"/>
  <c r="D2191"/>
  <c r="D2190"/>
  <c r="D2189"/>
  <c r="D2188"/>
  <c r="D2187"/>
  <c r="D2186"/>
  <c r="D2185"/>
  <c r="D2184"/>
  <c r="D2183"/>
  <c r="D2182"/>
  <c r="D2180"/>
  <c r="D2179"/>
  <c r="D2178"/>
  <c r="D2177"/>
  <c r="D2176"/>
  <c r="D2175"/>
  <c r="D2174"/>
  <c r="D2173"/>
  <c r="D2172"/>
  <c r="D2171"/>
  <c r="D2170"/>
  <c r="D2169"/>
  <c r="D2168"/>
  <c r="D2167"/>
  <c r="D2166"/>
  <c r="D2165"/>
  <c r="D2164"/>
  <c r="D2163"/>
  <c r="D2162"/>
  <c r="D2161"/>
  <c r="D2160"/>
  <c r="D2159"/>
  <c r="D2158"/>
  <c r="D2157"/>
  <c r="D2156"/>
  <c r="D2155"/>
  <c r="D2154"/>
  <c r="D2153"/>
  <c r="D2152"/>
  <c r="D2151"/>
  <c r="D2150"/>
  <c r="D2149"/>
  <c r="D2148"/>
  <c r="D2147"/>
  <c r="D2146"/>
  <c r="D2145"/>
  <c r="D2144"/>
  <c r="D2143"/>
  <c r="D2142"/>
  <c r="D2141"/>
  <c r="D2140"/>
  <c r="D2139"/>
  <c r="D2138"/>
  <c r="D2137"/>
  <c r="D2136"/>
  <c r="D2134"/>
  <c r="D2133"/>
  <c r="D2132"/>
  <c r="D2131"/>
  <c r="D2127"/>
  <c r="D2124"/>
  <c r="D2123"/>
  <c r="D2122"/>
  <c r="D2121"/>
  <c r="D2119"/>
  <c r="D2117"/>
  <c r="D2116"/>
  <c r="D2115"/>
  <c r="D2114"/>
  <c r="D2113"/>
  <c r="D2112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80"/>
  <c r="D2079"/>
  <c r="D2078"/>
  <c r="D2077"/>
  <c r="D2076"/>
  <c r="D2075"/>
  <c r="D2074"/>
  <c r="D2073"/>
  <c r="D2072"/>
  <c r="D2071"/>
  <c r="D2068"/>
  <c r="D2065"/>
  <c r="D2064"/>
  <c r="D2060"/>
  <c r="D2059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8"/>
  <c r="D2037"/>
  <c r="D2036"/>
  <c r="D2035"/>
  <c r="D2034"/>
  <c r="D2033"/>
  <c r="D2032"/>
  <c r="D2031"/>
  <c r="D2030"/>
  <c r="D2029"/>
  <c r="D2028"/>
  <c r="D2027"/>
  <c r="D2026"/>
  <c r="D2025"/>
  <c r="D2024"/>
  <c r="D2023"/>
  <c r="D2022"/>
  <c r="D2021"/>
  <c r="D2020"/>
  <c r="D2019"/>
  <c r="D2018"/>
  <c r="D2017"/>
  <c r="D2016"/>
  <c r="D2015"/>
  <c r="D2014"/>
  <c r="D2013"/>
  <c r="D2012"/>
  <c r="D2011"/>
  <c r="D2010"/>
  <c r="D2009"/>
  <c r="D2008"/>
  <c r="D2007"/>
  <c r="D2006"/>
  <c r="D2005"/>
  <c r="D2004"/>
  <c r="D2003"/>
  <c r="D2002"/>
  <c r="D2001"/>
  <c r="D2000"/>
  <c r="D1999"/>
  <c r="D1998"/>
  <c r="D1997"/>
  <c r="D1996"/>
  <c r="D1995"/>
  <c r="D1994"/>
  <c r="D1993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50"/>
  <c r="D1949"/>
  <c r="D1948"/>
  <c r="D1947"/>
  <c r="D1946"/>
  <c r="D1945"/>
  <c r="D1944"/>
  <c r="D1943"/>
  <c r="D1942"/>
  <c r="D1941"/>
  <c r="D1940"/>
  <c r="D1939"/>
  <c r="D1938"/>
  <c r="D1937"/>
  <c r="D1936"/>
  <c r="D1935"/>
  <c r="D1934"/>
  <c r="D1933"/>
  <c r="D1932"/>
  <c r="D1931"/>
  <c r="D1930"/>
  <c r="D1929"/>
  <c r="D1928"/>
  <c r="D1927"/>
  <c r="D1926"/>
  <c r="D1925"/>
  <c r="D1924"/>
  <c r="D1923"/>
  <c r="D1921"/>
  <c r="D1919"/>
  <c r="D1918"/>
  <c r="D1917"/>
  <c r="D1916"/>
  <c r="D1915"/>
  <c r="D1914"/>
  <c r="D1913"/>
  <c r="D1912"/>
  <c r="D1911"/>
  <c r="D1910"/>
  <c r="D1909"/>
  <c r="D1908"/>
  <c r="D1907"/>
  <c r="D1906"/>
  <c r="D1905"/>
  <c r="D1904"/>
  <c r="D1903"/>
  <c r="D1902"/>
  <c r="D1901"/>
  <c r="D1900"/>
  <c r="D1899"/>
  <c r="D1898"/>
  <c r="D1897"/>
  <c r="D1896"/>
  <c r="D1895"/>
  <c r="D1894"/>
  <c r="D1893"/>
  <c r="D1892"/>
  <c r="D1891"/>
  <c r="D1890"/>
  <c r="D1889"/>
  <c r="D1888"/>
  <c r="D1887"/>
  <c r="D1886"/>
  <c r="D1885"/>
  <c r="D1884"/>
  <c r="D1883"/>
  <c r="D1882"/>
  <c r="D1881"/>
  <c r="D1880"/>
  <c r="D1879"/>
  <c r="D1878"/>
  <c r="D1877"/>
  <c r="D1876"/>
  <c r="D1875"/>
  <c r="D1874"/>
  <c r="D1873"/>
  <c r="D1872"/>
  <c r="D1871"/>
  <c r="D1870"/>
  <c r="D1869"/>
  <c r="D1868"/>
  <c r="D1867"/>
  <c r="D1866"/>
  <c r="D1865"/>
  <c r="D1864"/>
  <c r="D1863"/>
  <c r="D1862"/>
  <c r="D1861"/>
  <c r="D1860"/>
  <c r="D1859"/>
  <c r="D1858"/>
  <c r="D1857"/>
  <c r="D1856"/>
  <c r="D1855"/>
  <c r="D1854"/>
  <c r="D1852"/>
  <c r="D1851"/>
  <c r="D1850"/>
  <c r="D1849"/>
  <c r="D1848"/>
  <c r="D1847"/>
  <c r="D1846"/>
  <c r="D1845"/>
  <c r="D1844"/>
  <c r="D1843"/>
  <c r="D1842"/>
  <c r="D1841"/>
  <c r="D1840"/>
  <c r="D1839"/>
  <c r="D1838"/>
  <c r="D1837"/>
  <c r="D1836"/>
  <c r="D1835"/>
  <c r="D1834"/>
  <c r="D1833"/>
  <c r="D1832"/>
  <c r="D1831"/>
  <c r="D1830"/>
  <c r="D1829"/>
  <c r="D1828"/>
  <c r="D1827"/>
  <c r="D1826"/>
  <c r="D1825"/>
  <c r="D1824"/>
  <c r="D1823"/>
  <c r="D1822"/>
  <c r="D1821"/>
  <c r="D1820"/>
  <c r="D1819"/>
  <c r="D1817"/>
  <c r="D1816"/>
  <c r="D1815"/>
  <c r="D1813"/>
  <c r="D1812"/>
  <c r="D1811"/>
  <c r="D1810"/>
  <c r="D1809"/>
  <c r="D1808"/>
  <c r="D1807"/>
  <c r="D1806"/>
  <c r="D1805"/>
  <c r="D1804"/>
  <c r="D1803"/>
  <c r="D1802"/>
  <c r="D1801"/>
  <c r="D1800"/>
  <c r="D1799"/>
  <c r="D1798"/>
  <c r="D1797"/>
  <c r="D1796"/>
  <c r="D1795"/>
  <c r="D1794"/>
  <c r="D1793"/>
  <c r="D1792"/>
  <c r="D1791"/>
  <c r="D1790"/>
  <c r="D1789"/>
  <c r="D1788"/>
  <c r="D1787"/>
  <c r="D1786"/>
  <c r="D1785"/>
  <c r="D1784"/>
  <c r="D1783"/>
  <c r="D1782"/>
  <c r="D1781"/>
  <c r="D1780"/>
  <c r="D1779"/>
  <c r="D1778"/>
  <c r="D1777"/>
  <c r="D1776"/>
  <c r="D1775"/>
  <c r="D1774"/>
  <c r="D1773"/>
  <c r="D1772"/>
  <c r="D1771"/>
  <c r="D1770"/>
  <c r="D1769"/>
  <c r="D1768"/>
  <c r="D1767"/>
  <c r="D1766"/>
  <c r="D1765"/>
  <c r="D1764"/>
  <c r="D1763"/>
  <c r="D1762"/>
  <c r="D1761"/>
  <c r="D1760"/>
  <c r="D1759"/>
  <c r="D1758"/>
  <c r="D1757"/>
  <c r="D1756"/>
  <c r="D1754"/>
  <c r="D1753"/>
  <c r="D1752"/>
  <c r="D1751"/>
  <c r="D1750"/>
  <c r="D1748"/>
  <c r="D1746"/>
  <c r="D1745"/>
  <c r="D1743"/>
  <c r="D1742"/>
  <c r="D1741"/>
  <c r="D1740"/>
  <c r="D1739"/>
  <c r="D1738"/>
  <c r="D1736"/>
  <c r="D1735"/>
  <c r="D1734"/>
  <c r="D1733"/>
  <c r="D1732"/>
  <c r="D1731"/>
  <c r="D1730"/>
  <c r="D1729"/>
  <c r="D1728"/>
  <c r="D1727"/>
  <c r="D1726"/>
  <c r="D1725"/>
  <c r="D1724"/>
  <c r="D1723"/>
  <c r="D1722"/>
  <c r="D1721"/>
  <c r="D1720"/>
  <c r="D1719"/>
  <c r="D1718"/>
  <c r="D1717"/>
  <c r="D1716"/>
  <c r="D1715"/>
  <c r="D1714"/>
  <c r="D1713"/>
  <c r="D1712"/>
  <c r="D1711"/>
  <c r="D1710"/>
  <c r="D1709"/>
  <c r="D1708"/>
  <c r="D1707"/>
  <c r="D1706"/>
  <c r="D1705"/>
  <c r="D1704"/>
  <c r="D1703"/>
  <c r="D1702"/>
  <c r="D1701"/>
  <c r="D1700"/>
  <c r="D1699"/>
  <c r="D1698"/>
  <c r="D1697"/>
  <c r="D1695"/>
  <c r="D1694"/>
  <c r="D1692"/>
  <c r="D1690"/>
  <c r="D1689"/>
  <c r="D1687"/>
  <c r="D1684"/>
  <c r="D1683"/>
  <c r="D1682"/>
  <c r="D1681"/>
  <c r="D1680"/>
  <c r="D1679"/>
  <c r="D1678"/>
  <c r="D1677"/>
  <c r="D1676"/>
  <c r="D1675"/>
  <c r="D1674"/>
  <c r="D1673"/>
  <c r="D1671"/>
  <c r="D1670"/>
  <c r="D1669"/>
  <c r="D1668"/>
  <c r="D1667"/>
  <c r="D1666"/>
  <c r="D1665"/>
  <c r="D1664"/>
  <c r="D1663"/>
  <c r="D1662"/>
  <c r="D1661"/>
  <c r="D1660"/>
  <c r="D1659"/>
  <c r="D1658"/>
  <c r="D1657"/>
  <c r="D1656"/>
  <c r="D1655"/>
  <c r="D1654"/>
  <c r="D1653"/>
  <c r="D1652"/>
  <c r="D1651"/>
  <c r="D1650"/>
  <c r="D1649"/>
  <c r="D1648"/>
  <c r="D1647"/>
  <c r="D1646"/>
  <c r="D1645"/>
  <c r="D1644"/>
  <c r="D1643"/>
  <c r="D1642"/>
  <c r="D1641"/>
  <c r="D1640"/>
  <c r="D1639"/>
  <c r="D1638"/>
  <c r="D1637"/>
  <c r="D1636"/>
  <c r="D1635"/>
  <c r="D1634"/>
  <c r="D1633"/>
  <c r="D1632"/>
  <c r="D1631"/>
  <c r="D1630"/>
  <c r="D1629"/>
  <c r="D1628"/>
  <c r="D1627"/>
  <c r="D1626"/>
  <c r="D1625"/>
  <c r="D1624"/>
  <c r="D1623"/>
  <c r="D1622"/>
  <c r="D1621"/>
  <c r="D1620"/>
  <c r="D1619"/>
  <c r="D1618"/>
  <c r="D1617"/>
  <c r="D1616"/>
  <c r="D1615"/>
  <c r="D1614"/>
  <c r="D1613"/>
  <c r="D1612"/>
  <c r="D1611"/>
  <c r="D1610"/>
  <c r="D1609"/>
  <c r="D1608"/>
  <c r="D1607"/>
  <c r="D1606"/>
  <c r="D1605"/>
  <c r="D1604"/>
  <c r="D1603"/>
  <c r="D1602"/>
  <c r="D1601"/>
  <c r="D1600"/>
  <c r="D1599"/>
  <c r="D1598"/>
  <c r="D1597"/>
  <c r="D1596"/>
  <c r="D1595"/>
  <c r="D1594"/>
  <c r="D1593"/>
  <c r="D1592"/>
  <c r="D1591"/>
  <c r="D1590"/>
  <c r="D1589"/>
  <c r="D1588"/>
  <c r="D1587"/>
  <c r="D1586"/>
  <c r="D1585"/>
  <c r="D1584"/>
  <c r="D1583"/>
  <c r="D1582"/>
  <c r="D1581"/>
  <c r="D1580"/>
  <c r="D1579"/>
  <c r="D1578"/>
  <c r="D1577"/>
  <c r="D1576"/>
  <c r="D1575"/>
  <c r="D1574"/>
  <c r="D1573"/>
  <c r="D1572"/>
  <c r="D1571"/>
  <c r="D1570"/>
  <c r="D1569"/>
  <c r="D1568"/>
  <c r="D1567"/>
  <c r="D1566"/>
  <c r="D1565"/>
  <c r="D1564"/>
  <c r="D1563"/>
  <c r="D1562"/>
  <c r="D1561"/>
  <c r="D1560"/>
  <c r="D1559"/>
  <c r="D1558"/>
  <c r="D1557"/>
  <c r="D1556"/>
  <c r="D1555"/>
  <c r="D1554"/>
  <c r="D1553"/>
  <c r="D1552"/>
  <c r="D1551"/>
  <c r="D1550"/>
  <c r="D1549"/>
  <c r="D1548"/>
  <c r="D1547"/>
  <c r="D1546"/>
  <c r="D1545"/>
  <c r="D1544"/>
  <c r="D1543"/>
  <c r="D1542"/>
  <c r="D1541"/>
  <c r="D1540"/>
  <c r="D1539"/>
  <c r="D1538"/>
  <c r="D1537"/>
  <c r="D1536"/>
  <c r="D1535"/>
  <c r="D1534"/>
  <c r="D1533"/>
  <c r="D1532"/>
  <c r="D1531"/>
  <c r="D1530"/>
  <c r="D1529"/>
  <c r="D1528"/>
  <c r="D1527"/>
  <c r="D1526"/>
  <c r="D1525"/>
  <c r="D1524"/>
  <c r="D1523"/>
  <c r="D1522"/>
  <c r="D1521"/>
  <c r="D1520"/>
  <c r="D1519"/>
  <c r="D1517"/>
  <c r="D1516"/>
  <c r="D1515"/>
  <c r="D1514"/>
  <c r="D1513"/>
  <c r="D1511"/>
  <c r="D1510"/>
  <c r="D1508"/>
  <c r="D1507"/>
  <c r="D1506"/>
  <c r="D1505"/>
  <c r="D1504"/>
  <c r="D1503"/>
  <c r="D1502"/>
  <c r="D1501"/>
  <c r="D1500"/>
  <c r="D1499"/>
  <c r="D1498"/>
  <c r="D1497"/>
  <c r="D1496"/>
  <c r="D1495"/>
  <c r="D1494"/>
  <c r="D1493"/>
  <c r="D1492"/>
  <c r="D1491"/>
  <c r="D1490"/>
  <c r="D1489"/>
  <c r="D1488"/>
  <c r="D1487"/>
  <c r="D1486"/>
  <c r="D1485"/>
  <c r="D1484"/>
  <c r="D1483"/>
  <c r="D1482"/>
  <c r="D1481"/>
  <c r="D1480"/>
  <c r="D1479"/>
  <c r="D1478"/>
  <c r="D1477"/>
  <c r="D1476"/>
  <c r="D1475"/>
  <c r="D1474"/>
  <c r="D1473"/>
  <c r="D1472"/>
  <c r="D1471"/>
  <c r="D1470"/>
  <c r="D1469"/>
  <c r="D1468"/>
  <c r="D1467"/>
  <c r="D1466"/>
  <c r="D1465"/>
  <c r="D1464"/>
  <c r="D1463"/>
  <c r="D1462"/>
  <c r="D1461"/>
  <c r="D1460"/>
  <c r="D1459"/>
  <c r="D1458"/>
  <c r="D1457"/>
  <c r="D1456"/>
  <c r="D1455"/>
  <c r="D1454"/>
  <c r="D1453"/>
  <c r="D1452"/>
  <c r="D1451"/>
  <c r="D1450"/>
  <c r="D1449"/>
  <c r="D1448"/>
  <c r="D1447"/>
  <c r="D1446"/>
  <c r="D1445"/>
  <c r="D1444"/>
  <c r="D1443"/>
  <c r="D1442"/>
  <c r="D1441"/>
  <c r="D1440"/>
  <c r="D1438"/>
  <c r="D1437"/>
  <c r="D1436"/>
  <c r="D1435"/>
  <c r="D1434"/>
  <c r="D1433"/>
  <c r="D1432"/>
  <c r="D1431"/>
  <c r="D1430"/>
  <c r="D1429"/>
  <c r="D1428"/>
  <c r="D1427"/>
  <c r="D1426"/>
  <c r="D1425"/>
  <c r="D1424"/>
  <c r="D1423"/>
  <c r="D1422"/>
  <c r="D1421"/>
  <c r="D1420"/>
  <c r="D1419"/>
  <c r="D1418"/>
  <c r="D1417"/>
  <c r="D1416"/>
  <c r="D1415"/>
  <c r="D1414"/>
  <c r="D1413"/>
  <c r="D1412"/>
  <c r="D1411"/>
  <c r="D1410"/>
  <c r="D1409"/>
  <c r="D1408"/>
  <c r="D1407"/>
  <c r="D1406"/>
  <c r="D1405"/>
  <c r="D1404"/>
  <c r="D1403"/>
  <c r="D1402"/>
  <c r="D1401"/>
  <c r="D1400"/>
  <c r="D1399"/>
  <c r="D1398"/>
  <c r="D1396"/>
  <c r="D1395"/>
  <c r="D1394"/>
  <c r="D1393"/>
  <c r="D1392"/>
  <c r="D1391"/>
  <c r="D1389"/>
  <c r="D1388"/>
  <c r="D1387"/>
  <c r="D1386"/>
  <c r="D1385"/>
  <c r="D1384"/>
  <c r="D1383"/>
  <c r="D1382"/>
  <c r="D1381"/>
  <c r="D1380"/>
  <c r="D1379"/>
  <c r="D1378"/>
  <c r="D1377"/>
  <c r="D1376"/>
  <c r="D1375"/>
  <c r="D1374"/>
  <c r="D1373"/>
  <c r="D1372"/>
  <c r="D1371"/>
  <c r="D1370"/>
  <c r="D1369"/>
  <c r="D1368"/>
  <c r="D1367"/>
  <c r="D1366"/>
  <c r="D1365"/>
  <c r="D1364"/>
  <c r="D1363"/>
  <c r="D1362"/>
  <c r="D1361"/>
  <c r="D1360"/>
  <c r="D1359"/>
  <c r="D1358"/>
  <c r="D1357"/>
  <c r="D1356"/>
  <c r="D1355"/>
  <c r="D1354"/>
  <c r="D1353"/>
  <c r="D1352"/>
  <c r="D1351"/>
  <c r="D1350"/>
  <c r="D1349"/>
  <c r="D1348"/>
  <c r="D1347"/>
  <c r="D1346"/>
  <c r="D1345"/>
  <c r="D1344"/>
  <c r="D1343"/>
  <c r="D1342"/>
  <c r="D1341"/>
  <c r="D1340"/>
  <c r="D1339"/>
  <c r="D1338"/>
  <c r="D1337"/>
  <c r="D1336"/>
  <c r="D1335"/>
  <c r="D1334"/>
  <c r="D1333"/>
  <c r="D1332"/>
  <c r="D1331"/>
  <c r="D1330"/>
  <c r="D1329"/>
  <c r="D1328"/>
  <c r="D1327"/>
  <c r="D1326"/>
  <c r="D1325"/>
  <c r="D1324"/>
  <c r="D1323"/>
  <c r="D1322"/>
  <c r="D1321"/>
  <c r="D1320"/>
  <c r="D1319"/>
  <c r="D1318"/>
  <c r="D1317"/>
  <c r="D1316"/>
  <c r="D1315"/>
  <c r="D1314"/>
  <c r="D1313"/>
  <c r="D1312"/>
  <c r="D1311"/>
  <c r="D1310"/>
  <c r="D1309"/>
  <c r="D1308"/>
  <c r="D1307"/>
  <c r="D1306"/>
  <c r="D1305"/>
  <c r="D1304"/>
  <c r="D1303"/>
  <c r="D1302"/>
  <c r="D1301"/>
  <c r="D1300"/>
  <c r="D1299"/>
  <c r="D1298"/>
  <c r="D1297"/>
  <c r="D1296"/>
  <c r="D1295"/>
  <c r="D1294"/>
  <c r="D1293"/>
  <c r="D1292"/>
  <c r="D1291"/>
  <c r="D1290"/>
  <c r="D1289"/>
  <c r="D1288"/>
  <c r="D1286"/>
  <c r="D1284"/>
  <c r="D1282"/>
  <c r="D1281"/>
  <c r="D1280"/>
  <c r="D1279"/>
  <c r="D1277"/>
  <c r="D1275"/>
  <c r="D1274"/>
  <c r="D1273"/>
  <c r="D1271"/>
  <c r="D1270"/>
  <c r="D1269"/>
  <c r="D1268"/>
  <c r="D1267"/>
  <c r="D1266"/>
  <c r="D1265"/>
  <c r="D1264"/>
  <c r="D1263"/>
  <c r="D1262"/>
  <c r="D1261"/>
  <c r="D1260"/>
  <c r="D1259"/>
  <c r="D1258"/>
  <c r="D1257"/>
  <c r="D1256"/>
  <c r="D1255"/>
  <c r="D1254"/>
  <c r="D1253"/>
  <c r="D1252"/>
  <c r="D1251"/>
  <c r="D1250"/>
  <c r="D1249"/>
  <c r="D1248"/>
  <c r="D1247"/>
  <c r="D1246"/>
  <c r="D1245"/>
  <c r="D1244"/>
  <c r="D1243"/>
  <c r="D1242"/>
  <c r="D1241"/>
  <c r="D1240"/>
  <c r="D1239"/>
  <c r="D1238"/>
  <c r="D1237"/>
  <c r="D1236"/>
  <c r="D1235"/>
  <c r="D1234"/>
  <c r="D1233"/>
  <c r="D1232"/>
  <c r="D1231"/>
  <c r="D1230"/>
  <c r="D1229"/>
  <c r="D1228"/>
  <c r="D1227"/>
  <c r="D1226"/>
  <c r="D1225"/>
  <c r="D1224"/>
  <c r="D1223"/>
  <c r="D1222"/>
  <c r="D1221"/>
  <c r="D1220"/>
  <c r="D1219"/>
  <c r="D1218"/>
  <c r="D1217"/>
  <c r="D1215"/>
  <c r="D1214"/>
  <c r="D1212"/>
  <c r="D1211"/>
  <c r="D1210"/>
  <c r="D1209"/>
  <c r="D1207"/>
  <c r="D1203"/>
  <c r="D1202"/>
  <c r="D1200"/>
  <c r="D1199"/>
  <c r="D1198"/>
  <c r="D1197"/>
  <c r="D1196"/>
  <c r="D1195"/>
  <c r="D1194"/>
  <c r="D1193"/>
  <c r="D1192"/>
  <c r="D1190"/>
  <c r="D1189"/>
  <c r="D1188"/>
  <c r="D1187"/>
  <c r="D1186"/>
  <c r="D1185"/>
  <c r="D1184"/>
  <c r="D1183"/>
  <c r="D1182"/>
  <c r="D1180"/>
  <c r="D1178"/>
  <c r="D1176"/>
  <c r="D1175"/>
  <c r="D1174"/>
  <c r="D1173"/>
  <c r="D1172"/>
  <c r="D1171"/>
  <c r="D1170"/>
  <c r="D1169"/>
  <c r="D1168"/>
  <c r="D1167"/>
  <c r="D1165"/>
  <c r="D1163"/>
  <c r="D1162"/>
  <c r="D1161"/>
  <c r="D1158"/>
  <c r="D1155"/>
  <c r="D1154"/>
  <c r="D1153"/>
  <c r="D1152"/>
  <c r="D1151"/>
  <c r="D1150"/>
  <c r="D1149"/>
  <c r="D1148"/>
  <c r="D1147"/>
  <c r="D1146"/>
  <c r="D1145"/>
  <c r="D1144"/>
  <c r="D1143"/>
  <c r="D1142"/>
  <c r="D1141"/>
  <c r="D1140"/>
  <c r="D1139"/>
  <c r="D1138"/>
  <c r="D1137"/>
  <c r="D1136"/>
  <c r="D1135"/>
  <c r="D1134"/>
  <c r="D1133"/>
  <c r="D1132"/>
  <c r="D1131"/>
  <c r="D1130"/>
  <c r="D1129"/>
  <c r="D1128"/>
  <c r="D1127"/>
  <c r="D1126"/>
  <c r="D1125"/>
  <c r="D1124"/>
  <c r="D1123"/>
  <c r="D1122"/>
  <c r="D1121"/>
  <c r="D1120"/>
  <c r="D1119"/>
  <c r="D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D1090"/>
  <c r="D1089"/>
  <c r="D1088"/>
  <c r="D1087"/>
  <c r="D1086"/>
  <c r="D1085"/>
  <c r="D1084"/>
  <c r="D1083"/>
  <c r="D1082"/>
  <c r="D1081"/>
  <c r="D1080"/>
  <c r="D1079"/>
  <c r="D1078"/>
  <c r="D1077"/>
  <c r="D1076"/>
  <c r="D1075"/>
  <c r="D1074"/>
  <c r="D1073"/>
  <c r="D1072"/>
  <c r="D1071"/>
  <c r="D1070"/>
  <c r="D1069"/>
  <c r="D1068"/>
  <c r="D1067"/>
  <c r="D1066"/>
  <c r="D1065"/>
  <c r="D1064"/>
  <c r="D1063"/>
  <c r="D1062"/>
  <c r="D1061"/>
  <c r="D1060"/>
  <c r="D1059"/>
  <c r="D1058"/>
  <c r="D1057"/>
  <c r="D1055"/>
  <c r="D1054"/>
  <c r="D1053"/>
  <c r="D1052"/>
  <c r="D1051"/>
  <c r="D1050"/>
  <c r="D1049"/>
  <c r="D1048"/>
  <c r="D1047"/>
  <c r="D1046"/>
  <c r="D1045"/>
  <c r="D1044"/>
  <c r="D1043"/>
  <c r="D1042"/>
  <c r="D1041"/>
  <c r="D1040"/>
  <c r="D1039"/>
  <c r="D1038"/>
  <c r="D1037"/>
  <c r="D1036"/>
  <c r="D1035"/>
  <c r="D1034"/>
  <c r="D1033"/>
  <c r="D1032"/>
  <c r="D1031"/>
  <c r="D1030"/>
  <c r="D1029"/>
  <c r="D1028"/>
  <c r="D1027"/>
  <c r="D1026"/>
  <c r="D1025"/>
  <c r="D1024"/>
  <c r="D1023"/>
  <c r="D1022"/>
  <c r="D1021"/>
  <c r="D1020"/>
  <c r="D1019"/>
  <c r="D1018"/>
  <c r="D1017"/>
  <c r="D1016"/>
  <c r="D1015"/>
  <c r="F1014"/>
  <c r="D1014"/>
  <c r="D1013"/>
  <c r="D1012"/>
  <c r="D1011"/>
  <c r="D1010"/>
  <c r="D1009"/>
  <c r="D1008"/>
  <c r="D1007"/>
  <c r="D1006"/>
  <c r="D1005"/>
  <c r="D1004"/>
  <c r="D1003"/>
  <c r="D1002"/>
  <c r="D1001"/>
  <c r="D1000"/>
  <c r="D999"/>
  <c r="D998"/>
  <c r="D997"/>
  <c r="D996"/>
  <c r="D995"/>
  <c r="D994"/>
  <c r="D993"/>
  <c r="D992"/>
  <c r="D991"/>
  <c r="D990"/>
  <c r="D989"/>
  <c r="D988"/>
  <c r="D987"/>
  <c r="D986"/>
  <c r="D985"/>
  <c r="D984"/>
  <c r="D983"/>
  <c r="D982"/>
  <c r="D981"/>
  <c r="D980"/>
  <c r="D979"/>
  <c r="D978"/>
  <c r="D977"/>
  <c r="D976"/>
  <c r="D975"/>
  <c r="D974"/>
  <c r="D973"/>
  <c r="D972"/>
  <c r="D971"/>
  <c r="D970"/>
  <c r="D969"/>
  <c r="D968"/>
  <c r="D967"/>
  <c r="D966"/>
  <c r="D965"/>
  <c r="D964"/>
  <c r="D963"/>
  <c r="D962"/>
  <c r="D961"/>
  <c r="D960"/>
  <c r="D959"/>
  <c r="D958"/>
  <c r="D957"/>
  <c r="D956"/>
  <c r="D955"/>
  <c r="D954"/>
  <c r="D953"/>
  <c r="D952"/>
  <c r="D951"/>
  <c r="D950"/>
  <c r="D949"/>
  <c r="D948"/>
  <c r="D947"/>
  <c r="D946"/>
  <c r="D945"/>
  <c r="D944"/>
  <c r="D943"/>
  <c r="D942"/>
  <c r="D941"/>
  <c r="D940"/>
  <c r="D939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D915"/>
  <c r="D914"/>
  <c r="D913"/>
  <c r="D912"/>
  <c r="D911"/>
  <c r="D910"/>
  <c r="D909"/>
  <c r="D908"/>
  <c r="D907"/>
  <c r="D906"/>
  <c r="D905"/>
  <c r="D903"/>
  <c r="D901"/>
  <c r="D900"/>
  <c r="D899"/>
  <c r="D898"/>
  <c r="D897"/>
  <c r="D896"/>
  <c r="D895"/>
  <c r="D894"/>
  <c r="D893"/>
  <c r="D892"/>
  <c r="D891"/>
  <c r="D890"/>
  <c r="D889"/>
  <c r="D888"/>
  <c r="D887"/>
  <c r="D886"/>
  <c r="D885"/>
  <c r="D884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D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5"/>
  <c r="D834"/>
  <c r="D833"/>
  <c r="D832"/>
  <c r="D83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D805"/>
  <c r="D804"/>
  <c r="D803"/>
  <c r="D802"/>
  <c r="D801"/>
  <c r="D800"/>
  <c r="D799"/>
  <c r="D798"/>
  <c r="D797"/>
  <c r="D796"/>
  <c r="D795"/>
  <c r="D794"/>
  <c r="D793"/>
  <c r="D792"/>
  <c r="D791"/>
  <c r="D790"/>
  <c r="D789"/>
  <c r="D788"/>
  <c r="D787"/>
  <c r="D786"/>
  <c r="D784"/>
  <c r="D783"/>
  <c r="D782"/>
  <c r="D781"/>
  <c r="D780"/>
  <c r="D779"/>
  <c r="D777"/>
  <c r="D776"/>
  <c r="D775"/>
  <c r="D774"/>
  <c r="D773"/>
  <c r="D772"/>
  <c r="D771"/>
  <c r="D770"/>
  <c r="D769"/>
  <c r="D768"/>
  <c r="D767"/>
  <c r="D766"/>
  <c r="D765"/>
  <c r="D764"/>
  <c r="D763"/>
  <c r="D762"/>
  <c r="D761"/>
  <c r="D760"/>
  <c r="D759"/>
  <c r="D758"/>
  <c r="D757"/>
  <c r="D756"/>
  <c r="D755"/>
  <c r="D754"/>
  <c r="D753"/>
  <c r="D752"/>
  <c r="D751"/>
  <c r="D750"/>
  <c r="D749"/>
  <c r="D748"/>
  <c r="D747"/>
  <c r="D746"/>
  <c r="D745"/>
  <c r="D744"/>
  <c r="D743"/>
  <c r="D742"/>
  <c r="D741"/>
  <c r="D740"/>
  <c r="D739"/>
  <c r="D738"/>
  <c r="D737"/>
  <c r="D736"/>
  <c r="D735"/>
  <c r="D734"/>
  <c r="D733"/>
  <c r="D732"/>
  <c r="D731"/>
  <c r="D730"/>
  <c r="D729"/>
  <c r="D728"/>
  <c r="D727"/>
  <c r="D726"/>
  <c r="D725"/>
  <c r="D724"/>
  <c r="D723"/>
  <c r="D722"/>
  <c r="D721"/>
  <c r="D720"/>
  <c r="D719"/>
  <c r="D718"/>
  <c r="D717"/>
  <c r="D716"/>
  <c r="D715"/>
  <c r="D714"/>
  <c r="D713"/>
  <c r="D712"/>
  <c r="D711"/>
  <c r="D710"/>
  <c r="D709"/>
  <c r="D708"/>
  <c r="D707"/>
  <c r="D706"/>
  <c r="D705"/>
  <c r="D704"/>
  <c r="D703"/>
  <c r="D702"/>
  <c r="D701"/>
  <c r="D700"/>
  <c r="D699"/>
  <c r="D698"/>
  <c r="D697"/>
  <c r="D696"/>
  <c r="D695"/>
  <c r="D694"/>
  <c r="D693"/>
  <c r="D692"/>
  <c r="D691"/>
  <c r="D690"/>
  <c r="D689"/>
  <c r="D688"/>
  <c r="D687"/>
  <c r="D686"/>
  <c r="D685"/>
  <c r="D684"/>
  <c r="D683"/>
  <c r="D682"/>
  <c r="D681"/>
  <c r="D680"/>
  <c r="D679"/>
  <c r="D678"/>
  <c r="D677"/>
  <c r="D676"/>
  <c r="D675"/>
  <c r="D674"/>
  <c r="D673"/>
  <c r="D672"/>
  <c r="D671"/>
  <c r="D670"/>
  <c r="D669"/>
  <c r="D668"/>
  <c r="D667"/>
  <c r="D666"/>
  <c r="D665"/>
  <c r="D664"/>
  <c r="D663"/>
  <c r="D662"/>
  <c r="D661"/>
  <c r="D660"/>
  <c r="D659"/>
  <c r="D658"/>
  <c r="D657"/>
  <c r="D656"/>
  <c r="D655"/>
  <c r="D654"/>
  <c r="D653"/>
  <c r="D652"/>
  <c r="D651"/>
  <c r="D650"/>
  <c r="D648"/>
  <c r="D647"/>
  <c r="D646"/>
  <c r="D645"/>
  <c r="D644"/>
  <c r="D643"/>
  <c r="D642"/>
  <c r="D640"/>
  <c r="D639"/>
  <c r="D638"/>
  <c r="D637"/>
  <c r="D636"/>
  <c r="D635"/>
  <c r="D634"/>
  <c r="D633"/>
  <c r="D632"/>
  <c r="D631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9"/>
  <c r="D608"/>
  <c r="D607"/>
  <c r="D606"/>
  <c r="D605"/>
  <c r="D604"/>
  <c r="D603"/>
  <c r="D601"/>
  <c r="D598"/>
  <c r="D596"/>
  <c r="D595"/>
  <c r="D594"/>
  <c r="D593"/>
  <c r="D592"/>
  <c r="D591"/>
  <c r="D590"/>
  <c r="D589"/>
  <c r="D587"/>
  <c r="D586"/>
  <c r="D585"/>
  <c r="D584"/>
  <c r="D583"/>
  <c r="D582"/>
  <c r="D581"/>
  <c r="D580"/>
  <c r="D579"/>
  <c r="D578"/>
  <c r="D576"/>
  <c r="D575"/>
  <c r="D574"/>
  <c r="D573"/>
  <c r="D572"/>
  <c r="D570"/>
  <c r="D569"/>
  <c r="D568"/>
  <c r="D567"/>
  <c r="D566"/>
  <c r="D565"/>
  <c r="D564"/>
  <c r="D563"/>
  <c r="D562"/>
  <c r="D561"/>
  <c r="D560"/>
  <c r="D559"/>
  <c r="D558"/>
  <c r="D557"/>
  <c r="D556"/>
  <c r="D555"/>
  <c r="D554"/>
  <c r="D553"/>
  <c r="D552"/>
  <c r="D551"/>
  <c r="D550"/>
  <c r="D549"/>
  <c r="D548"/>
  <c r="D547"/>
  <c r="D546"/>
  <c r="D545"/>
  <c r="D544"/>
  <c r="D543"/>
  <c r="D542"/>
  <c r="D541"/>
  <c r="D540"/>
  <c r="D539"/>
  <c r="D538"/>
  <c r="D537"/>
  <c r="D536"/>
  <c r="D535"/>
  <c r="D534"/>
  <c r="D533"/>
  <c r="D532"/>
  <c r="D531"/>
  <c r="D530"/>
  <c r="D529"/>
  <c r="D528"/>
  <c r="D527"/>
  <c r="D526"/>
  <c r="D525"/>
  <c r="D524"/>
  <c r="D523"/>
  <c r="D522"/>
  <c r="D521"/>
  <c r="D520"/>
  <c r="D519"/>
  <c r="D518"/>
  <c r="D517"/>
  <c r="D516"/>
  <c r="D515"/>
  <c r="D514"/>
  <c r="D513"/>
  <c r="D512"/>
  <c r="D511"/>
  <c r="D510"/>
  <c r="D509"/>
  <c r="D508"/>
  <c r="D507"/>
  <c r="D506"/>
  <c r="D505"/>
  <c r="D504"/>
  <c r="D503"/>
  <c r="D502"/>
  <c r="D501"/>
  <c r="D500"/>
  <c r="D499"/>
  <c r="D498"/>
  <c r="D497"/>
  <c r="D496"/>
  <c r="D495"/>
  <c r="D494"/>
  <c r="D493"/>
  <c r="D492"/>
  <c r="D491"/>
  <c r="D490"/>
  <c r="D489"/>
  <c r="D488"/>
  <c r="D487"/>
  <c r="D486"/>
  <c r="D485"/>
  <c r="D484"/>
  <c r="D483"/>
  <c r="D482"/>
  <c r="D481"/>
  <c r="D480"/>
  <c r="D479"/>
  <c r="D478"/>
  <c r="D477"/>
  <c r="D476"/>
  <c r="D475"/>
  <c r="D474"/>
  <c r="D473"/>
  <c r="D472"/>
  <c r="D471"/>
  <c r="D470"/>
  <c r="D469"/>
  <c r="D468"/>
  <c r="D467"/>
  <c r="D466"/>
  <c r="D465"/>
  <c r="D464"/>
  <c r="D463"/>
  <c r="D462"/>
  <c r="D461"/>
  <c r="D460"/>
  <c r="D459"/>
  <c r="D458"/>
  <c r="D457"/>
  <c r="D456"/>
  <c r="D455"/>
  <c r="D454"/>
  <c r="D453"/>
  <c r="D452"/>
  <c r="D451"/>
  <c r="D450"/>
  <c r="D449"/>
  <c r="D448"/>
  <c r="D447"/>
  <c r="D446"/>
  <c r="D445"/>
  <c r="D444"/>
  <c r="D443"/>
  <c r="D442"/>
  <c r="D441"/>
  <c r="D440"/>
  <c r="D439"/>
  <c r="D438"/>
  <c r="D437"/>
  <c r="D436"/>
  <c r="D435"/>
  <c r="D434"/>
  <c r="D433"/>
  <c r="D432"/>
  <c r="D431"/>
  <c r="D430"/>
  <c r="D428"/>
  <c r="D427"/>
  <c r="D426"/>
  <c r="D425"/>
  <c r="D424"/>
  <c r="D423"/>
  <c r="D422"/>
  <c r="D421"/>
  <c r="D420"/>
  <c r="D419"/>
  <c r="D418"/>
  <c r="D417"/>
  <c r="D416"/>
  <c r="D415"/>
  <c r="D414"/>
  <c r="D413"/>
  <c r="D412"/>
  <c r="D411"/>
  <c r="D410"/>
  <c r="D409"/>
  <c r="D408"/>
  <c r="D407"/>
  <c r="D406"/>
  <c r="D405"/>
  <c r="D404"/>
  <c r="D403"/>
  <c r="D402"/>
  <c r="D401"/>
  <c r="D400"/>
  <c r="D399"/>
  <c r="D398"/>
  <c r="D397"/>
  <c r="D396"/>
  <c r="D395"/>
  <c r="D394"/>
  <c r="D393"/>
  <c r="D392"/>
  <c r="D391"/>
  <c r="D390"/>
  <c r="D389"/>
  <c r="D388"/>
  <c r="D386"/>
  <c r="D385"/>
  <c r="D382"/>
  <c r="D378"/>
  <c r="D377"/>
  <c r="D375"/>
  <c r="D374"/>
  <c r="D373"/>
  <c r="D370"/>
  <c r="D369"/>
  <c r="D368"/>
  <c r="D367"/>
  <c r="D366"/>
  <c r="D365"/>
  <c r="D4"/>
  <c r="D7"/>
  <c r="D11"/>
  <c r="D12"/>
  <c r="D15"/>
  <c r="D16"/>
  <c r="D18"/>
  <c r="D19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8"/>
  <c r="D69"/>
  <c r="D70"/>
  <c r="D74"/>
  <c r="D76"/>
  <c r="D77"/>
  <c r="D78"/>
  <c r="D79"/>
  <c r="D80"/>
  <c r="D81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5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51"/>
  <c r="D352"/>
  <c r="D353"/>
  <c r="D354"/>
  <c r="D355"/>
  <c r="D356"/>
  <c r="D357"/>
  <c r="D358"/>
  <c r="D359"/>
  <c r="D360"/>
  <c r="D361"/>
  <c r="D362"/>
  <c r="D363"/>
</calcChain>
</file>

<file path=xl/sharedStrings.xml><?xml version="1.0" encoding="utf-8"?>
<sst xmlns="http://schemas.openxmlformats.org/spreadsheetml/2006/main" count="21490" uniqueCount="5348">
  <si>
    <t>Component</t>
  </si>
  <si>
    <t>Component name</t>
  </si>
  <si>
    <t>Note number</t>
  </si>
  <si>
    <t>Note version</t>
  </si>
  <si>
    <t>Note description</t>
  </si>
  <si>
    <t>BC</t>
  </si>
  <si>
    <t>Basis Components</t>
  </si>
  <si>
    <t>BC-BMT</t>
  </si>
  <si>
    <t>Business Management</t>
  </si>
  <si>
    <t>BC-BMT-OM</t>
  </si>
  <si>
    <t>Organizational Management</t>
  </si>
  <si>
    <t>Authorization objects are listed in SU24 - no proposal</t>
  </si>
  <si>
    <t>BW</t>
  </si>
  <si>
    <t>SAP Business Information Warehouse</t>
  </si>
  <si>
    <t>BW-BCT</t>
  </si>
  <si>
    <t>Business Content and Extractors</t>
  </si>
  <si>
    <t>BW-BCT-PA</t>
  </si>
  <si>
    <t>Personnel Management</t>
  </si>
  <si>
    <t>DataSource 0ORGUNIT_ATTR_LEAVER_NOS: Performance improvement</t>
  </si>
  <si>
    <t>EP</t>
  </si>
  <si>
    <t>Enterprise Portal</t>
  </si>
  <si>
    <t>EP-PCT</t>
  </si>
  <si>
    <t>Portal Content</t>
  </si>
  <si>
    <t>EP-PCT-MGR</t>
  </si>
  <si>
    <t>Manager functionality</t>
  </si>
  <si>
    <t>EP-PCT-MGR-HR</t>
  </si>
  <si>
    <t>BP for Manager Self-Service (HR)</t>
  </si>
  <si>
    <t>Organizational assignment on MSS PCR forms</t>
  </si>
  <si>
    <t>Anniversary date in MSS Reminder of Dates not appearing</t>
  </si>
  <si>
    <t>FI</t>
  </si>
  <si>
    <t>Financial Accounting</t>
  </si>
  <si>
    <t>FI-TV</t>
  </si>
  <si>
    <t>Business Trip Management</t>
  </si>
  <si>
    <t>FI-TV-COS</t>
  </si>
  <si>
    <t>Trip Costs</t>
  </si>
  <si>
    <t>Composite SAP Note for SAP_HR changes for EhP5</t>
  </si>
  <si>
    <t>VAT refund for foreign trip receipts</t>
  </si>
  <si>
    <t>PA</t>
  </si>
  <si>
    <t>PA-CM</t>
  </si>
  <si>
    <t>Compensation Management</t>
  </si>
  <si>
    <t>Total Comp Statement printing</t>
  </si>
  <si>
    <t>PA-EC</t>
  </si>
  <si>
    <t>Enterprise Compensation Management</t>
  </si>
  <si>
    <t>Hiding of subcategories in the total comp statement</t>
  </si>
  <si>
    <t>PA-PA</t>
  </si>
  <si>
    <t>Personnel Administration</t>
  </si>
  <si>
    <t>PA-PA-AR</t>
  </si>
  <si>
    <t>Argentina</t>
  </si>
  <si>
    <t>Checkman corrections (AR)</t>
  </si>
  <si>
    <t>PA-PA-AT</t>
  </si>
  <si>
    <t>Austria</t>
  </si>
  <si>
    <t>Urlaubsentschädigung wird im Änderungsmodus initialisiert</t>
  </si>
  <si>
    <t>Korrektur IT0751, Abgrenzdatum und Beginn Beitragszahlung</t>
  </si>
  <si>
    <t>Unbezahlter Urlaub und Urlaubsersatzleistung</t>
  </si>
  <si>
    <t>Falscher Vorschlagswert für BMG Jahresviertel IT0527</t>
  </si>
  <si>
    <t>RPTSWAA0: Stellen- und Planstellentext hinzugefügt</t>
  </si>
  <si>
    <t>IT0527 Vorschlagswert 'Anz. Kalendertage' wird überschrieben</t>
  </si>
  <si>
    <t>IT0527: "Abrechnen Bis"-Datum setzen bei aktiver Pfändung</t>
  </si>
  <si>
    <t>RPTSWAA0: Zuviele Personalnummern wegen Hinweis 1323415</t>
  </si>
  <si>
    <t>PA-PA-BE</t>
  </si>
  <si>
    <t>Belgium</t>
  </si>
  <si>
    <t>ESS-Searchhelp fields 'PSTLZ'&amp;'BKPLZ' in screen structures</t>
  </si>
  <si>
    <t>PA-PA-BR</t>
  </si>
  <si>
    <t>Brazil</t>
  </si>
  <si>
    <t>Infotype 0737: language corrections in screen 5000</t>
  </si>
  <si>
    <t>PA-PA-CN</t>
  </si>
  <si>
    <t>China</t>
  </si>
  <si>
    <t>A Record Inserted in PA3211 When Displaying Infotype 0016</t>
  </si>
  <si>
    <t>PA-PA-DE</t>
  </si>
  <si>
    <t>Germany</t>
  </si>
  <si>
    <t>IT0080: Verschiedene Laufzeitfehler</t>
  </si>
  <si>
    <t>PA-PA-DK</t>
  </si>
  <si>
    <t>Denmark</t>
  </si>
  <si>
    <t>RPUPSTM0: Error while uploading postal codes to table T5M8T</t>
  </si>
  <si>
    <t>ESS Reno:Search help for Postal code in Dk Address</t>
  </si>
  <si>
    <t>PA-PA-FR</t>
  </si>
  <si>
    <t>France</t>
  </si>
  <si>
    <t>Modifications to improve quality of ABAP Code</t>
  </si>
  <si>
    <t>IT0217: Problem with F4-help of field: P0217-INSEEC, commune</t>
  </si>
  <si>
    <t>PA-PA-FR-TNM</t>
  </si>
  <si>
    <t>Training Need Management</t>
  </si>
  <si>
    <t>Absence/Attendance infotype - Corrections</t>
  </si>
  <si>
    <t>Adjustments in structure HRTNM_S_SNAP_ALV_RECO</t>
  </si>
  <si>
    <t>CL_HRTNM_INFTY_SERVICES: exception handling</t>
  </si>
  <si>
    <t>Defaulted number of training hours wrong in Infotype 1681</t>
  </si>
  <si>
    <t>Wrong label at "General Data" tabstrip causes mismatch</t>
  </si>
  <si>
    <t>PA-PA-KR</t>
  </si>
  <si>
    <t>South Korea</t>
  </si>
  <si>
    <t>Dependents' English Names and Company Seal Printing</t>
  </si>
  <si>
    <t>PA-PA-MY</t>
  </si>
  <si>
    <t>Malaysia</t>
  </si>
  <si>
    <t>Reports: SOCSO Borang 3, CP21, CP22, CP39, EE dependant data</t>
  </si>
  <si>
    <t>PA-PA-NL</t>
  </si>
  <si>
    <t>Netherlands</t>
  </si>
  <si>
    <t>FlexBenNL: Extension of maximum number of goals</t>
  </si>
  <si>
    <t>FlexBenNL: Changed handling of time quotas / absence plans</t>
  </si>
  <si>
    <t>FlexBenNL: Decorators no longer work after EhP4 Upgrade</t>
  </si>
  <si>
    <t>FlexBenNL: RPCFBRN0: Temp. and chosen choices both available</t>
  </si>
  <si>
    <t>IT0854: Change of bank data causes short dump/ error message</t>
  </si>
  <si>
    <t>PA-PA-RU</t>
  </si>
  <si>
    <t>HR master data: Russia</t>
  </si>
  <si>
    <t>HR-RU: Form T-13 with adobe form HR_RU_T13</t>
  </si>
  <si>
    <t>HR-RU: CE Reporting for EhP5</t>
  </si>
  <si>
    <t>HRUAT7: postponed vacations</t>
  </si>
  <si>
    <t>Changing of the KLADR data elements labels</t>
  </si>
  <si>
    <t>HRULAPV1_2004: wrong organization data</t>
  </si>
  <si>
    <t>HR-RU Legal change: P-4 (Rosstat N184 26.08.2009)</t>
  </si>
  <si>
    <t>CL_HRPA_INFOTYPE_0298: adjustment of GET_CONTRACT_NUMBER</t>
  </si>
  <si>
    <t>HRULPFP5: PDF form doesn't appear in the spool(offline mode)</t>
  </si>
  <si>
    <t>PA-PA-SG</t>
  </si>
  <si>
    <t>Singapore</t>
  </si>
  <si>
    <t>Incorrect Child Care Leave quota generation</t>
  </si>
  <si>
    <t>SG ESS : Issue with address (PZ02) and Family applications.</t>
  </si>
  <si>
    <t>PA-PA-TH</t>
  </si>
  <si>
    <t>Thailand</t>
  </si>
  <si>
    <t>ESS TH : Issues with family application.</t>
  </si>
  <si>
    <t>PA-PA-US</t>
  </si>
  <si>
    <t>USA</t>
  </si>
  <si>
    <t>VETS-100A: Error occurs when printing HR Form.</t>
  </si>
  <si>
    <t>PDF EEO Report: NAICS code truncated, Sec E not shown</t>
  </si>
  <si>
    <t>IT0210:New checkbox to indicate last name differ.SSN card.</t>
  </si>
  <si>
    <t>VETS-100A: HR Form added at SAP ERP 6.0 and above.</t>
  </si>
  <si>
    <t>PA-PA-US-BN</t>
  </si>
  <si>
    <t>Benefits USA</t>
  </si>
  <si>
    <t>US Benefits: Payroll w/ &gt;1 PERNR -&gt; incorrect limits.</t>
  </si>
  <si>
    <t>PA-PA-XX</t>
  </si>
  <si>
    <t>General Parts</t>
  </si>
  <si>
    <t>Sammelhinweis für neue Komponenten im HCM</t>
  </si>
  <si>
    <t>PA-PF</t>
  </si>
  <si>
    <t>Pension Schemes</t>
  </si>
  <si>
    <t>PA-PF-DE</t>
  </si>
  <si>
    <t>Company Pension Scheme Germany</t>
  </si>
  <si>
    <t>RBM: Anzeige des Returncode in der Verwaltungsliste</t>
  </si>
  <si>
    <t>RBM: Korrekturen zur Meldungserstellung MI01 / MZ01 (4)</t>
  </si>
  <si>
    <t>PA-PF-NL</t>
  </si>
  <si>
    <t>Pension Fund Netherlands</t>
  </si>
  <si>
    <t>Correction of responsibilities</t>
  </si>
  <si>
    <t>PE</t>
  </si>
  <si>
    <t>Training and Event Management</t>
  </si>
  <si>
    <t>PE-LSO</t>
  </si>
  <si>
    <t>SAP Learning Solution</t>
  </si>
  <si>
    <t>PE-LSO-TM</t>
  </si>
  <si>
    <t>Training Management</t>
  </si>
  <si>
    <t>PE-LSO-TM-TC</t>
  </si>
  <si>
    <t>Course Catalogue</t>
  </si>
  <si>
    <t>LSO_PSV2 Displaying of Qualifications Missing a Word</t>
  </si>
  <si>
    <t>PT</t>
  </si>
  <si>
    <t>Personnel Time Management</t>
  </si>
  <si>
    <t>PT-SP</t>
  </si>
  <si>
    <t>Shift Planning</t>
  </si>
  <si>
    <t>checkman corrections</t>
  </si>
  <si>
    <t>Performance and authorization check - Extended</t>
  </si>
  <si>
    <t>PP61: Formal corrections</t>
  </si>
  <si>
    <t>Daily work schedule for availability for work is missing</t>
  </si>
  <si>
    <t>PT-SP-PS</t>
  </si>
  <si>
    <t>Shift Planning Public Sector</t>
  </si>
  <si>
    <t>Master data display in shift plan</t>
  </si>
  <si>
    <t>PP61: Printing in classic mode</t>
  </si>
  <si>
    <t>PY</t>
  </si>
  <si>
    <t>Payroll</t>
  </si>
  <si>
    <t>PY-AR</t>
  </si>
  <si>
    <t>Law 26474 - Part-Time Employees Welfare Withholdings</t>
  </si>
  <si>
    <t>SAC wittholdings prorrated even if SAC is not prorr. in tax</t>
  </si>
  <si>
    <t>Possibility to choose Base for Maternity Remun. in SICOSS</t>
  </si>
  <si>
    <t>Certification statement report generating wrong data</t>
  </si>
  <si>
    <t>Default division by 30 causes error to fortnightly employees</t>
  </si>
  <si>
    <t>PY-AT</t>
  </si>
  <si>
    <t>Abgabensicherungsgesetz</t>
  </si>
  <si>
    <t>RPTSWAA0: Dynamische Arbeitszeitplanzuordnung (Cluster B2)</t>
  </si>
  <si>
    <t>Sammelkorrektur an Grenzgängerfunktionalität</t>
  </si>
  <si>
    <t>PCALZ: Doppelte AD Meldungen für den gleichen Zeitraum</t>
  </si>
  <si>
    <t>PCALZ: MVK-Ende bei KUE und UE im gleichen Monat falsch</t>
  </si>
  <si>
    <t>RPTGENA0: Entgeltfortzahlung bei Wiedereintritt</t>
  </si>
  <si>
    <t>Keine Kürzung der SV Tage: Nachtrag zu Hinweis 1157848</t>
  </si>
  <si>
    <t>PY-AU</t>
  </si>
  <si>
    <t>Australia</t>
  </si>
  <si>
    <t>general usability enhancements</t>
  </si>
  <si>
    <t>SGC in retro: Minimum Earnings Check to be applied In-Period</t>
  </si>
  <si>
    <t>Legal Change: Directed Termination Payment Statement</t>
  </si>
  <si>
    <t>Payment Summary report - Error messages corrected for ETP</t>
  </si>
  <si>
    <t>RSAS wagetype doubled when there is a cost center split</t>
  </si>
  <si>
    <t>TFN number not displayed in the output.</t>
  </si>
  <si>
    <t>Listing Report for LSA type field.</t>
  </si>
  <si>
    <t>ATO Report changes for LSA Type field</t>
  </si>
  <si>
    <t>Termination Organiser - LSL Wage Type Text field too short.</t>
  </si>
  <si>
    <t>PY-AU-CE</t>
  </si>
  <si>
    <t>Concurrent Employment - Payroll Australia</t>
  </si>
  <si>
    <t>Listing report incorrect for CE employee with only LSE pymnt</t>
  </si>
  <si>
    <t>PY-AU-PS</t>
  </si>
  <si>
    <t>Public Sector</t>
  </si>
  <si>
    <t>Time Driver: Inconsistency in IT0568 records.</t>
  </si>
  <si>
    <t>IT0573: Corrections provided for simulation quota type.</t>
  </si>
  <si>
    <t>PY-BE</t>
  </si>
  <si>
    <t>Legal Changes for DmfA/DmfAPPL, Quarter 3 2009</t>
  </si>
  <si>
    <t>Dimona (RPLDIDB0) - Sender address - Housenumber wrong</t>
  </si>
  <si>
    <t>Payroll IMG: Documentation Inconsistencies</t>
  </si>
  <si>
    <t>Employer Tax Subsidy - Creation of Splits</t>
  </si>
  <si>
    <t>PY-BR</t>
  </si>
  <si>
    <t>Adjustment of Checkman errors (BR) (don't release it)</t>
  </si>
  <si>
    <t>MANAD: Separation of execution between HCM and FI components</t>
  </si>
  <si>
    <t>MANAD: Information before entry date in record K050</t>
  </si>
  <si>
    <t>MANAD: missing record K050 for employees with action split</t>
  </si>
  <si>
    <t>RAIS: hiring date incorrect when more than one employee</t>
  </si>
  <si>
    <t>HR-BR: Adjustment in function to find differences in retro</t>
  </si>
  <si>
    <t>PY-CA</t>
  </si>
  <si>
    <t>Canada</t>
  </si>
  <si>
    <t>Checkman Errors - Payroll Canada</t>
  </si>
  <si>
    <t>PY-CA-RP</t>
  </si>
  <si>
    <t>Reporting</t>
  </si>
  <si>
    <t>Original Releve Number and Provenence Des Revenues Error</t>
  </si>
  <si>
    <t>Employment Equity report may give incorrect hire date</t>
  </si>
  <si>
    <t>PY-CH</t>
  </si>
  <si>
    <t>Switzerland</t>
  </si>
  <si>
    <t>Performance und Usability Verbesserung (Checkman)</t>
  </si>
  <si>
    <t>New AHV number: Adjusting payroll journal (RPCLJNC0)</t>
  </si>
  <si>
    <t>Payr. for red.wk.hrs: BAdI for changing contents of col. 3</t>
  </si>
  <si>
    <t>New report documentation RPLELMC1</t>
  </si>
  <si>
    <t>Customizing activities for ELM, statistics area</t>
  </si>
  <si>
    <t>PY-CL</t>
  </si>
  <si>
    <t>Chile</t>
  </si>
  <si>
    <t>PY-CL - First development wave</t>
  </si>
  <si>
    <t>PY-CL: Chile payroll phase 2 (SYST) - ESS</t>
  </si>
  <si>
    <t>PY-CL: Chile payroll phase 2 (SYST) - Reliquidation</t>
  </si>
  <si>
    <t>PY-CL: Chile payroll phase 2 (SYST) - IPC</t>
  </si>
  <si>
    <t>PY-CL: Chile payroll phase 2 (SYST) - Garnishments</t>
  </si>
  <si>
    <t>PY-CN</t>
  </si>
  <si>
    <t>Medical Treatment Period Check &amp; Long Sick Leave Deduction</t>
  </si>
  <si>
    <t>IT0185: Default Value of AKIND and DATEU in Screen 2228</t>
  </si>
  <si>
    <t>PY-DE</t>
  </si>
  <si>
    <t>Check Manager: Technical change</t>
  </si>
  <si>
    <t>PY-DE-CI</t>
  </si>
  <si>
    <t>Construction Industry</t>
  </si>
  <si>
    <t>Aufwendungen: Erstattung von Hin-und Rückfahrt (wöchentl.)</t>
  </si>
  <si>
    <t>PY-DE-FP</t>
  </si>
  <si>
    <t>Final Payroll Processing</t>
  </si>
  <si>
    <t>PY-DE-FP-DU</t>
  </si>
  <si>
    <t>DEUEV/Miners' DEUEV</t>
  </si>
  <si>
    <t>DEÜV-Sofortmeldungen: Korrekturen (3)</t>
  </si>
  <si>
    <t>PY-DE-NT</t>
  </si>
  <si>
    <t>Net</t>
  </si>
  <si>
    <t>PY-DE-NT-GR</t>
  </si>
  <si>
    <t>Garnishment/Cession</t>
  </si>
  <si>
    <t>Various Changes to the Infotypes for Garnishment</t>
  </si>
  <si>
    <t>Pfändung Entstehungsprinzip - Report RPCPL2D0_EP bricht ab</t>
  </si>
  <si>
    <t>PY-DE-NT-NI</t>
  </si>
  <si>
    <t>Social Insurance</t>
  </si>
  <si>
    <t>Fehler bei Einmalzahlung nach Austritt in ATZ u. Märzklausel</t>
  </si>
  <si>
    <t>BV: Fehler bei der Prüfung der Mitgliedsnummer</t>
  </si>
  <si>
    <t>Verteiltes Reporting: Fehler bei der Vergabe der Lauf-ID</t>
  </si>
  <si>
    <t>PY-DE-NT-RH</t>
  </si>
  <si>
    <t>Reduced Hours / Bad Weather Pay</t>
  </si>
  <si>
    <t>Abbruch der Abrechnung in Regel DKX0</t>
  </si>
  <si>
    <t>RPCKULD3: Pauschalierte SV-Erstattung ohne KuG-Leistung</t>
  </si>
  <si>
    <t>Kennzeichnung ESF-Förderung bei Transfer-KuG</t>
  </si>
  <si>
    <t>PY-DE-NT-TX</t>
  </si>
  <si>
    <t>Tax</t>
  </si>
  <si>
    <t>LStB: Korrekturen 10 2009</t>
  </si>
  <si>
    <t>Korrektur RPUSTGD0: Einlesen Finanzamt- und Gemeindedaten</t>
  </si>
  <si>
    <t>PY-DE-PS</t>
  </si>
  <si>
    <t>ZfA: New Function for Revenues (ZUSY Release 16)</t>
  </si>
  <si>
    <t>TVöD/TV-L Ost: Bewertung Mehrarbeit mit /0O5</t>
  </si>
  <si>
    <t>Neue Sachbezugswerte ab 2010</t>
  </si>
  <si>
    <t>Stufensteigerung: Aus-/Wiedereintritt nicht berücksichtigt</t>
  </si>
  <si>
    <t>BÜZ: Getrennte Steuerung für Abrechnung und Familienkasse</t>
  </si>
  <si>
    <t>Verdienstbescheinigungen zum Antrag auf Elterngeld Pkt.3</t>
  </si>
  <si>
    <t>Falsche Schlüsselung der Lohnart /61C (Musterlohnart MH41)</t>
  </si>
  <si>
    <t>Arbeitnehmeranteil VWL im Nettourlaubsentgelt</t>
  </si>
  <si>
    <t>Strukturausgleich: Abbruch der Abrechnung im RPCALCD0</t>
  </si>
  <si>
    <t>RPIPSR00: Fehlermeldung "Infotyp 0008 nicht vorhanden .."</t>
  </si>
  <si>
    <t>GOP: Switch wage types are not deactivated in results table</t>
  </si>
  <si>
    <t>Sperrkennzeichen fehlt im Infotyp-Listbild</t>
  </si>
  <si>
    <t>Fehlerhafte Dokumentation für Musterlohnarten</t>
  </si>
  <si>
    <t>Infotyp "Familienzuschläge": Feld "Grund" bleibt leer</t>
  </si>
  <si>
    <t>PY-DE-PS-NV</t>
  </si>
  <si>
    <t>Retroactive Pension Insurance</t>
  </si>
  <si>
    <t>Eingabe Mitgliedsnummer größer 15 Stellen nicht möglich</t>
  </si>
  <si>
    <t>Erhöhung auf MBG aufgrund Einmalzahlung in Unterbrechung</t>
  </si>
  <si>
    <t>Termination: "00.00.0000 is not a valid date" for deferment</t>
  </si>
  <si>
    <t>Erweiterungen und Korrekturen Nachversicherung III</t>
  </si>
  <si>
    <t>PY-DE-PS-VA</t>
  </si>
  <si>
    <t>Pension Administration</t>
  </si>
  <si>
    <t>Versorgungsfreibetrag: steuerfreie Anteile KEZ</t>
  </si>
  <si>
    <t>Abbruch der Abrechnung nach Aktivierung VA12</t>
  </si>
  <si>
    <t>Fehlende Ausgabe neuer Versorgungsbezug Anrechnung §54</t>
  </si>
  <si>
    <t>Versorgung: Lohnart /OVR in Verarbeitungsklasse 10</t>
  </si>
  <si>
    <t>Umbenennung des Feldbezeichners "Betrag" in Infotyp 0326</t>
  </si>
  <si>
    <t>Ausgleichswert und korresp. Kapitalwert §5 Abs. 3 VersAusglG</t>
  </si>
  <si>
    <t>Abbruch der Abrechnung wegen indirekter Bewertung 01.01.1990</t>
  </si>
  <si>
    <t>Fehlende Initialisierung beim Anlegen Infotyp 0785</t>
  </si>
  <si>
    <t>Dienstzeit 0607 wird bei Erstattung §107b berücksichtigt</t>
  </si>
  <si>
    <t>Kürzung § 57: falsche Dynamisierung bei manueller Versorgung</t>
  </si>
  <si>
    <t>Falsche Höchstgrenze § 54 Abs. 2 Nr. 3 BeamtVG (II)</t>
  </si>
  <si>
    <t>PY-DE-PS-ZV</t>
  </si>
  <si>
    <t>Supplemental Pension</t>
  </si>
  <si>
    <t>Umlagemonat fehlt bei DOZV KON (steuerfreie Umlagen)</t>
  </si>
  <si>
    <t>PY-DE-RP</t>
  </si>
  <si>
    <t>PY-DE-RP-ES</t>
  </si>
  <si>
    <t>Evaluation/Statistics</t>
  </si>
  <si>
    <t>RPLEHAD3 - Formularfehler bei 59 bis 60 Arbeitsplätzen</t>
  </si>
  <si>
    <t>PY-DE-RP-ST</t>
  </si>
  <si>
    <t>Statements</t>
  </si>
  <si>
    <t>Abweichungen beim vereinbarten Brutto-/Nettoentgelt IV</t>
  </si>
  <si>
    <t>Korrekturen Bescheinigungswesen 11/2009</t>
  </si>
  <si>
    <t>Verdienstbesch. Kinderzuschlag: Version KIZ50209</t>
  </si>
  <si>
    <t>Einkommensbescheinigung § 58 SGB II (ALG II) Version 04.2009</t>
  </si>
  <si>
    <t>PY-ES</t>
  </si>
  <si>
    <t>Spain</t>
  </si>
  <si>
    <t>CHECKMAN</t>
  </si>
  <si>
    <t>Pension Plan (New Functionality)</t>
  </si>
  <si>
    <t>TC - Problems with validation table of CCC</t>
  </si>
  <si>
    <t>Text not found in IMG activities</t>
  </si>
  <si>
    <t>Error in ERE for Employee with distinct CCCs</t>
  </si>
  <si>
    <t>Certific@2</t>
  </si>
  <si>
    <t>FDI - Number of days for part-time employees</t>
  </si>
  <si>
    <t>FDI report (RPCFDIE0) does not show cotation bases with VND</t>
  </si>
  <si>
    <t>Dump during the previous ERE days calculation in 46C</t>
  </si>
  <si>
    <t>RPCAFIE0: EXC Segment is not reported</t>
  </si>
  <si>
    <t>RPCAFIE0: EXC Segment is reported in the wrong file position</t>
  </si>
  <si>
    <t>AFI saving the filters for automatisms</t>
  </si>
  <si>
    <t>RPTGENE0: Subsequent sickness for different subtypes issue</t>
  </si>
  <si>
    <t>AFI - Incorrect NISSE with automatisms option</t>
  </si>
  <si>
    <t>Social Insurance Regime text is not available</t>
  </si>
  <si>
    <t>Automatic split when 2nd bonification method ends</t>
  </si>
  <si>
    <t>Distributing bonifications with two methods</t>
  </si>
  <si>
    <t>Configuration of strike days</t>
  </si>
  <si>
    <t>TC reporting bonification for Canarian regime</t>
  </si>
  <si>
    <t>TC 1/16 form Contribution Group field</t>
  </si>
  <si>
    <t>ERE: Partial-time employee with incorrect basis</t>
  </si>
  <si>
    <t>TC - Incorrect compensation between complementaries</t>
  </si>
  <si>
    <t>Errors in the TC results for employees with a secondary CCC</t>
  </si>
  <si>
    <t>Garnishment - Incorrect deduction after total amount</t>
  </si>
  <si>
    <t>IT 0062 - Percentage validation does not work in Batch Input</t>
  </si>
  <si>
    <t>Artists: Wrong complementary in case of retroactive change</t>
  </si>
  <si>
    <t>TC reporting an ordinary bonification plus a canarian bonif.</t>
  </si>
  <si>
    <t>Wrong text for cotization base in IT 0768</t>
  </si>
  <si>
    <t>TC: EDTCA11 segment missing for complementaries declarations</t>
  </si>
  <si>
    <t>ERE next month treatment not working properly</t>
  </si>
  <si>
    <t>Garnishments - Values deducted over high limit</t>
  </si>
  <si>
    <t>FDI - Field missing in structure PESREDDEC4</t>
  </si>
  <si>
    <t>Disabled employees do not have indemnifications generated</t>
  </si>
  <si>
    <t>Delt@: Problems using the field Hires in the Additional tab</t>
  </si>
  <si>
    <t>Seniority data are being considered twice for infotype 0008</t>
  </si>
  <si>
    <t>V_T5E31 - Obsolete entries</t>
  </si>
  <si>
    <t>RPUTMSE0: Button for ODP does not bring the correct data</t>
  </si>
  <si>
    <t>Delt@ - File texts are fixed to Spanish</t>
  </si>
  <si>
    <t>TC: Bonification reported in an incorrected TC1 field</t>
  </si>
  <si>
    <t>Company Certificate - Layout Corrections</t>
  </si>
  <si>
    <t>Delt@ - CNAE information not informed in XML</t>
  </si>
  <si>
    <t>Problems compensating negative arrears on retroactivity</t>
  </si>
  <si>
    <t>Infotype 0006 Maintain Text Icon during Infotype Maintenance</t>
  </si>
  <si>
    <t>TC: Description of CCC missing in the macth code list</t>
  </si>
  <si>
    <t>Contributions being calculated wrongly for daily employee</t>
  </si>
  <si>
    <t>PY-FI</t>
  </si>
  <si>
    <t>Finland</t>
  </si>
  <si>
    <t>HFICEDT0_ELETTER Change of LetterContentType in EPLV bundle</t>
  </si>
  <si>
    <t>Maintenance View V_T7FIVAC is not generated.</t>
  </si>
  <si>
    <t>Periodic Tax Reporting Legal Change 2010</t>
  </si>
  <si>
    <t>PY-FR</t>
  </si>
  <si>
    <t>DADS-U version V08R09 (including FAQ)</t>
  </si>
  <si>
    <t>DUCS: Corrections in DT format and more</t>
  </si>
  <si>
    <t>RPLABSF0 not taking into consideration the regrouping field</t>
  </si>
  <si>
    <t>DUCS EDI: Fields EN3.105 and EN3.108 not provided</t>
  </si>
  <si>
    <t>Forfait social: Calculation on a yearly basis</t>
  </si>
  <si>
    <t>RPUTIRF1: Wrong number of meal-voucher in case of RT splits</t>
  </si>
  <si>
    <t>RPLASAF3/RPLASMF3: Missing TemSe file in productive mode</t>
  </si>
  <si>
    <t>RPLCOTF2: Wrong accumulation and display of basis (TEPA)</t>
  </si>
  <si>
    <t>RPLAASF1: Misleading translation of two text-symbols</t>
  </si>
  <si>
    <t>PY-FR-PS</t>
  </si>
  <si>
    <t>Collective decree: Edition allowed in display mode</t>
  </si>
  <si>
    <t>PY-GB</t>
  </si>
  <si>
    <t>United Kingdom</t>
  </si>
  <si>
    <t>GB : Usability Note</t>
  </si>
  <si>
    <t>Incorrect Display of Ref. Pernr for Single Employees(SE)</t>
  </si>
  <si>
    <t>ESS Portal: No Payslip with zero net pay</t>
  </si>
  <si>
    <t>PY-GB-PS</t>
  </si>
  <si>
    <t>Incorrect display of additional pension contribution in TPS</t>
  </si>
  <si>
    <t>Documentation of HESA report</t>
  </si>
  <si>
    <t>SWF : CSV files for Autumn census</t>
  </si>
  <si>
    <t>HESA : Field DATELEFT for ME Leaver &amp; error message 40252020</t>
  </si>
  <si>
    <t>HESA CONTRACT Record Validation Check 26996</t>
  </si>
  <si>
    <t>CSV files for AUTUMN census is not getting created for all</t>
  </si>
  <si>
    <t>Return value of Feature 08HG2 and field GRADID 520</t>
  </si>
  <si>
    <t>HESA Contract Record Validation Check 26986</t>
  </si>
  <si>
    <t>HESA : Grade table is getting wiped off</t>
  </si>
  <si>
    <t>SWF : Employment Type could not be derived</t>
  </si>
  <si>
    <t>PY-GB-RP</t>
  </si>
  <si>
    <t>PY-GB-RP-SR</t>
  </si>
  <si>
    <t>Statutory reporting</t>
  </si>
  <si>
    <t>IYMV reporting issues</t>
  </si>
  <si>
    <t>Changes to Payroll Area &amp; Tax Code Processing in EOY Report</t>
  </si>
  <si>
    <t>E-Filing Incoming - No NINO Match Error</t>
  </si>
  <si>
    <t>PY-HK</t>
  </si>
  <si>
    <t>Hong Kong</t>
  </si>
  <si>
    <t>Proration for Long Service Payment in V_T7HK4D is outdated</t>
  </si>
  <si>
    <t>Contribution Plan Proration Issue with Organizational Change</t>
  </si>
  <si>
    <t>New Average Processing for LSP/SP Calculation Bases</t>
  </si>
  <si>
    <t>Incorrect Contribution in MPF Periodical Report (HSBC)</t>
  </si>
  <si>
    <t>PY-ID</t>
  </si>
  <si>
    <t>Indonesia</t>
  </si>
  <si>
    <t>LC: New Indonesia Forms 2009</t>
  </si>
  <si>
    <t>LC: Form 1721 A1</t>
  </si>
  <si>
    <t>PY-IE</t>
  </si>
  <si>
    <t>Ireland</t>
  </si>
  <si>
    <t>IE EhP5 Projects</t>
  </si>
  <si>
    <t>PY-IE:Income levy certificate full address details</t>
  </si>
  <si>
    <t>PY-IE: 2009 End of Year Legal changes</t>
  </si>
  <si>
    <t>PY-IE: Error when uploading P45 P3 XML in ROS website</t>
  </si>
  <si>
    <t>PY-IE:HIEIPAYE program ignores Medical card holder checkbox</t>
  </si>
  <si>
    <t>PY-IE:HIECLJN0 Incorrect CF and BF tables for Late starter</t>
  </si>
  <si>
    <t>HR IE:New EHECS Report HIECECS0</t>
  </si>
  <si>
    <t>PY-IN</t>
  </si>
  <si>
    <t>India</t>
  </si>
  <si>
    <t>Form 24Q displaying results inconsistently for rehiring case</t>
  </si>
  <si>
    <t>New Form 24Q-New fields added into E-file</t>
  </si>
  <si>
    <t>HINCF24Q:Form 24Q gives a short dump if total tax &gt;9,999,999</t>
  </si>
  <si>
    <t>HINCF24Q: Tax deposited displayed inconsistently on Form 27A</t>
  </si>
  <si>
    <t>HINCF160:Form 16 giving dump for multiple employee run (PDF)</t>
  </si>
  <si>
    <t>HINCF24C: Consolidated O/P file generates incorrect SerialNo</t>
  </si>
  <si>
    <t>ESI Form5:Allignment of the text inconsistent for PDF layout</t>
  </si>
  <si>
    <t>HINCF24Q: Validation of E-file inconsistent for PAO Reg. No.</t>
  </si>
  <si>
    <t>HINCF24Q:Section Code generated inconsistently in E-file</t>
  </si>
  <si>
    <t>Higher education cess not reported in section 14 of Form 16</t>
  </si>
  <si>
    <t>Form 24Q displaying inconsistent results for rehired emplys.</t>
  </si>
  <si>
    <t>Reimbursement amt displayed in TMWB after this is disbursed</t>
  </si>
  <si>
    <t>PY-IT</t>
  </si>
  <si>
    <t>Italy</t>
  </si>
  <si>
    <t>HR-IT: Conguaglio detrazioni for &gt;4 children 2007</t>
  </si>
  <si>
    <t>HR-IT: Infotype 0021 for payroll calculations</t>
  </si>
  <si>
    <t>HR-IT: EHP5 Auto-liquidazione INAIL and ENTRATEL file format</t>
  </si>
  <si>
    <t>HR-IT: Uniemens first release on EHP4</t>
  </si>
  <si>
    <t>HR-IT: DM10 Report error on hire and fire dates condition</t>
  </si>
  <si>
    <t>HR-IT: Payroll function ITASS error with linked absences</t>
  </si>
  <si>
    <t>HR-IT: New TFR Pension Funds Handling</t>
  </si>
  <si>
    <t>HR-IT: Management of Tax Deductions with IT 0021</t>
  </si>
  <si>
    <t>HR-IT: ITCTM error in consideration to P0483-AACOMD</t>
  </si>
  <si>
    <t>HR-IT: Payroll operation RORT not taking PERMO in account</t>
  </si>
  <si>
    <t>HR-IT: 730/2009 area menu update</t>
  </si>
  <si>
    <t>HR-IT: RPCALCI0 correction and extending number of pay. func</t>
  </si>
  <si>
    <t>PY-IT: Parallel Processing Enhancements for 2010e</t>
  </si>
  <si>
    <t>PY-IT-PS</t>
  </si>
  <si>
    <t>HCMPSIT-EHP5: Posting for PSIT</t>
  </si>
  <si>
    <t>PY-JP</t>
  </si>
  <si>
    <t>Japan</t>
  </si>
  <si>
    <t>This is created for some specific correction no-need note</t>
  </si>
  <si>
    <t>Change of National Tax Forms DRQ</t>
  </si>
  <si>
    <t>RPCECKJ0: Payroll Area Check Missing</t>
  </si>
  <si>
    <t>RPCECKJ0:  Item Names Display Incorrectly on Output Screen</t>
  </si>
  <si>
    <t>RPCEWGJ1: Incorrect Output in Monthly Pay Area</t>
  </si>
  <si>
    <t>RPCECKJ0:organize number displays incorrectly</t>
  </si>
  <si>
    <t>RPCRTSJ0: Incorrect Check Logic for Employee Output</t>
  </si>
  <si>
    <t>PY-MX</t>
  </si>
  <si>
    <t>Mexico</t>
  </si>
  <si>
    <t>Checkman MX</t>
  </si>
  <si>
    <t>SDI calculation duplicates absences</t>
  </si>
  <si>
    <t>Annual Tax Declaration - Changes to support PDF version</t>
  </si>
  <si>
    <t>PY-MX-PS</t>
  </si>
  <si>
    <t>Public Sector Mexico</t>
  </si>
  <si>
    <t>SAR report is wrongly showing modifications</t>
  </si>
  <si>
    <t>PY-MY</t>
  </si>
  <si>
    <t>Checkman Corrections - Malaysia, Singapore, Indonesia</t>
  </si>
  <si>
    <t>Corrections to previous employment allowances</t>
  </si>
  <si>
    <t>Correction to Life Insurance considered in STD computation</t>
  </si>
  <si>
    <t>SOCSO 8A, EPF Borang BBCD, SOCSO borang3, Wage types texts</t>
  </si>
  <si>
    <t>PY-NL</t>
  </si>
  <si>
    <t>RPCLACN0: Corrections due to the postponing of ELA</t>
  </si>
  <si>
    <t>Jaarloonopgave: Changes for Jaarloonopgave 2009</t>
  </si>
  <si>
    <t>NLSPR: /S11,/S12,/S15 not calculated in case of a correction</t>
  </si>
  <si>
    <t>RPULACN0: New check:Own-risk-bearers and indicator-exclusion</t>
  </si>
  <si>
    <t>RPCALCN0:Final levy amt. above maximum doubled in cycle NBVV</t>
  </si>
  <si>
    <t>Aangifte LH: Note 1370533: Incorrect error message displayed</t>
  </si>
  <si>
    <t>RPCALCN0: Empl.Rebate incorrect, if subappl. AKVG is valid</t>
  </si>
  <si>
    <t>RPCJWNN1: Wage ZVW incorrectly calculated</t>
  </si>
  <si>
    <t>Jaaropgave WN: Update to ESS - Wage ZVW incorrect</t>
  </si>
  <si>
    <t>RPCALCN0:Incorr.tax rate if conv.rule B,C,D and spec.payment</t>
  </si>
  <si>
    <t>Aangifte LH: Reported reiskosten ("Reisk") too high</t>
  </si>
  <si>
    <t>PY-NO</t>
  </si>
  <si>
    <t>Norway</t>
  </si>
  <si>
    <t>Nordic Reconciliation Solution</t>
  </si>
  <si>
    <t>Norway Legal Changes for year 2009/10: Part 1</t>
  </si>
  <si>
    <t>PY-NPO</t>
  </si>
  <si>
    <t>Payroll for Non-Profit-Organisationen (INTPSO)</t>
  </si>
  <si>
    <t>Enahancements to HCM Localization for NPO - EhP5e</t>
  </si>
  <si>
    <t>PY-NZ</t>
  </si>
  <si>
    <t>New Zealand</t>
  </si>
  <si>
    <t>Leave across periods pmt.adjustment incorrect after adv. pay</t>
  </si>
  <si>
    <t>PY-PT</t>
  </si>
  <si>
    <t>Portugal</t>
  </si>
  <si>
    <t>HR-PT: Overtime Communication report generated by year</t>
  </si>
  <si>
    <t>RPCSOCP0: Miscalculation of fields 2.9 and 2.10</t>
  </si>
  <si>
    <t>PY-PT-PS</t>
  </si>
  <si>
    <t>Public Sector Payroll</t>
  </si>
  <si>
    <t>HR-PT-PS: Portuguese texts for Evaluation Classes 14 and 15</t>
  </si>
  <si>
    <t>PY-RU</t>
  </si>
  <si>
    <t>Payroll Accounting: Russia</t>
  </si>
  <si>
    <t>HR-RU: SAP_HRCRU 6.04 preparation for EA-HR 6.05</t>
  </si>
  <si>
    <t>4-FSS, missing footnote signs in Table 3</t>
  </si>
  <si>
    <t>HR-RU: LC: ESN is replaced with insurance contributions</t>
  </si>
  <si>
    <t>HR-RU: Legal Change: 213-FZ limitation of absences (sick)</t>
  </si>
  <si>
    <t>HR-RU: DAQ wrong value 'Source field group' in Russian FMs</t>
  </si>
  <si>
    <t>HR-RU: wrong /320, /322 if /3Y1 positive and no vacations</t>
  </si>
  <si>
    <t>PY-SE</t>
  </si>
  <si>
    <t>Sweden</t>
  </si>
  <si>
    <t>dummy test CLC / Checkman Note</t>
  </si>
  <si>
    <t>Infotype 0438 - Change in allowed values for 'Type of Sink'</t>
  </si>
  <si>
    <t>PY-SG</t>
  </si>
  <si>
    <t>UICL: Unpaid Infant Care Leave Singapore</t>
  </si>
  <si>
    <t>New legal change for SDF retro calculation 2009.</t>
  </si>
  <si>
    <t>CPF AWL Ceiling</t>
  </si>
  <si>
    <t>SG CPF report : Incorrect for multiple company codes</t>
  </si>
  <si>
    <t>Payroll Schema RCPF</t>
  </si>
  <si>
    <t>PY-TH</t>
  </si>
  <si>
    <t>SS detailed cover sheet-incorrect EE count in retro cases</t>
  </si>
  <si>
    <t>PIT91-Incorrect Tax Year,SS Summary Form-Misligned A/c No</t>
  </si>
  <si>
    <t>PY-TW</t>
  </si>
  <si>
    <t>Taiwan</t>
  </si>
  <si>
    <t>Incorrect LI/NHI Comparision in Payroll Function TWSI</t>
  </si>
  <si>
    <t>HTWCWTR0:Incorrect Display with Multiple Off-cycle Payments</t>
  </si>
  <si>
    <t>Round Up NHI Subsidy Amount</t>
  </si>
  <si>
    <t>Address for tax from is incorrectly limited to 15 characters</t>
  </si>
  <si>
    <t>PY-US</t>
  </si>
  <si>
    <t>PY-US-NT</t>
  </si>
  <si>
    <t>PY-US-NT-GR</t>
  </si>
  <si>
    <t>Garnishments</t>
  </si>
  <si>
    <t>US Garnishments:Inconsistency during reversal run</t>
  </si>
  <si>
    <t>U.S. Garnishments: Undoing SAP Note 1307087</t>
  </si>
  <si>
    <t>PY-US-RP</t>
  </si>
  <si>
    <t>Remun. Stmt.: Tax authorities filled incorrectly.</t>
  </si>
  <si>
    <t>REC: Optimize performance: Payroll Recon. Scheduler.</t>
  </si>
  <si>
    <t>REC: Recon. Report does not display "On Demand" Payroll runs</t>
  </si>
  <si>
    <t>PY-US-TR</t>
  </si>
  <si>
    <t>Tax Reporter</t>
  </si>
  <si>
    <t>Solving Internal Messages/Accessbility Correction for TR</t>
  </si>
  <si>
    <t>SUI: Oklahoma Quarterly Report</t>
  </si>
  <si>
    <t>PY-US-TX</t>
  </si>
  <si>
    <t>Taxes</t>
  </si>
  <si>
    <t>TAX: Negative year-to-date for Tip wages.</t>
  </si>
  <si>
    <t>PAY: Payroll errors w/ zero hrs. for Vacation Payment</t>
  </si>
  <si>
    <t>PY-VE</t>
  </si>
  <si>
    <t>Venezuela</t>
  </si>
  <si>
    <t>Changes reporting taxes information for SENIAT</t>
  </si>
  <si>
    <t>TEPUY 2.0 - New layout for FAOV file</t>
  </si>
  <si>
    <t>PY-XX</t>
  </si>
  <si>
    <t>Payroll: General Parts</t>
  </si>
  <si>
    <t>Corrections in infotypes</t>
  </si>
  <si>
    <t>PY-XX-RS</t>
  </si>
  <si>
    <t>Reuse Services for Country Development</t>
  </si>
  <si>
    <t>Unified Reporting Parallelization Framework</t>
  </si>
  <si>
    <t>SAPKE60415</t>
  </si>
  <si>
    <t>SAPKE60416</t>
  </si>
  <si>
    <t>Organizational Mgt</t>
  </si>
  <si>
    <t>PFCG: Search help for INFOTYP and INFTY fields</t>
  </si>
  <si>
    <t>PP01: runtime error due to Unicode (F4 for Appraisal Type)</t>
  </si>
  <si>
    <t>RHPREL00: Return code for BAdI HR_RHPREL00 is incorrect</t>
  </si>
  <si>
    <t>BC-BMT-OM-ALE</t>
  </si>
  <si>
    <t>Distribution</t>
  </si>
  <si>
    <t>ALE: Inbound dumps with MESSAGE_TYPE_X</t>
  </si>
  <si>
    <t>BC-BMT-OM-EBP</t>
  </si>
  <si>
    <t>Org. Managem. EBP</t>
  </si>
  <si>
    <t>HRALX: Bank data not created for BP (2 identical sets)</t>
  </si>
  <si>
    <t>SRM@EREP, HRALXSYNC: Runtime error, job is terminated</t>
  </si>
  <si>
    <t>BW-BCT-PT</t>
  </si>
  <si>
    <t>Pers.Time Management</t>
  </si>
  <si>
    <t>Time data extraction dump DO_WHILE_VARY_NOT_IN_RANGE IV</t>
  </si>
  <si>
    <t>BW-BCT-PY</t>
  </si>
  <si>
    <t>Payroll Accounting</t>
  </si>
  <si>
    <t>BW extraction 0HR_PY_PP_1 does not extract all of the runs</t>
  </si>
  <si>
    <t>Oracle indexes payroll posting extraction 0HR_PY_PP_1</t>
  </si>
  <si>
    <t>CA</t>
  </si>
  <si>
    <t>CA-TS</t>
  </si>
  <si>
    <t>Time Sheet</t>
  </si>
  <si>
    <t>CATS_SEND_MAIL creates SOST entry</t>
  </si>
  <si>
    <t>CATS: Issue with cancellation record of HR transfers</t>
  </si>
  <si>
    <t>BP for MSS HR</t>
  </si>
  <si>
    <t>Missing parameter in OADP backend function module</t>
  </si>
  <si>
    <t>CheckMan corrections for SAP_HR and EA-HR</t>
  </si>
  <si>
    <t>PA-BC</t>
  </si>
  <si>
    <t>PA-BC-IN</t>
  </si>
  <si>
    <t>Basis - Integration</t>
  </si>
  <si>
    <t>IT0001: Job is displayed by chance</t>
  </si>
  <si>
    <t>RHINTE30: Folder name cannot be preassigned for batch input</t>
  </si>
  <si>
    <t>RHINTE00: Performance problems</t>
  </si>
  <si>
    <t>Position text is not displayed in vacancy dialog box</t>
  </si>
  <si>
    <t>PA-BN</t>
  </si>
  <si>
    <t>Benefits</t>
  </si>
  <si>
    <t>Performance Issues with RPUBENADJRSN for large datasets</t>
  </si>
  <si>
    <t>Benefits annual salary has incorrect conversion</t>
  </si>
  <si>
    <t>Benefits Confirmation Report prints incorrect dates</t>
  </si>
  <si>
    <t>Benefits: Unicode Type conversion error</t>
  </si>
  <si>
    <t>HRBEN0014: Some of the benefits plans are not displayed</t>
  </si>
  <si>
    <t>EXIT statement not allowing the use of implicit enhancement</t>
  </si>
  <si>
    <t>HRBEN0006: Benefits Overview has incorrect Plan Date</t>
  </si>
  <si>
    <t>IT0211: Beneficiary search returns wrong 'type of person'</t>
  </si>
  <si>
    <t>PA-BN-AD</t>
  </si>
  <si>
    <t>Administration</t>
  </si>
  <si>
    <t>Insurance plan costs are not displayed in PA30/PA20</t>
  </si>
  <si>
    <t>PA-BN-AD-PY</t>
  </si>
  <si>
    <t>Payroll Interface</t>
  </si>
  <si>
    <t>Unable to assign Supplemental off cycle reasons for Benefits</t>
  </si>
  <si>
    <t>BENMA: Adjustment of employer contribution incorrect</t>
  </si>
  <si>
    <t>PA-BN-CO</t>
  </si>
  <si>
    <t>COBRA</t>
  </si>
  <si>
    <t>HRBENUSCOB03: Waive participation does not work for employee</t>
  </si>
  <si>
    <t>RPUCOB02: Not able to generate letter for FSA</t>
  </si>
  <si>
    <t>cobra 2009:Changes to RPUCOB05 and RPUCOB09</t>
  </si>
  <si>
    <t>Cobra 2009:Issues in RPUCOB02 and COBRA forms</t>
  </si>
  <si>
    <t>HRBENUSCOB03:Dependent address not printed on deny letter</t>
  </si>
  <si>
    <t>PA-BN-PL</t>
  </si>
  <si>
    <t>Plans</t>
  </si>
  <si>
    <t>Evidence of Insurability fails for option 3</t>
  </si>
  <si>
    <t>PA-CE</t>
  </si>
  <si>
    <t>Conc.Empl.-Pers.Man.</t>
  </si>
  <si>
    <t>Corrections to LDAP Extractor for CE</t>
  </si>
  <si>
    <t>Quota Deduction checks for validity of future assignment</t>
  </si>
  <si>
    <t>IS_SHARED_ABS_TYPE doesnot consider date range</t>
  </si>
  <si>
    <t>Compensation Manag.</t>
  </si>
  <si>
    <t>Lock icon incorrect in the PA30 overview screen for IT0381</t>
  </si>
  <si>
    <t>Enterpr.Compen.Manag</t>
  </si>
  <si>
    <t>Enabling F1 help for T77S0 switches</t>
  </si>
  <si>
    <t>PA-IS</t>
  </si>
  <si>
    <t>Informations Systems</t>
  </si>
  <si>
    <t>Ad Hoc Query: Infotype 82 is incorrect</t>
  </si>
  <si>
    <t>HR selection IDs: Reporting with status 2 is not possible</t>
  </si>
  <si>
    <t>PA-OS</t>
  </si>
  <si>
    <t>Organizational Plan</t>
  </si>
  <si>
    <t>PPOME account assignment: Obsolete text of cost center</t>
  </si>
  <si>
    <t>Error when remote calling HRCA_GET_ACTIVE_DIMENSIONS</t>
  </si>
  <si>
    <t>No content for holder description in RHXSCRP1</t>
  </si>
  <si>
    <t>PO13 acct assgmt features: F4 personnel area does not work</t>
  </si>
  <si>
    <t>Cost distribution: Error during verification/saving of order</t>
  </si>
  <si>
    <t>RHXFILLPOS considers positions as occupied due to planning</t>
  </si>
  <si>
    <t>PD infotypes: Correction of screen fields attributes</t>
  </si>
  <si>
    <t>PA-OS-BS</t>
  </si>
  <si>
    <t>Bases</t>
  </si>
  <si>
    <t>IT1013: EE Subgroup Value not sent back from search help</t>
  </si>
  <si>
    <t>PA-OS-ST</t>
  </si>
  <si>
    <t>Staffing</t>
  </si>
  <si>
    <t>Incorr payroll results if employee present for only one day</t>
  </si>
  <si>
    <t>PP02: Dump im batch-input mode</t>
  </si>
  <si>
    <t>Position search help: "Occupied position" displayed twice</t>
  </si>
  <si>
    <t>PV1A: Relevant records of infotype 2002 are not deleted</t>
  </si>
  <si>
    <t>Dump in RHSBES10 due to too short working time for position</t>
  </si>
  <si>
    <t>Contract Type 48</t>
  </si>
  <si>
    <t>Pfändung: Infotyp 3 wird bei Abfertigung nicht gesetzt</t>
  </si>
  <si>
    <t>Dienstnehmerdaten im Intotyp 0526 Subtyp 70 nicht gefüllt</t>
  </si>
  <si>
    <t>IT0527: Vorschlagswerte trotz abgebrochener Simulation</t>
  </si>
  <si>
    <t>RPTSWAA0: Zuviele ELDA-Sätze wegen Hinweis 1323415</t>
  </si>
  <si>
    <t>Bescheinigungswesen: Altersteilzeitformular, Lehrling</t>
  </si>
  <si>
    <t>Übersichtstabelle im IT0751, BMV</t>
  </si>
  <si>
    <t>Infotype 0009 - Name of city not changed</t>
  </si>
  <si>
    <t>PA-PA-CH</t>
  </si>
  <si>
    <t>Employer statement (PDF): Errors in date for 12 and 1</t>
  </si>
  <si>
    <t>IT0016: Warning Messages about Probation Period Checking</t>
  </si>
  <si>
    <t>Mitarbeiterauskünfte nach dem Bundesdatenschutzgesetz</t>
  </si>
  <si>
    <t>Alternative Fristenberechnung bei zukünftigem Eintritt</t>
  </si>
  <si>
    <t>TMW: Period calculation if continued pay is zero</t>
  </si>
  <si>
    <t>DK: Non exsiting Bank key check for IT0009</t>
  </si>
  <si>
    <t>IT0217 PCS Code Date Validation is not working</t>
  </si>
  <si>
    <t>Infotype 0272: Postal Code tests</t>
  </si>
  <si>
    <t>Training Need Mgmt.</t>
  </si>
  <si>
    <t>Retrieving STATUS text in tabstrip "General Data"</t>
  </si>
  <si>
    <t>Batch Input not possible on PT1680 fields</t>
  </si>
  <si>
    <t>Desired period for Business Event is not checked</t>
  </si>
  <si>
    <t>PA-PA-IN</t>
  </si>
  <si>
    <t>Inconsistency while updating IT0584 without standard Tcodes</t>
  </si>
  <si>
    <t>Dyn action not triggered when 0581 infotype maintained</t>
  </si>
  <si>
    <t>PA-PA-IT</t>
  </si>
  <si>
    <t>Checkman corrections</t>
  </si>
  <si>
    <t>PA-PA-JP</t>
  </si>
  <si>
    <t>ESS printform dummy note</t>
  </si>
  <si>
    <t>LC2009: Withholding Tax Statement Change for Housing Dedu.</t>
  </si>
  <si>
    <t>Lock/Unlock Function Disabled for Infotype 0145</t>
  </si>
  <si>
    <t>Report RPUPAV00: Generate PA3208 Record for IT View 3208</t>
  </si>
  <si>
    <t>LC2009: Contribution Limit Change for DC Type Pension Plan</t>
  </si>
  <si>
    <t>Restore the Size of Customer Subscreen for Infotype 0538</t>
  </si>
  <si>
    <t>PA-PA-MX</t>
  </si>
  <si>
    <t>Customizing of Bizcard does not work with foreign address</t>
  </si>
  <si>
    <t>Capturing previous employment details for mid-year joinee</t>
  </si>
  <si>
    <t>AangifteLH: IT0002 contains superfluous warning for Initials</t>
  </si>
  <si>
    <t>YELC2010: Improved documentation for Annual Wage Return</t>
  </si>
  <si>
    <t>YELC2010: New Payment Reduction for increase of education</t>
  </si>
  <si>
    <t>FlexBenNL: Correction of Dutch translation</t>
  </si>
  <si>
    <t>PA-PA-PT</t>
  </si>
  <si>
    <t>RPPSTMP0: Short dump when processing the program</t>
  </si>
  <si>
    <t>HR master data: Russ</t>
  </si>
  <si>
    <t>CHECKMAN errors correction in 470x/ECC500/ECC600</t>
  </si>
  <si>
    <t>ADS error by running adobe form with RU language</t>
  </si>
  <si>
    <t>HRULPFP5: dump at saving package in DMS</t>
  </si>
  <si>
    <t>HR-RU: Processing of similar events during a day in T-13</t>
  </si>
  <si>
    <t>HRULP4 does not react on period restriction in T7RUN2EXT</t>
  </si>
  <si>
    <t>HR-RU: Max length of Department name in form T-3 is 40 char</t>
  </si>
  <si>
    <t>HRULPFP5: address type; changing legal person and absences</t>
  </si>
  <si>
    <t>Infotype 0021: can't maintain due to missing IT-0106</t>
  </si>
  <si>
    <t>HR-RU: length of data in T-orders</t>
  </si>
  <si>
    <t>HRUAT7: planned vacations are missed in the form</t>
  </si>
  <si>
    <t>HRUAT7: corrections and improvements after SAP Note 1375018</t>
  </si>
  <si>
    <t>IT2001: vacation prolongation and holidays during illness</t>
  </si>
  <si>
    <t>Forms DSV-1 and DSV-3</t>
  </si>
  <si>
    <t>Using IT0298 Long Texts in PDF forms of T-Orders</t>
  </si>
  <si>
    <t>Infotype 0185: Text icon does not exist</t>
  </si>
  <si>
    <t>IT0021: Duplicate records for father/mother/spouse subtype</t>
  </si>
  <si>
    <t>SG MSS : Address line repeated in MSS Employee profile</t>
  </si>
  <si>
    <t>Migrated Record Update via PA30 gives a shortdump</t>
  </si>
  <si>
    <t>PA-PA-TW</t>
  </si>
  <si>
    <t>Cannot Save NHI Exemption Rate</t>
  </si>
  <si>
    <t>Can not Maintain Text for Taiwan Specific Infotypes</t>
  </si>
  <si>
    <t>Function Module HR_BEN_ROUND_AMOUNT released</t>
  </si>
  <si>
    <t>PZ10: "Tax Exempt" indicator allowed for non-exempt states.</t>
  </si>
  <si>
    <t>IT0077: Scrolling within Race data table triggers PAI</t>
  </si>
  <si>
    <t>OSHA Report: Text not displayed if text attribute is 'T'</t>
  </si>
  <si>
    <t>Learned and Disability date check for IT0021, IT0077.</t>
  </si>
  <si>
    <t>Source code revisions provided for search help H_T5UTK.</t>
  </si>
  <si>
    <t>Infotype 0460: Text icon does not exist.</t>
  </si>
  <si>
    <t>PZ10: Disabling of fields not in synch with trans. PA30.</t>
  </si>
  <si>
    <t>HSA: Incorrect calculation of limits</t>
  </si>
  <si>
    <t>Customer Exit: Alternate HCE limits for Puerto Rico.</t>
  </si>
  <si>
    <t>Deletion of the 'Earl.pers.rec.date' date</t>
  </si>
  <si>
    <t>PA40: Missing infotype when executing a personnel action</t>
  </si>
  <si>
    <t>Translation correction of data element UABRJ</t>
  </si>
  <si>
    <t>Error in PA40 Company Code Transfer Action</t>
  </si>
  <si>
    <t>IBAN/SEPA: Propose the IBAN from the account data</t>
  </si>
  <si>
    <t>PA41: Several leaving actions are generated</t>
  </si>
  <si>
    <t>Infotype 0784: Error message RP213</t>
  </si>
  <si>
    <t>Search help for wage types contains incorrect values</t>
  </si>
  <si>
    <t>Search help on Infotype 1018: Message COM_SE_SEARCH044</t>
  </si>
  <si>
    <t>No F4 help for date of birth field in screen 106 RP-BMASS_61</t>
  </si>
  <si>
    <t>Report RPLPAY00: Runtime Error BCD_FIELD_OVERFLOW</t>
  </si>
  <si>
    <t>IT 0031: Records are not deleted from reference pers. no.</t>
  </si>
  <si>
    <t>Cost distribution: inconsistent IT0027 data in settlement</t>
  </si>
  <si>
    <t>Bank data is not updated when entering IBAN</t>
  </si>
  <si>
    <t>PA40: Incorrect system response during info group processing</t>
  </si>
  <si>
    <t>If IBAN is required entry field, IBAN cannot be proposed</t>
  </si>
  <si>
    <t>Displaying employee photos in PA20</t>
  </si>
  <si>
    <t>Infotype 0002: Exception INTERNAL_ERROR after saving (II)</t>
  </si>
  <si>
    <t>IBAN: Error message BF00 013 when generating bank data</t>
  </si>
  <si>
    <t>Error message when saving IT0057 ("Membership Fees")</t>
  </si>
  <si>
    <t>Dump OBJECTS_OBJREF_NOT_ASSIGNED_NO in infotype 0031 (LSMW)</t>
  </si>
  <si>
    <t>PA41: A008/B008 are not adjusted when leaving date is moved</t>
  </si>
  <si>
    <t>Reference Personnel Number in batch-input (LSMW)</t>
  </si>
  <si>
    <t>HR_MAINTAIN_MASTERDATA is not triggering workflow events</t>
  </si>
  <si>
    <t>PP01: Error message 5A 054 when moving A008 relationship</t>
  </si>
  <si>
    <t>H_T500P: Value list cannot be restricted using BUKRS</t>
  </si>
  <si>
    <t>PA30: Error "Subtype invalid" [2]</t>
  </si>
  <si>
    <t>Country-specific header modification</t>
  </si>
  <si>
    <t>PA20/PA30: Incorrect column header ('Exists')</t>
  </si>
  <si>
    <t>IBAN/SEPA: Proposed IBAN is not correct</t>
  </si>
  <si>
    <t>IBAN/SEPA: Bank key not derived correctly from IBAN</t>
  </si>
  <si>
    <t>IT0031: IT0121 for all (formerly) dependent PERNR deleted</t>
  </si>
  <si>
    <t>IT0009: Field PBS transfer type (BTTYP) canot be hidden</t>
  </si>
  <si>
    <t>IT0004: No error message when entering invalid values</t>
  </si>
  <si>
    <t>PA30: Header incorrect for PERNR change using object manager</t>
  </si>
  <si>
    <t>Exception CX_SY_DYNAMIC_OSQL_SYNTAX: Archiving bank master</t>
  </si>
  <si>
    <t>IT0011: "Propose IBAN" pushbutton is not hidden</t>
  </si>
  <si>
    <t>IT0001: Runtime error ASSIGN_TYPE_CONFLICT due to org. key</t>
  </si>
  <si>
    <t>Multiple calls of HR_PAD_HIRE_EMPLOYEE result in error</t>
  </si>
  <si>
    <t>PA41/IT0000: overview screen is inconsistent</t>
  </si>
  <si>
    <t>PA30: Corrections for displaying messages from the new ITF</t>
  </si>
  <si>
    <t>Worfklow event 'REQUESTCANCELLED' is triggered erroneously</t>
  </si>
  <si>
    <t>Infotype 0011: POR fields are not displayed</t>
  </si>
  <si>
    <t>IT0022: Course fee is multiplied or divided</t>
  </si>
  <si>
    <t>RP_FROM_PERIOD_TO_PERIOD: feature PFREQ is incorrectly read</t>
  </si>
  <si>
    <t>SAPMP5X0_CE Screen 100: Fields cannot be hidden (T588M)</t>
  </si>
  <si>
    <t>PM01: Language problems when enhancing list screen</t>
  </si>
  <si>
    <t>RPSSAL00: Indirectly valuated amounts are not included</t>
  </si>
  <si>
    <t>PA42: Country grouping is not included in input check</t>
  </si>
  <si>
    <t>New package interfaces for Lean Staffing</t>
  </si>
  <si>
    <t>PA70: Problems when copying records</t>
  </si>
  <si>
    <t>PME04: Field USERG is not populated</t>
  </si>
  <si>
    <t>PAW1: Runtime error CALL_FUNCTION_UC_STRUCT</t>
  </si>
  <si>
    <t>Fields RP50G-BEGDA/RP50G-ENDDA are not ready for input</t>
  </si>
  <si>
    <t>PM01: Enhancing the list screen of a view infotype</t>
  </si>
  <si>
    <t>IT0001: Personnel subarea is not transferred from IT1008</t>
  </si>
  <si>
    <t>General Note is not copied during change of country</t>
  </si>
  <si>
    <t>Pushbutton 'Propose IBAN' cannot be controlled separately</t>
  </si>
  <si>
    <t>PA30: Infotype status does not have quick info</t>
  </si>
  <si>
    <t>IBAN/SEPA: Field Bank account gets cleared</t>
  </si>
  <si>
    <t>HR infotypes: Correction of screen attributes</t>
  </si>
  <si>
    <t>Technical corrections for IBAN/SEPA usage in HR</t>
  </si>
  <si>
    <t>Incorrect message RP455 when infotype 0015 is created</t>
  </si>
  <si>
    <t>PA30/PA20: Field SUBTY_TEXT attribute 'As label on right'</t>
  </si>
  <si>
    <t>IBAN from HR is not transferred to vendor master record</t>
  </si>
  <si>
    <t>Dynamic action is not processed [2]</t>
  </si>
  <si>
    <t>PA-PA-XX-BS</t>
  </si>
  <si>
    <t>Enhancement of fields for decisions in features</t>
  </si>
  <si>
    <t>Restricting eligibility of wage types</t>
  </si>
  <si>
    <t>PA-PA-XX-BS-PY</t>
  </si>
  <si>
    <t>Basis f.Payroll Data</t>
  </si>
  <si>
    <t>Indirect valuation: Pay scale information is ignored</t>
  </si>
  <si>
    <t>IT0008: Period salary for COP calculated from annual salary</t>
  </si>
  <si>
    <t>IT0008: Error "Do not enter units for wage type &amp;" (PG 066)</t>
  </si>
  <si>
    <t>RP_SALARY_GENERIC_CALC: Incorrect annual salary</t>
  </si>
  <si>
    <t>RPU51000: Inaccurate rounding [2]</t>
  </si>
  <si>
    <t>IT0008: Error "Denominator 0" (RP 040)</t>
  </si>
  <si>
    <t>PA-PD</t>
  </si>
  <si>
    <t>PA-PD-DP</t>
  </si>
  <si>
    <t>Development Plans</t>
  </si>
  <si>
    <t>Development Plan Group missing from display</t>
  </si>
  <si>
    <t>Text elements missing</t>
  </si>
  <si>
    <t>Problems with ALV Grid maintnce. of development plan catalog</t>
  </si>
  <si>
    <t>Individual Development: Data is saved despite termination</t>
  </si>
  <si>
    <t>OOEC: Changed note for develpmnt plan item cannot be changed</t>
  </si>
  <si>
    <t>Company Pension DE</t>
  </si>
  <si>
    <t>BAV-Korrekturen (04/2009)</t>
  </si>
  <si>
    <t>Pension equalization payment in CPS: Enhancements</t>
  </si>
  <si>
    <t>PPN: Corrections/Enhancements to Notification Creation (5)</t>
  </si>
  <si>
    <t>RBM: MZ01-Fehlerdaten werden nicht angezeigt</t>
  </si>
  <si>
    <t>RBM: Vorauswahl Meldegrund in der Eingangsverarbeitung</t>
  </si>
  <si>
    <t>PRN: Notification about taxable benefits as of 2009</t>
  </si>
  <si>
    <t>PPN: Corrections / enhancements to MZ01 (6)</t>
  </si>
  <si>
    <t>RBM: New field "Tracking ID" for ZE99 inbound</t>
  </si>
  <si>
    <t>Pension Fund NL</t>
  </si>
  <si>
    <t>Remove search help from structure P05K_S_PARAM_TY</t>
  </si>
  <si>
    <t>PA-PF-XX</t>
  </si>
  <si>
    <t>Pens.Fund: Gen.Parts</t>
  </si>
  <si>
    <t>Pension fund: No event when creating postings</t>
  </si>
  <si>
    <t>PA-PM</t>
  </si>
  <si>
    <t>PA-PM-BM</t>
  </si>
  <si>
    <t>Pers. Budget Plan Mg</t>
  </si>
  <si>
    <t>Performance RHPMLIFI</t>
  </si>
  <si>
    <t>HRPBCM: Problems with financing</t>
  </si>
  <si>
    <t>PA-PM-OM</t>
  </si>
  <si>
    <t>Org. Management</t>
  </si>
  <si>
    <t>IT1504: plausibility check service type / service category</t>
  </si>
  <si>
    <t>IT1501: Cust. screen not displayed in organizational manager</t>
  </si>
  <si>
    <t>PA-PM-TO</t>
  </si>
  <si>
    <t>Cross App Tools</t>
  </si>
  <si>
    <t>Job index: Keys are lost when scrolling in IT 513</t>
  </si>
  <si>
    <t>Job index: Incorrect description for subtype of IT 0783</t>
  </si>
  <si>
    <t>PA-RC</t>
  </si>
  <si>
    <t>Recruitment</t>
  </si>
  <si>
    <t>Checkman Errors in recruitment</t>
  </si>
  <si>
    <t>The applicant no field is incorrectly defaulted in infy 0139</t>
  </si>
  <si>
    <t>PE-OF</t>
  </si>
  <si>
    <t>Business Event Cat.</t>
  </si>
  <si>
    <t>PP40: Turkish special characters are incorrectly displayed</t>
  </si>
  <si>
    <t>PSM</t>
  </si>
  <si>
    <t>PSM-FM</t>
  </si>
  <si>
    <t>PSM-FM-MD</t>
  </si>
  <si>
    <t>Master Data</t>
  </si>
  <si>
    <t>Budget Period HR search help does not consider attributes</t>
  </si>
  <si>
    <t>PT-EV</t>
  </si>
  <si>
    <t>Time Evaluation</t>
  </si>
  <si>
    <t>RPUCCONVCL: Unnecessary authorization check</t>
  </si>
  <si>
    <t>SORT ZL: Unrequired recalculations are triggered</t>
  </si>
  <si>
    <t>PT66: Long runtimes when displaying single values</t>
  </si>
  <si>
    <t>RPUWSH00: Error during batch input processing</t>
  </si>
  <si>
    <t>Operation A2003: Incorrect times for VTKEN</t>
  </si>
  <si>
    <t>RPCXB200: Syntax error in macro RP-IMP-C2-B2-DIR</t>
  </si>
  <si>
    <t>PT-EV-FO</t>
  </si>
  <si>
    <t>Time Statement Form</t>
  </si>
  <si>
    <t>RPTWAO_CMP00: Error in menu text (Display/Create)</t>
  </si>
  <si>
    <t>PT-EV-MP</t>
  </si>
  <si>
    <t>Time Manag. Pool</t>
  </si>
  <si>
    <t>PT40: Various errors in error handling and time leveling</t>
  </si>
  <si>
    <t>PT40: Displaying work schedule (PWS) in time leveling</t>
  </si>
  <si>
    <t>RPTCMP01: Option "Level 3: document view" does not work</t>
  </si>
  <si>
    <t>PT-EV-PY</t>
  </si>
  <si>
    <t>Integr.with Payroll</t>
  </si>
  <si>
    <t>An error occurs when using DKUG ABW</t>
  </si>
  <si>
    <t>PT-EV-QT</t>
  </si>
  <si>
    <t>Quota Accrual</t>
  </si>
  <si>
    <t>HR_GET_QUOTA_DATA: Support of the parameter LANGU</t>
  </si>
  <si>
    <t>PT-EV-TE</t>
  </si>
  <si>
    <t>Pair Formation</t>
  </si>
  <si>
    <t>PT60: Sorting the tables MT &amp; FMT at the change of the month</t>
  </si>
  <si>
    <t>PT-IS</t>
  </si>
  <si>
    <t>Information System</t>
  </si>
  <si>
    <t>RPTABS20/RPTABS50: Performance call check country exit</t>
  </si>
  <si>
    <t>RPTABS60: Long runtimes or dump if data volume is large</t>
  </si>
  <si>
    <t>RPTAPPU0: Authorization check for SE38</t>
  </si>
  <si>
    <t>RPTQTA10: Runtime error with "MESSAGE_TYPE_X"</t>
  </si>
  <si>
    <t>PT-RC</t>
  </si>
  <si>
    <t>Time Data Recording</t>
  </si>
  <si>
    <t>Error when revising RPTERR00, RPLTIM00 and RPTCMP00</t>
  </si>
  <si>
    <t>Action (PA40): delimiting absences</t>
  </si>
  <si>
    <t>IT 0080: Incorrect data is displayed on the overview screen</t>
  </si>
  <si>
    <t>PT40 error handling: Runtime error SYSTEM_POINTER_PENDING</t>
  </si>
  <si>
    <t>PA61 weekly calendar: Error message "Currency not permitted"</t>
  </si>
  <si>
    <t>PA61 weekly calendar: Fields that are not ready for input</t>
  </si>
  <si>
    <t>PA71: Fields that are ready for input for absence quotas</t>
  </si>
  <si>
    <t>PA71: Start time and end time for quotas (2006)</t>
  </si>
  <si>
    <t>IT 2006: Validy period for termination measure</t>
  </si>
  <si>
    <t>RPLTIM01: Error message PG 009 "No data exists"</t>
  </si>
  <si>
    <t>RPTBPC10: Sequence of deductions for compensations</t>
  </si>
  <si>
    <t>PT40: Logistics time events cannot be created</t>
  </si>
  <si>
    <t>RPTERR01: Document view cannot be exited by choosing "Exit"</t>
  </si>
  <si>
    <t>Infotype 416: Incorrect F1 Help for radio buttons/quick info</t>
  </si>
  <si>
    <t>PT-RC-AA</t>
  </si>
  <si>
    <t>Attendances/Absences</t>
  </si>
  <si>
    <t>BAPI_PTMGRATTABS_MNGCHANGE: unnecessary error messages</t>
  </si>
  <si>
    <t>PA61 or PA30: Function "Create infotype" for Attendances</t>
  </si>
  <si>
    <t>List entry for absences: Consumption field is initial</t>
  </si>
  <si>
    <t>PT-RC-EX</t>
  </si>
  <si>
    <t>HR-PDC</t>
  </si>
  <si>
    <t>RPTEXTPT: Error message HRTIM00EXTERN 044</t>
  </si>
  <si>
    <t>RPTEXTPT: Multiple selection is missing for customer field</t>
  </si>
  <si>
    <t>PT-RC-IW</t>
  </si>
  <si>
    <t>Time Tickets</t>
  </si>
  <si>
    <t>Incentive wages: Time tickets transferred incorrectly</t>
  </si>
  <si>
    <t>PW01: Error message "Operation does not exist" (53 365)</t>
  </si>
  <si>
    <t>PT-RC-UI</t>
  </si>
  <si>
    <t>PT-RC-UI-TMW</t>
  </si>
  <si>
    <t>Time Man. Workplace</t>
  </si>
  <si>
    <t>PTMW: No change documents when deleting</t>
  </si>
  <si>
    <t>PTMW: Increasing SEQNR if future attendances/absences</t>
  </si>
  <si>
    <t>Korrekturen Checkman Fehler</t>
  </si>
  <si>
    <t>Selection "Restore Original Shift" exists twice</t>
  </si>
  <si>
    <t>Incorrect text for time events</t>
  </si>
  <si>
    <t>Availability for work and time transfer specification II</t>
  </si>
  <si>
    <t>Shift Planning PS</t>
  </si>
  <si>
    <t>Detail dialog box: Cancellation ind. on 'Time events' tab</t>
  </si>
  <si>
    <t>Res. 135/09 - Base Remun. Social Insurance Withholdings</t>
  </si>
  <si>
    <t>Negative vacation provision for previous years</t>
  </si>
  <si>
    <t>Proportional quota compensation in termination HLACTRM0</t>
  </si>
  <si>
    <t>Settlement of monetary benefits - corrections</t>
  </si>
  <si>
    <t>Assignment of deduction categories to geographic zones</t>
  </si>
  <si>
    <t>Form layout definition for HARCNVAC report</t>
  </si>
  <si>
    <t>Taxable remun.with duplicated non-deduct. income in Form 649</t>
  </si>
  <si>
    <t>Service statement for employee with more than 11 years</t>
  </si>
  <si>
    <t>Mi Simplificación: Hiring date differs from previous file</t>
  </si>
  <si>
    <t>Duplicated deductions in tax calculation</t>
  </si>
  <si>
    <t>HARCSIG0: Wrong error message HRCALARREPORTING 137</t>
  </si>
  <si>
    <t>Tax simulation report stops for employees hired during year</t>
  </si>
  <si>
    <t>Part-Time base remun. customizing does not check table RT</t>
  </si>
  <si>
    <t>Decree 1729/2009 - Family Allowances</t>
  </si>
  <si>
    <t>Res. 135/09 - Base Remun. Social Ins. Withholdings - ARPRV</t>
  </si>
  <si>
    <t>Pfändung: 3 Jahresfrist bedingungslos abgeschafft § 299 EO</t>
  </si>
  <si>
    <t>Pfändung: Keine Überweisung bei mehreren Pfändungen</t>
  </si>
  <si>
    <t>Checkman dummy</t>
  </si>
  <si>
    <t>Pfändung: Gepfändeter Betrag größer als Auszahlungsbetrag</t>
  </si>
  <si>
    <t>Darlehen: Tilgung in der Pfändungsverarbeitung nicht möglich</t>
  </si>
  <si>
    <t>Kurzarbeit AT (Nachtrag)</t>
  </si>
  <si>
    <t>Pfändung: Verschobene Überweisung bei Ranggleichheit</t>
  </si>
  <si>
    <t>Aufrollung der Lohnsteuer nach § 77 Abs. 4 EStG</t>
  </si>
  <si>
    <t>PCALZ: Diverse Korrekturen in 2009</t>
  </si>
  <si>
    <t>JW 2009/10:Erhöhte Pendlerpauschale bis Ende 2010 verlängert</t>
  </si>
  <si>
    <t>Rückstellungen: Berücksichtigung des Simulationsergebnises</t>
  </si>
  <si>
    <t>JW 2009/10:Änderung der Bezeichnung "Dienstgeberkontonummer"</t>
  </si>
  <si>
    <t>Zahlenreihen im Formular HR_AT_LZ_GLZ_02 sind verschoben</t>
  </si>
  <si>
    <t>JW 2009/10: Ausweislohnart für Kinderbetreuungskosten</t>
  </si>
  <si>
    <t>JW 2009/10: FLAF DB, DZ und KommSt für freie Dienstnehmer</t>
  </si>
  <si>
    <t>Altersteilzeit: BMV-Beiträge wegen manu. Übersteuerung</t>
  </si>
  <si>
    <t>PY-AT-PS</t>
  </si>
  <si>
    <t>Korrektur erweiterte jährliche Meldung gem. Versteuerung</t>
  </si>
  <si>
    <t>Dummy Note for Checkman Errors</t>
  </si>
  <si>
    <t>Termination organiser : Payroll simulation fails</t>
  </si>
  <si>
    <t>Termination payments incorrect.</t>
  </si>
  <si>
    <t>LSA type field displays 'X' in ATO report.</t>
  </si>
  <si>
    <t>Tax on Leave loading paid upon termination is incorrect.</t>
  </si>
  <si>
    <t>Generation of Wagetypes RESC/RSAS,before fin. year 2009-2010</t>
  </si>
  <si>
    <t>Termination Organiser - ATO LSL calculation fails.</t>
  </si>
  <si>
    <t>PS Listing report - Corrections done for 'Export' option</t>
  </si>
  <si>
    <t>RESC amount incorrect in case of cost center splits</t>
  </si>
  <si>
    <t>LSA type field displays 'X' in payment summary report</t>
  </si>
  <si>
    <t>Payment summary - Corrections provided for Split ETP reprint</t>
  </si>
  <si>
    <t>Tax free thresholds not considered for Tax scales []H &amp; []S</t>
  </si>
  <si>
    <t>Corrections provided for Leave Provision Projection.</t>
  </si>
  <si>
    <t>Override wagetypes upon death termination are not updated.</t>
  </si>
  <si>
    <t>Payment summary listing report corrections (RESC/RSAS)</t>
  </si>
  <si>
    <t>Error message incorrectly written to Termination Display Log</t>
  </si>
  <si>
    <t>Term Org: Employee age is calculated incorrectly.</t>
  </si>
  <si>
    <t>Public Sector PAYG changes for 2009/2010 specifications</t>
  </si>
  <si>
    <t>PIF - Employment Status and Part Time Hours Effective Date</t>
  </si>
  <si>
    <t>Corrections provided for leave loading payments calculations</t>
  </si>
  <si>
    <t>Decoupled Info Types and Time problems (Infotype 573)</t>
  </si>
  <si>
    <t>MAX ATTENTION - Unable to update PA Infotype 2001</t>
  </si>
  <si>
    <t>Pub hol counted twice, which results in incorrect LL payment</t>
  </si>
  <si>
    <t>Infotype Fiscal Data Belgium (0101) - Legal cohabitation</t>
  </si>
  <si>
    <t>BELCOTAX: Error if fiscal year contains more than 12 months</t>
  </si>
  <si>
    <t>BELCOTAX: Zones for family situation validity correction</t>
  </si>
  <si>
    <t>Legal changes - Reporting Overtime Hours</t>
  </si>
  <si>
    <t>Non Recurring Result Bonus - New Maximum as of of 01.01.2010</t>
  </si>
  <si>
    <t>IT0125 Garnishment: Hiding the fields</t>
  </si>
  <si>
    <t>FINPROF: Dump when reading payroll retrocalculations</t>
  </si>
  <si>
    <t>Educational Leave (RPLDE1B8) - Problem to read absences</t>
  </si>
  <si>
    <t>Desription of values of 'Reorganization measure' revised</t>
  </si>
  <si>
    <t>DmfA/PPL 2006 Q1: No conversion of students worked days</t>
  </si>
  <si>
    <t>Payroll table 'Daydetail' - AMT field divided by 100</t>
  </si>
  <si>
    <t>DmfA: Remuneration code 1 extended by cumulations 5 and 8</t>
  </si>
  <si>
    <t>BSV00: Incorrect retrieval of /30E &amp; /30D of previous months</t>
  </si>
  <si>
    <t>BELCOTAX: wrong read of S.I. rate (option 'S' &amp; 'B' V_T5BX4)</t>
  </si>
  <si>
    <t>Fiscal Data Belgium (0101) Infotype - ST010 allowance</t>
  </si>
  <si>
    <t>BELCOTAX: Enhancements to Spool Log in Background Mode</t>
  </si>
  <si>
    <t>9LRET: Wrong values when the first period is an off-cycle</t>
  </si>
  <si>
    <t>HRCA_BRANCH_GETDETAIL: Performance improvement.</t>
  </si>
  <si>
    <t>PY-BR: Time dependency not working on V_T7BR90 and V_T7BR97</t>
  </si>
  <si>
    <t>RL1-Source of Box O is generated even when B15 is 0</t>
  </si>
  <si>
    <t>PY-CA-IE</t>
  </si>
  <si>
    <t>Interface</t>
  </si>
  <si>
    <t>OTMK: Business Number truncating in REGNR</t>
  </si>
  <si>
    <t>BPS : Bonus runs not being considered</t>
  </si>
  <si>
    <t>Combo outsource utility combines incorrect forms</t>
  </si>
  <si>
    <t>Reporting c/o information on employee T4 address</t>
  </si>
  <si>
    <t>PD7A report output results in error when run in background</t>
  </si>
  <si>
    <t>Inconsistency Error in P0224 in check schema K00T</t>
  </si>
  <si>
    <t>Canada Garnishment report corrections</t>
  </si>
  <si>
    <t>ROE First Day Worked Incorrect</t>
  </si>
  <si>
    <t>XML validation failure of RL2 when both RPA &amp; RPNA present</t>
  </si>
  <si>
    <t>ROE : Incorrect amount in 17C while using previous version</t>
  </si>
  <si>
    <t>Last Day Paid Not Updated after Importing ROE</t>
  </si>
  <si>
    <t>ROE Box 15B incorrect after Note 1364975</t>
  </si>
  <si>
    <t>ROE : Amounts in 15B/C incorrect in non-regular runs</t>
  </si>
  <si>
    <t>ROE: Incorrect first day worked</t>
  </si>
  <si>
    <t>EEA : New CMA's added</t>
  </si>
  <si>
    <t>PY-CA-TP</t>
  </si>
  <si>
    <t>3rd Party Remittance</t>
  </si>
  <si>
    <t>3PR : Garnishment table GRDOC not found for the peras</t>
  </si>
  <si>
    <t>RPURMR00 error during a retroactive change</t>
  </si>
  <si>
    <t>RPURMR00 dumps in some cases while running in background</t>
  </si>
  <si>
    <t>Infotype 0006 Switz: City F4 help for ext. postal code check</t>
  </si>
  <si>
    <t>Multi.payr.: Incorr SI wages and contr. w/ inactive RefPerNo</t>
  </si>
  <si>
    <t>Solidarity contribution statements as of 2010 (RPLASMC1)</t>
  </si>
  <si>
    <t>Withholding tax: Legal change for canton Geneva ISEL</t>
  </si>
  <si>
    <t>Revision of "AHV pay statement" report doc. (RPLAHVC1)</t>
  </si>
  <si>
    <t>ELM: Customizing Aktivitäten Behördenkommunikation</t>
  </si>
  <si>
    <t>Advance delivery "AKIS Lohn`08" at fiscal year change 2010</t>
  </si>
  <si>
    <t>PY-CL: HR Forms corrections</t>
  </si>
  <si>
    <t>Dummy note for CN EHP5 project</t>
  </si>
  <si>
    <t>XPRA, PCL2: Unable to convert payroll result for China</t>
  </si>
  <si>
    <t>Change of international code -&gt; revert</t>
  </si>
  <si>
    <t>Supplement: Form control for print output</t>
  </si>
  <si>
    <t>Bei Textpflege in Infotypen fehlt passendes Icon</t>
  </si>
  <si>
    <t>New Payroll Function for Creating Totals Using Wage Types</t>
  </si>
  <si>
    <t>Total Gross Amount and Statutory Net Pay Acc. to EBeschR</t>
  </si>
  <si>
    <t>Packages: Use Accesses/Package Interfaces</t>
  </si>
  <si>
    <t>PY-DE-BA</t>
  </si>
  <si>
    <t>Business to Admin.</t>
  </si>
  <si>
    <t>B2A: Korrekturen und Verbesserungen von int. Objekten</t>
  </si>
  <si>
    <t>B2A: Weitere Selektionsmöglichkeit für Report H99_B2AREORG</t>
  </si>
  <si>
    <t>Improvement to XML Processing</t>
  </si>
  <si>
    <t>LStB/LStA: Änderungen am Testreport RPUTX7D0</t>
  </si>
  <si>
    <t>Social Insurance: New Procedure for B2A Manager</t>
  </si>
  <si>
    <t>B2A: Keine Verarbeitung von Meldungen in Quarantäne</t>
  </si>
  <si>
    <t>LStB: Erweiterung des Prüfalgorithmus</t>
  </si>
  <si>
    <t>ETNotif./ETStmt: Adjustments for XML Schema 2010</t>
  </si>
  <si>
    <t>Construction Industr</t>
  </si>
  <si>
    <t>Saison-Kug 2009 / 2010: Auslieferung der Konstanten</t>
  </si>
  <si>
    <t>Aufwendungen: Wochenendheimfahrt nach 1390197</t>
  </si>
  <si>
    <t>Entgeltnachweis: untermonatiger Beginn von Kostenzuordnungen</t>
  </si>
  <si>
    <t>VL Arbeitgeberanteil: Kürzung bei Fehltagen ins Negative</t>
  </si>
  <si>
    <t>Electronic remuneration statement (ELENA)</t>
  </si>
  <si>
    <t>Besprechungsergebnis vom 18./19.05.2009</t>
  </si>
  <si>
    <t>Jahreswechsel 2009/2010 DEÜV</t>
  </si>
  <si>
    <t>DEÜV-Sofortmeldungen: Korrekturen (4)</t>
  </si>
  <si>
    <t>Knappschaft: Ablehnung von Meldungen mit DBKS951</t>
  </si>
  <si>
    <t>PY-DE-FP-PJ</t>
  </si>
  <si>
    <t>Payroll Journal</t>
  </si>
  <si>
    <t>Statement of earnings directive 2009</t>
  </si>
  <si>
    <t>PY-DE-NT-CI</t>
  </si>
  <si>
    <t>Company Insurance</t>
  </si>
  <si>
    <t>AVmG: Conversion of Remuneration from Multiannual Payments</t>
  </si>
  <si>
    <t>Fehler bei Rückzahlung überzahlter Versorgungsbezüge</t>
  </si>
  <si>
    <t>Jahreswechsel 2009/2010 Sozialversicherung</t>
  </si>
  <si>
    <t>DEÜV (Berufsständische Versorgung): Korrekturen (5)</t>
  </si>
  <si>
    <t>Red.Hrs./BadWtherPay</t>
  </si>
  <si>
    <t>Infotyp Behinderung: Prüfung auf Grad der Behinderung</t>
  </si>
  <si>
    <t>Pauschale SV-Erstattung in Abrechnung: Begrenzung auf BBG</t>
  </si>
  <si>
    <t>Neuer Ablaufplan für pauschaliertes Netto KuG ab 2010</t>
  </si>
  <si>
    <t>Fictitious gross amount too high if actual remun.is negative</t>
  </si>
  <si>
    <t>PY-DE-NT-SR</t>
  </si>
  <si>
    <t>Part time for pens.</t>
  </si>
  <si>
    <t>Abbau des Wertguthabens bei Erwerbsminderung</t>
  </si>
  <si>
    <t>Keine Förderung bei Beginn Altersteilzeit nach 31.12.2009</t>
  </si>
  <si>
    <t>Fiscal Year Change 2009/2010 in Tax</t>
  </si>
  <si>
    <t>Transfer GPR Quotas to a Different Personnel Number</t>
  </si>
  <si>
    <t>P3B: Rounding of Tax-Exempt Bonuses Section 3b and T5D2S</t>
  </si>
  <si>
    <t>Employment Tax Statement: Corrections 11/2009</t>
  </si>
  <si>
    <t>Datenüberlassung Steuerprüfer: XML-Datei wird nicht erzeugt</t>
  </si>
  <si>
    <t>ZfA: Gesetzliche Änderungen JW 2009/2010 (ZUSY-Release 16)</t>
  </si>
  <si>
    <t>ZfA: Neues BZ01-Meldungsformat (Zusy-Release 16)</t>
  </si>
  <si>
    <t>Minor corrections at time of synchronization</t>
  </si>
  <si>
    <t>Garantiebetrag bei erneuter Höhergruppierung</t>
  </si>
  <si>
    <t>Entfallen der PZ bei erneuter Stufensteigerung bzw. Höhergr.</t>
  </si>
  <si>
    <t>Enhancement to the allowance calculation for maternity pay</t>
  </si>
  <si>
    <t>Nettourlaubsentgelt bei Splitt am Monatsende</t>
  </si>
  <si>
    <t>Vorschlagswert Beginndatum Infotyp 0595 und 0118</t>
  </si>
  <si>
    <t>BÜZ: Warnung bei Prüfung der Pfändungsgrenze</t>
  </si>
  <si>
    <t>ZFA: Testreport 'Einnahmen' - Nachtrag 1</t>
  </si>
  <si>
    <t>Stufensteigerung: Meldung "Zukünftige tarifliche Umstufung"</t>
  </si>
  <si>
    <t>ZfA: Neue Version Public Section CL_HRPBSDE_ZFA_ADMIN</t>
  </si>
  <si>
    <t>Stufensteigerung: Ergebnis überschreitet Selektionszeitraum</t>
  </si>
  <si>
    <t>Höhergruppierung aus indiv. Stufe funktioniert nicht</t>
  </si>
  <si>
    <t>DNeuG: Corrections to RPLDNEUGD1 and RPLDNEUGD0_UEBF</t>
  </si>
  <si>
    <t>ZfA: Assignment of ZK01 Notifications - Name Comparison</t>
  </si>
  <si>
    <t>RPUVEODD: Format of Some Output Fields Is Incorrect</t>
  </si>
  <si>
    <t>Subtype of Secondary Infotype 0230 Is Empty</t>
  </si>
  <si>
    <t>ZfA: New BZ01 XML Format for Zusy Release 16</t>
  </si>
  <si>
    <t>Retroact.Pens.Insur.</t>
  </si>
  <si>
    <t>Adjustments to Smart Forms</t>
  </si>
  <si>
    <t>Pension Administr.</t>
  </si>
  <si>
    <t>Überarbeitung Adobe Formulare</t>
  </si>
  <si>
    <t>Referenzpersonalnummer aus Infotyp 0782 löst keine RR aus</t>
  </si>
  <si>
    <t>Referenzpersonalnummer aus Infotyp 782 löst keine RR aus (2)</t>
  </si>
  <si>
    <t>Fehlerhafte Dokumentation des Feldes Kapitalbetrag §58</t>
  </si>
  <si>
    <t>Red. Sec.57: No Need to Enter Pay Scale for End of Marriage</t>
  </si>
  <si>
    <t>Red. Sec. 57: Indiv. Inc. 01.01.90 w/ Single-Person Element</t>
  </si>
  <si>
    <t>Weitere Anrechnung mit ungültiger Lohnart möglich</t>
  </si>
  <si>
    <t>Kürzung § 57: Hochrechnung des begründeten Betrages</t>
  </si>
  <si>
    <t>Error in the Supplementary Pension Payroll (December 2009)</t>
  </si>
  <si>
    <t>Reorganisation der Prüfungen im Infotyp Zusatzversorgung</t>
  </si>
  <si>
    <t>Abmeldesatz: Kennzeichen Beschäftigungsverhältnis</t>
  </si>
  <si>
    <t>Annual Notification for Employees Who Left in 12</t>
  </si>
  <si>
    <t>Reversal of Deregistration for Years That Are Already Closed</t>
  </si>
  <si>
    <t>Display SP Employee Statement</t>
  </si>
  <si>
    <t>Incorrect Division by 12 for Suppl.Pension for Dec. Payroll</t>
  </si>
  <si>
    <t>Evaluation/Stats.</t>
  </si>
  <si>
    <t>BG-Lohnnachweis: Ablehnung von Personen ohne Arbeitsstunden</t>
  </si>
  <si>
    <t>RPLEHAD3 Schwerbehinderte in Altersteilzeit unter 18 Stunden</t>
  </si>
  <si>
    <t>RPLEHAD3: Änderungen zum Jahreswechsel 2009/21010</t>
  </si>
  <si>
    <t>Statements with Interactive Forms: Supplement 2</t>
  </si>
  <si>
    <t>Inclusion of SR Increase in Notional Net Calculations</t>
  </si>
  <si>
    <t>Corrections to Statements (International Parts) 02/09</t>
  </si>
  <si>
    <t>Corrections to statements 12/2009</t>
  </si>
  <si>
    <t>PM20 in SAP GUI for HTML/SAP GUI for Java</t>
  </si>
  <si>
    <t>Fehler im neuen PDF-Formular HR_DE_BW_WOHN</t>
  </si>
  <si>
    <t>AFI "Contribution Type" generates WinSuite error</t>
  </si>
  <si>
    <t>Negative VND base correction from prev. company certificate</t>
  </si>
  <si>
    <t>Text length for Economic Activity is not enough in T5EAE</t>
  </si>
  <si>
    <t>Artists: Not working properly when exceeds the monthly limit</t>
  </si>
  <si>
    <t>RPCAFIE0: New method for BADI HRPAYES_AFIE0</t>
  </si>
  <si>
    <t>Artists: Overlap absences and acting not working properly</t>
  </si>
  <si>
    <t>TC: IT in a next month treatment - SCRDI constant</t>
  </si>
  <si>
    <t>RPUEREE0 - Calendar generated automatically with problems</t>
  </si>
  <si>
    <t>Artists: New configuration for artists absences</t>
  </si>
  <si>
    <t>Off-cycle - Special payments</t>
  </si>
  <si>
    <t>Seniority - Employee rejected during payroll calculation</t>
  </si>
  <si>
    <t>RPCAFIE0: Update method in BADI HRPAYES_AFIE0 for DAM sgmt.</t>
  </si>
  <si>
    <t>ERE with delegated payment having rouding problems</t>
  </si>
  <si>
    <t>Artists: Minimum for contribution related to work wrong</t>
  </si>
  <si>
    <t>AFI - Incorrect movement processed during file generation</t>
  </si>
  <si>
    <t>FDI - Infotype 0768 not limited after an entry record</t>
  </si>
  <si>
    <t>ERE: FAN file has DAT segment duplicated.</t>
  </si>
  <si>
    <t>Maintain text button missing in the Fiscal Data infotype(62)</t>
  </si>
  <si>
    <t>TC: Number of days in segment EDLCD22</t>
  </si>
  <si>
    <t>RED 2009/15 - Changes in affiliation</t>
  </si>
  <si>
    <t>Erroneous 190 file for Biscay</t>
  </si>
  <si>
    <t>TC - Incorrect 'No Entregable' TemSe</t>
  </si>
  <si>
    <t>Incorrect /352 and /353 in case of unpaid absence</t>
  </si>
  <si>
    <t>Invalid message in infotype 0062 overview screen</t>
  </si>
  <si>
    <t>Passport number is not considered for bank transfer file</t>
  </si>
  <si>
    <t>FDI - Segments are not show in TemSe file visualization</t>
  </si>
  <si>
    <t>Company Certificate - Layout Corrections II</t>
  </si>
  <si>
    <t>Artists: Wage type wrongly cumulating in cumulation class 54</t>
  </si>
  <si>
    <t>TC: CCC selection</t>
  </si>
  <si>
    <t>RED 2009/15 - Changes in affiliation - Corrections I</t>
  </si>
  <si>
    <t>FI: Private Sector Statistics for Hourly employees</t>
  </si>
  <si>
    <t>HFICEDT0_ELETTER Encoding issue with the generated payslip</t>
  </si>
  <si>
    <t>HFILOTR0:Overtime report (Finland) goes into Endless Loop</t>
  </si>
  <si>
    <t>HFILTAX0:Tax code 105 has incorrect value</t>
  </si>
  <si>
    <t>Legal Change KELA Insurance Reporting from 07.2009</t>
  </si>
  <si>
    <t>EDI Version: Declaration d'Accident du Travail (RPLDATF2)</t>
  </si>
  <si>
    <t>FNABS: 'L' quota deduction error for overlapping absences</t>
  </si>
  <si>
    <t>DADSU: S45</t>
  </si>
  <si>
    <t>Error message it0424 and TRANA from T511K</t>
  </si>
  <si>
    <t>Grace period when MAT imm. foll. by MAL or ATT by MAL</t>
  </si>
  <si>
    <t>Wrong description text for the french wage-type: /106</t>
  </si>
  <si>
    <t>DADS: S51 contribution rate generated with wrong tag</t>
  </si>
  <si>
    <t>DADS: Wrong format of field S85.G91.00.004</t>
  </si>
  <si>
    <t>RPLDMOF0: Reference period not taken into consideration</t>
  </si>
  <si>
    <t>Update documentation of DADS-U report</t>
  </si>
  <si>
    <t>Entry for DADU missing in table T5F99SV</t>
  </si>
  <si>
    <t>Contrat reference not filled in S45 structure of RPLDRCF0</t>
  </si>
  <si>
    <t>Payroll funct. FIJSS generation of IJSS for blocked infotype</t>
  </si>
  <si>
    <t>Improvements in EDI IJSS statements</t>
  </si>
  <si>
    <t>Successive ITs 0429/ max. duration/ max. continued duration</t>
  </si>
  <si>
    <t>Segment field(COSTS table) not filled by XDEC</t>
  </si>
  <si>
    <t>CEDT Version of ME Payslip for releases 500 and above</t>
  </si>
  <si>
    <t>PY-GB-GR</t>
  </si>
  <si>
    <t>PY-GB-GR-AP</t>
  </si>
  <si>
    <t>Absence payments</t>
  </si>
  <si>
    <t>Incorrect Date Format in error messages while creating IT 88</t>
  </si>
  <si>
    <t>PY-GB-NT</t>
  </si>
  <si>
    <t>PY-GB-NT-GR</t>
  </si>
  <si>
    <t>Court Orders</t>
  </si>
  <si>
    <t>Changes to Update manager for SL1 and SL2 notice forms</t>
  </si>
  <si>
    <t>Statutory Form P11D and P11D(b) for 2009-10</t>
  </si>
  <si>
    <t>Upport of IT0070 Student Loan Checks in 604 release</t>
  </si>
  <si>
    <t>PY-GB-NT-NI</t>
  </si>
  <si>
    <t>National Insurance</t>
  </si>
  <si>
    <t>Incorrect Contracted-Out NIable Earnings(/306) in Payroll</t>
  </si>
  <si>
    <t>PY-GB-NT-RP</t>
  </si>
  <si>
    <t>Retirement Pension</t>
  </si>
  <si>
    <t>Increase in Pension Age for Women from Tax Year 2010</t>
  </si>
  <si>
    <t>PY-GB-NT-TX</t>
  </si>
  <si>
    <t>Changes to Operation of Tax codes D0 and NT</t>
  </si>
  <si>
    <t>RPUSWFG0 - issue with calculation of employee allowance</t>
  </si>
  <si>
    <t>XDEC: Issue with Benefit wagetypes of rejected Employees</t>
  </si>
  <si>
    <t>HESA Grade Table mapping issue</t>
  </si>
  <si>
    <t>SWF: Errors should not stop the data from being extracted</t>
  </si>
  <si>
    <t>HESA : Issues while generation and extraction</t>
  </si>
  <si>
    <t>Resetting Inyear Movements Notification Status</t>
  </si>
  <si>
    <t>IT442 TT and Door Plan Issue</t>
  </si>
  <si>
    <t>PY-GB : Enhancements to P45 Leaver Report</t>
  </si>
  <si>
    <t>Amendment of NI aggregation rules in EOY report</t>
  </si>
  <si>
    <t>Statutory Forms P14 and P35 for 2009-10</t>
  </si>
  <si>
    <t>RPUEFI_UPDATE program updates IT65 with incorrect start date</t>
  </si>
  <si>
    <t>P45 Leaver Report:Test for active &amp; duplicate issue of P45</t>
  </si>
  <si>
    <t>IYMV - Postcode containing zeroes</t>
  </si>
  <si>
    <t>End of Year Legal Changes 2009-10</t>
  </si>
  <si>
    <t>EOY report program does not report tax week and tax month</t>
  </si>
  <si>
    <t>Uncombined Contribution Rate in MPF Report (Bermuda)</t>
  </si>
  <si>
    <t>Incorrect Calculation for MPF Plan Begin in Middle Month</t>
  </si>
  <si>
    <t>Duplicate Records for Termination/Back Pay in HHKCPFC0(HSBC)</t>
  </si>
  <si>
    <t>Incorrect Contribution Date in Text File of Report HHKCPFB0</t>
  </si>
  <si>
    <t>FORM 1721 A1 alignment in personal detail area</t>
  </si>
  <si>
    <t>Supplementary Budget 2009 II -Annualisation income levy run</t>
  </si>
  <si>
    <t>Income levy exemption for 'Tax Basis' X.</t>
  </si>
  <si>
    <t>PY-IE: Income levy certificate 2009 period split error</t>
  </si>
  <si>
    <t>PY-IE:Short dump in EOY legal changes 2009</t>
  </si>
  <si>
    <t>PY-IE:Error in PRSI weeks calculation in retro scenario</t>
  </si>
  <si>
    <t>PY-IE:Special processing of PRSI error</t>
  </si>
  <si>
    <t>PY-IE:P35 reporting incorrectly</t>
  </si>
  <si>
    <t>Control Log generation for Form 16 Digital Signature</t>
  </si>
  <si>
    <t>ESI Reporting-Inconsistent in case of org. reassignment</t>
  </si>
  <si>
    <t>Inconsistency in Ann. report with 'Field Selection' selected</t>
  </si>
  <si>
    <t>Removal of dependency of TAN number on different parameters</t>
  </si>
  <si>
    <t>Inconsistency in case of retro after rehiring in last month</t>
  </si>
  <si>
    <t>Madhya Pradesh Profession Tax change in computation</t>
  </si>
  <si>
    <t>Multiple Ptax for multiple leaving and rehiring in a month</t>
  </si>
  <si>
    <t>FGM Projects</t>
  </si>
  <si>
    <t>Ptax Report-Inconsistent for the Quarterly reporting states</t>
  </si>
  <si>
    <t>Short Dump in Payroll after implementation of Note 1361644</t>
  </si>
  <si>
    <t>Incorrect projected Ptax basis for additional payments</t>
  </si>
  <si>
    <t>PTax deduction inconsistency incase of retro eligibility</t>
  </si>
  <si>
    <t>Form 16 not generated using the HRINESS_F16 transaction</t>
  </si>
  <si>
    <t>Discrepancy in page 2 and 3 Ptax report for West Bengal</t>
  </si>
  <si>
    <t>Changes to the inconsistency observed in Payroll Processing</t>
  </si>
  <si>
    <t>ESI Form 5 - Sorting based on ESI Insurance number</t>
  </si>
  <si>
    <t>Unable to add region having alphnum characters to oper INSTA</t>
  </si>
  <si>
    <t>HINCANN0: Annual Report unable to display amount &gt;999999999</t>
  </si>
  <si>
    <t>FGM issues during MIT</t>
  </si>
  <si>
    <t>PY-IN-PS</t>
  </si>
  <si>
    <t>INDIA PUBLIC SECTOR</t>
  </si>
  <si>
    <t>ESEP: Other Minor changes to requirements</t>
  </si>
  <si>
    <t>[ACC-IT] Usability</t>
  </si>
  <si>
    <t>HR-IT: LC Emens 2.3.3</t>
  </si>
  <si>
    <t>HR-IT: RPISCAI1- Infotype 8 update error when using subtypes</t>
  </si>
  <si>
    <t>HR-IT: Language of search help for field PA0305-CAUSA</t>
  </si>
  <si>
    <t>HR-IT: UniEmens new legal procedure</t>
  </si>
  <si>
    <t>HR-IT: Tipo Contribuzione 98 Split in Emens</t>
  </si>
  <si>
    <t>HR-IT: Temse viewer correction for CUD 2008</t>
  </si>
  <si>
    <t>HR-IT: UNIEmens Correction Package 1</t>
  </si>
  <si>
    <t>Incorrect Proration of Domestic Souce Income</t>
  </si>
  <si>
    <t>RPCECKJ0: Cannot Display Non-Resident Employees Correctly</t>
  </si>
  <si>
    <t>RPCEADJ0:Cannot Display Long Address for Tekiyo Overflow</t>
  </si>
  <si>
    <t>Cost Assignment for IT0560 Is Not Working</t>
  </si>
  <si>
    <t>PY-JP-RP</t>
  </si>
  <si>
    <t>RPCLIAJ1: Output Contents Do Not Match Their Header</t>
  </si>
  <si>
    <t>PY-KR</t>
  </si>
  <si>
    <t>Collective Korea YEA and Separation Corrections</t>
  </si>
  <si>
    <t>Korea YEA 2009 Year-End Legal Changes - Phase I</t>
  </si>
  <si>
    <t>Buttons disabled or not working in the report HLACTRM0</t>
  </si>
  <si>
    <t>Negative wage types resulting in negative variable SDI</t>
  </si>
  <si>
    <t>Entries in T52MENU for MX payroll calculation transactions</t>
  </si>
  <si>
    <t>Wrong adjustment for annual calculation of ISR</t>
  </si>
  <si>
    <t>Fecha de modificación de sueldo filled with zeros</t>
  </si>
  <si>
    <t>CP39/CP39A corrections for truncated STD/CP38 amount value</t>
  </si>
  <si>
    <t>LC 2009: CP39A form changes</t>
  </si>
  <si>
    <t>MY Budget 2010 - 1</t>
  </si>
  <si>
    <t>Tax less than 10 should be zeronised, I5LTR sorting error</t>
  </si>
  <si>
    <t>PY-MY : Section G of EA Form</t>
  </si>
  <si>
    <t>CP21 Form changes: Employee's foreign address can be used.</t>
  </si>
  <si>
    <t>Add. Terms of Employm.:Normal Calc.Per.when Leaving possible</t>
  </si>
  <si>
    <t>YELC2010:Transition of Prem.Exempt. to Prem.Reduction eld.EE</t>
  </si>
  <si>
    <t>YELC2010: Premium Reduction NL pro rated for Stage and VMBO</t>
  </si>
  <si>
    <t>YELC2010: Company Car - New pollution category 'D'</t>
  </si>
  <si>
    <t>Aangifte LH: Duplicate entry in B2A-manager blocks process</t>
  </si>
  <si>
    <t>Aangifte LH: Changes to Loonaangifte for 2010</t>
  </si>
  <si>
    <t>Correction of SAP Administrative information</t>
  </si>
  <si>
    <t>YELC2010:Life-Course Withdr.for 61 years and older (Payroll)</t>
  </si>
  <si>
    <t>FlexBenNL: RPIFBLN0: Field "Next increase" is not cleared</t>
  </si>
  <si>
    <t>Validation of Municipality number in Infotype 0173</t>
  </si>
  <si>
    <t>Uploading the Max date for Maternity from NAV</t>
  </si>
  <si>
    <t>PY-NO-PS</t>
  </si>
  <si>
    <t>Payroll Norway - PS</t>
  </si>
  <si>
    <t>SPK : Absence limit days is changed to 14 days</t>
  </si>
  <si>
    <t>RPSSBLV0: Incorrect Position Code in the Temse file output</t>
  </si>
  <si>
    <t>Payroll Non-profit O</t>
  </si>
  <si>
    <t>CLC</t>
  </si>
  <si>
    <t>[CLC] New country Software Components for NPO</t>
  </si>
  <si>
    <t>HNZLKED0 not reporting employees appropriately</t>
  </si>
  <si>
    <t>Legal Change: Payroll Giving</t>
  </si>
  <si>
    <t>EMS &amp;  Remittance incorrect when Personal area changes</t>
  </si>
  <si>
    <t>RPCIIDP0: Adjustment to Customer Function 001</t>
  </si>
  <si>
    <t>PA: Russia</t>
  </si>
  <si>
    <t>HR-RU: RUSPL P?A wrongly detect relevancy after note 1328992</t>
  </si>
  <si>
    <t>HR-RU: Wrong first payroll run in year error in SETCU</t>
  </si>
  <si>
    <t>HR-RU: Old processing of AVERA adjustment in off-cycle</t>
  </si>
  <si>
    <t>HR-RU: EHP5+ preparation in SAP_HR</t>
  </si>
  <si>
    <t>Law 202-FZ:Income Tax Relief on Imputed Income of RE Loan</t>
  </si>
  <si>
    <t>HR-RU: Documentation and Glossary for ESN Replacement</t>
  </si>
  <si>
    <t>RUBRG: Several fields of BT are empty if payee is a creditor</t>
  </si>
  <si>
    <t>HR-RU: Loan is wrong if several records in P0078 on one day</t>
  </si>
  <si>
    <t>HR-RU: View V_T7RUT1 incorrectly shows tax privileges</t>
  </si>
  <si>
    <t>HR-RU: Time dependance of payee data in payroll</t>
  </si>
  <si>
    <t>HR_RU_GET_EVALUATION_PERIODS split was removed after retro</t>
  </si>
  <si>
    <t>HR-RU: Processing of pending garnishments documents</t>
  </si>
  <si>
    <t>Alecta: Corrections to reporting of Events</t>
  </si>
  <si>
    <t>SNAB:Absence valuation rule does not change in special cases</t>
  </si>
  <si>
    <t>Enhancement of Tax Information Reports for XML</t>
  </si>
  <si>
    <t>RPLGAXS0: Handling for monthly employees</t>
  </si>
  <si>
    <t>RPCALCS0:Incorrect union deductions for metall when retro</t>
  </si>
  <si>
    <t>RPCKU1S0: taxable gross reported incorrectly in file</t>
  </si>
  <si>
    <t>RPLSPPS2: Short dump in report due to field H29</t>
  </si>
  <si>
    <t>RPSSBSS0: Incorrect information on TemSe file</t>
  </si>
  <si>
    <t>RPSSFMS0: No vacation entitlement if EE not worked full year</t>
  </si>
  <si>
    <t>Vacation in advance:5 year rule not working in specific case</t>
  </si>
  <si>
    <t>RPSSFDS0: Incorrect output for same org no &amp; diff work place</t>
  </si>
  <si>
    <t>Problem with payroll annual display reports.</t>
  </si>
  <si>
    <t>BIK amt not reported in IR8A, misalignment in IR8E sapscript</t>
  </si>
  <si>
    <t>SG-Payroll : Excess AW not calculated for rehired employee</t>
  </si>
  <si>
    <t>IR8A &amp; IR21 : More than 40 character in employee's name</t>
  </si>
  <si>
    <t>PY-SG-PS</t>
  </si>
  <si>
    <t>MSO AW Capping by months incorrect for multiple bonus case.</t>
  </si>
  <si>
    <t>PY-TH:PIT91 form developed using TIMES font family</t>
  </si>
  <si>
    <t>50BIS displays incorrect condition flag</t>
  </si>
  <si>
    <t>Performance Enhancement for Report HTWCWTR0</t>
  </si>
  <si>
    <t>TW: Occupational Risk with Industry Category and Communing</t>
  </si>
  <si>
    <t>OOS: CRT/TCRT cumulation incorrect during OOS processing.</t>
  </si>
  <si>
    <t>PAY: Multiple cumulations in CRT for wage type /5UT.</t>
  </si>
  <si>
    <t>MISC: Changing Person Responsible for US Objects</t>
  </si>
  <si>
    <t>PY-US-BSI</t>
  </si>
  <si>
    <t>Tax Interface BSI</t>
  </si>
  <si>
    <t>IT0210: Incorrectly allows Filing status 00 for any state.</t>
  </si>
  <si>
    <t>Garnishments: Adjustments erroneously deducted twice.</t>
  </si>
  <si>
    <t>PY-US-PS</t>
  </si>
  <si>
    <t>US-PS: Absence Donation incorrect valuation of wage types</t>
  </si>
  <si>
    <t>US-PS: Error when trying to return unused leave donation</t>
  </si>
  <si>
    <t>Cost Center Report changed to include WBS elements.</t>
  </si>
  <si>
    <t>CE: Prenotification does not display new Other Bank data.</t>
  </si>
  <si>
    <t>Cost Centre Report: Incorrect display of WBS element</t>
  </si>
  <si>
    <t>REC: Payroll Area selection by Reconciliation Report.</t>
  </si>
  <si>
    <t>PY-US-TP</t>
  </si>
  <si>
    <t>3PR: IT0031 payr. results: incorrect eval. error msg.</t>
  </si>
  <si>
    <t>3PR: incorrect error msg for missing pernr name</t>
  </si>
  <si>
    <t>3PR: To skip 3G 116 -"no payroll result" warning message</t>
  </si>
  <si>
    <t>3PR: Incorrect amount evaluated for the remittance wage type</t>
  </si>
  <si>
    <t>3PR: Home address does not exist at date - error message</t>
  </si>
  <si>
    <t>3PR: Rollback for rejected employee</t>
  </si>
  <si>
    <t>3PR: missing posting for configurated wage type</t>
  </si>
  <si>
    <t>3PR: incorrect company code / business area in 3PR eval</t>
  </si>
  <si>
    <t>3PR: CE: Employee skipped when active results exist</t>
  </si>
  <si>
    <t>3PR: Entry in T51R6_fundinfo cannot be deleted</t>
  </si>
  <si>
    <t>3PR: Posting tax wage types without Remittancing</t>
  </si>
  <si>
    <t>SUI XML: Miscellaneous errors with XML file download.</t>
  </si>
  <si>
    <t>TAX: Corrections to SAP Note 1360165.</t>
  </si>
  <si>
    <t>TAX: Wisconsin's Advanced Earned Income Credit (EIC) Payment</t>
  </si>
  <si>
    <t>Legal Change Prestacional Regime House and Habitat Law</t>
  </si>
  <si>
    <t>Changes reporting taxes information for SENIAT II</t>
  </si>
  <si>
    <t>RPCALCU0 - retro allows going past PA03 earliest retro date</t>
  </si>
  <si>
    <t>No warning msg when subtype is empty for IT0128 in PA70</t>
  </si>
  <si>
    <t>Corrections in infotypes (2)</t>
  </si>
  <si>
    <t>PY-XX-BS</t>
  </si>
  <si>
    <t>Unable to display the ABAP code of a function from Schemas</t>
  </si>
  <si>
    <t>XPRA, PCL2: Corrections for conversion of BT</t>
  </si>
  <si>
    <t>Missing archived payroll result directory</t>
  </si>
  <si>
    <t>Long runtime for TEMSE viewer report RPUTSV00</t>
  </si>
  <si>
    <t>Payroll archived results are read incorrectly</t>
  </si>
  <si>
    <t>Some cluster B2 records still have the wrong version</t>
  </si>
  <si>
    <t>Endless loop when processing payroll</t>
  </si>
  <si>
    <t>PY-XX-DME</t>
  </si>
  <si>
    <t>Preliminary DME</t>
  </si>
  <si>
    <t>Some pre-DME log texts are incorrect for CE</t>
  </si>
  <si>
    <t>Some pre-DME errors are not displayed in the tree view</t>
  </si>
  <si>
    <t>Field LIFNR does not conform to ALPHA conversion rule</t>
  </si>
  <si>
    <t>PY-XX-DT</t>
  </si>
  <si>
    <t>Posting</t>
  </si>
  <si>
    <t>RPCIPE00: Account assignments in tax lines</t>
  </si>
  <si>
    <t>RPCIPE01: Negative Posting</t>
  </si>
  <si>
    <t>RPCIPE0*, RPCIPP00: Misleading message B1 889</t>
  </si>
  <si>
    <t>RPCIPE00/RPCIPE01: No statistics for errors in backgrnd job</t>
  </si>
  <si>
    <t>RPCIPE00_OLD: Alt. document type for month end accruals</t>
  </si>
  <si>
    <t>XLIDI: Table LIFL in retroactive accounting</t>
  </si>
  <si>
    <t>RPCIPE01: Dump SAPSQL_ARRAY_INSERT_DUPREC</t>
  </si>
  <si>
    <t>RPCIPE01: Selecting a sequence number</t>
  </si>
  <si>
    <t>RPCIPE01: Budget period is not filled</t>
  </si>
  <si>
    <t>RPCIPE00: Cost planning - Payroll area selection</t>
  </si>
  <si>
    <t>RPCIPE01CE PM: RT_PERSON wage types not evaluated</t>
  </si>
  <si>
    <t>RPCIPE01 PM: Termination if clearing acct is not maintained</t>
  </si>
  <si>
    <t>RPCIPE01: Revision display (RPCIPD00) for run type PM</t>
  </si>
  <si>
    <t>Revision of RPCIP_DOCUMENT_ANALYSE</t>
  </si>
  <si>
    <t>RPCIPE01CE: Dump if start date for CE is set incorrectly</t>
  </si>
  <si>
    <t>RPCIPE01 PM: Symbolic account does not exist</t>
  </si>
  <si>
    <t>RPCIPE00: Incorrect posting date in accruals posting 2</t>
  </si>
  <si>
    <t>Posting runs are not archived completely</t>
  </si>
  <si>
    <t>RPDKON00: Performance</t>
  </si>
  <si>
    <t>RPCIPE00: Checking commitment period with end date</t>
  </si>
  <si>
    <t>RPCIP_DOCUMENT_ANALYSE: Authorization check (2)</t>
  </si>
  <si>
    <t>Short dump "time out" in offcycle workbench w/ reversal</t>
  </si>
  <si>
    <t>RPCIPE00: Payroll simulation</t>
  </si>
  <si>
    <t>RPCIPE01 Posting in original period only is not supported</t>
  </si>
  <si>
    <t>RPCIPE01: Process Workbench</t>
  </si>
  <si>
    <t>RPCIPE01: Documentation has been adjusted</t>
  </si>
  <si>
    <t>PY-XX-FO</t>
  </si>
  <si>
    <t>Forms</t>
  </si>
  <si>
    <t>PE51: Conversion in form leads to disappearing minus sign</t>
  </si>
  <si>
    <t>PY-XX-FO-PR</t>
  </si>
  <si>
    <t>Payroll Reports</t>
  </si>
  <si>
    <t>H99CWTR0 - gives wrong output during retro changes</t>
  </si>
  <si>
    <t>PY-XX-IE</t>
  </si>
  <si>
    <t>OT:  Adding Begda/Endda to PR segment</t>
  </si>
  <si>
    <t>PY-XX-IT</t>
  </si>
  <si>
    <t>Interface Toolbox</t>
  </si>
  <si>
    <t>PU12: Download of TemSe in Binary form truncates for unicode</t>
  </si>
  <si>
    <t>PU12: Performance issue with automatic conversion</t>
  </si>
  <si>
    <t>PU12 Export Payroll results in retro period is incorrect</t>
  </si>
  <si>
    <t>PY-XX-OC</t>
  </si>
  <si>
    <t>Off-Cycle</t>
  </si>
  <si>
    <t>T52OCG not updated during OC run for IT0221 subtype ADJT</t>
  </si>
  <si>
    <t>H99_SELECT_PERNR_MASS_BONUS - wrong payroll reason</t>
  </si>
  <si>
    <t>No T52OCG entry for out of sequence reversal in non-CE OCWB</t>
  </si>
  <si>
    <t>Some payments empty or not displayed in Replace/Reverse tabs</t>
  </si>
  <si>
    <t>OCWB dumps after restricting IT0009 subtype permissions</t>
  </si>
  <si>
    <t>No T52OCG record after voiding a PY result created from OCWB</t>
  </si>
  <si>
    <t>PY-XX-PF</t>
  </si>
  <si>
    <t>Payroll Functions</t>
  </si>
  <si>
    <t>Loan get deleted although loan payment Infotype still exist</t>
  </si>
  <si>
    <t>Loans: RPCLOF00 displays incorrect New Balance</t>
  </si>
  <si>
    <t>Special pymnt: Reduction in entitlement w/o damaging measure</t>
  </si>
  <si>
    <t>PE04: Transport of functions does not work</t>
  </si>
  <si>
    <t>PY-XX-PS</t>
  </si>
  <si>
    <t>Internat. funct. PS</t>
  </si>
  <si>
    <t>RPUSTRCL_COSTS does not import all the COSTS related tables</t>
  </si>
  <si>
    <t>Field OBJPS for infotype 0716 is not filled in batch</t>
  </si>
  <si>
    <t>PY-XX-PT</t>
  </si>
  <si>
    <t>Eval.of Time Data</t>
  </si>
  <si>
    <t>PAB: Valuation according to quota deduc for prev day assgmt</t>
  </si>
  <si>
    <t>Reuse Serv. for Co.D</t>
  </si>
  <si>
    <t>Translation Issues with Objects from Package DEVC P99B</t>
  </si>
  <si>
    <t>Missing text element for the HR application log</t>
  </si>
  <si>
    <t>DAQ: PD infotypes casting in Unicode Systems</t>
  </si>
  <si>
    <t>DAQ correction for join option and conditions</t>
  </si>
  <si>
    <t>Error when reading TemSe files including type P fields</t>
  </si>
  <si>
    <t>Update in type group P99SF</t>
  </si>
  <si>
    <t>Changing package in DAQ tables</t>
  </si>
  <si>
    <t>SAP Default value for legal option not considered</t>
  </si>
  <si>
    <t>Function module does not raise any exception for error.</t>
  </si>
  <si>
    <t>PY-XX-TL</t>
  </si>
  <si>
    <t>Tools</t>
  </si>
  <si>
    <t>CE: process model - dump SAPSQL_ARRAY_INSERT_DUPREC</t>
  </si>
  <si>
    <t>Process Manager: breakpoint parameter removed</t>
  </si>
  <si>
    <t>HR_PAYROLL: Schema in variant cannot be overwritten</t>
  </si>
  <si>
    <t>CE: process model - incorrect Matchcode W processing</t>
  </si>
  <si>
    <t>PU01: short dump CONVT_NO_NUMBER</t>
  </si>
  <si>
    <t>Recall of payroll for a personnel number (III)</t>
  </si>
  <si>
    <t>XX</t>
  </si>
  <si>
    <t>XX-TRANSL</t>
  </si>
  <si>
    <t>XX-TRANSL-FR</t>
  </si>
  <si>
    <t>Translation FR</t>
  </si>
  <si>
    <t>Wrong translation in French of smart form HR_CH_ERC</t>
  </si>
  <si>
    <t>SAPKE60417</t>
  </si>
  <si>
    <t>RBM: Changes in MI01 format as of Jan/08/2010 (Release R04a)</t>
  </si>
  <si>
    <t>DecavaA: master data 3270 &amp; 3271 - initial delivery</t>
  </si>
  <si>
    <t>TAX: Legal changes effective January 1, 2010</t>
  </si>
  <si>
    <t>YE09 : CRA Forms for Year End 2009</t>
  </si>
  <si>
    <t>YE09: Corrections due to MRQ XML schema changes</t>
  </si>
  <si>
    <t>YE09:T4/RL1 Combo form for Year end 2009</t>
  </si>
  <si>
    <t>YE09 : MRQ forms for Year end 2009</t>
  </si>
  <si>
    <t>YE09:Changes due to CRA XML Schema revision</t>
  </si>
  <si>
    <t>Business to Administration</t>
  </si>
  <si>
    <t>ELENA: Corrections for the ELENA procedure (B2A)</t>
  </si>
  <si>
    <t>PY-DE-FP-EL</t>
  </si>
  <si>
    <t>ELENA</t>
  </si>
  <si>
    <t>ELENA/SI: Changes after fiscal year change SP 2009/2010</t>
  </si>
  <si>
    <t>Correction: Changes to garnishment infotypes</t>
  </si>
  <si>
    <t>Factoring procedure for flat rate net reduced hours</t>
  </si>
  <si>
    <t>PAP 2010 Changes: Tax Exemption Amt for Dependent Children</t>
  </si>
  <si>
    <t>ZfA: Test Report for Income - Supplement 2</t>
  </si>
  <si>
    <t>ZfA: BZ01 GebOrt duplicated (Zusy Release 16 - supplement 1)</t>
  </si>
  <si>
    <t>Removing the search help from selection option of RPUDRIG0</t>
  </si>
  <si>
    <t>Korea YEA 2009 Year-End Legal Changes - Phase II</t>
  </si>
  <si>
    <t>YELC2010: Small Job Regulation and other changes</t>
  </si>
  <si>
    <t>YELC2010: Tax tables for 2010 (part 2)</t>
  </si>
  <si>
    <t>ATS: Sequence no. when multiple EEs with same Personnel ID</t>
  </si>
  <si>
    <t>FORA Report: Year end Legal changes for 2009</t>
  </si>
  <si>
    <t>Sweden : Year end legal changes 2009/2010</t>
  </si>
  <si>
    <t>Year End 2009 Phase II for U.S. Tax Reporter.</t>
  </si>
  <si>
    <t>SAPKE60418</t>
  </si>
  <si>
    <t>Correction to 0EMPLOYEE_ATTR_CE</t>
  </si>
  <si>
    <t>MSS EHP4 Position Profile Search Iview is not working</t>
  </si>
  <si>
    <t>FI-TV documentation changes</t>
  </si>
  <si>
    <t>Accessibility in account assignment block</t>
  </si>
  <si>
    <t>Reusability: Domain or data element</t>
  </si>
  <si>
    <t>Performance problem with HR Benefits Extractor</t>
  </si>
  <si>
    <t>Concurrent Employment - Personnel Management</t>
  </si>
  <si>
    <t>Contract types 204, 205 and 206</t>
  </si>
  <si>
    <t>DDIC Auslieferung für IT 0527</t>
  </si>
  <si>
    <t>ALE - IT 0021 - No data for secondary IT 0138</t>
  </si>
  <si>
    <t>HR-BR:Unicode correction for view 0397 of IT0021</t>
  </si>
  <si>
    <t>IT0004: No error message if values are invalid (DE)</t>
  </si>
  <si>
    <t>Modifications to improve corrective DADSU</t>
  </si>
  <si>
    <t>Dump in program LHRFPBS3F01</t>
  </si>
  <si>
    <t>Status History Popup: ALV toolbar has no Cancel button</t>
  </si>
  <si>
    <t>Impossible to compare two different training plans</t>
  </si>
  <si>
    <t>TNM: IMG for 2483</t>
  </si>
  <si>
    <t>Current Attendees Number is not updated correctly</t>
  </si>
  <si>
    <t>IT0006:Input Help of Municipal City Code Not Correct</t>
  </si>
  <si>
    <t>RPCECKJ0: Sort Function Missing in the Selection Screen</t>
  </si>
  <si>
    <t>IT0146: The Sreen Length of Fields HSDED and HSLOA Is Short</t>
  </si>
  <si>
    <t>JP Corporate Pension Plan Participant Group Adjustment</t>
  </si>
  <si>
    <t>Pension Plan Basis Payment Caculation Adjustment</t>
  </si>
  <si>
    <t>Report RPCEIAJ0: Calculate Monthly Wage Amount Incorrectly</t>
  </si>
  <si>
    <t>Report RPCSILJ0: Output Dependents' Information Incorrectly</t>
  </si>
  <si>
    <t>IT3203 and IT3204: 4 Related Issues for Rehiring(Retirement)</t>
  </si>
  <si>
    <t>Correct Modification Groups for Screen Control of IT 0021</t>
  </si>
  <si>
    <t>IT0544:Long Term Care Insurance Premium Result is Incorrect</t>
  </si>
  <si>
    <t>Lock/unlock button throws error in Infotype 0199</t>
  </si>
  <si>
    <t>PA-PA-NO</t>
  </si>
  <si>
    <t>RPTEMFV0: No sorting order in the output ALV display</t>
  </si>
  <si>
    <t>IT0173: Municipality text missing in PA30 overview screen</t>
  </si>
  <si>
    <t>Changes in closed records of infotype 0331 (Tax PT)</t>
  </si>
  <si>
    <t>HR-RU: Length of manager data in order reports (T#)</t>
  </si>
  <si>
    <t>Tax Class search-help dump ITAB_ILLEGAL_SORT_ORDER</t>
  </si>
  <si>
    <t>HRUA_LABOR_CONTRACT: there is not manager's data</t>
  </si>
  <si>
    <t>HRUAORD0: field MOLGA is not filled in feature 33ORD</t>
  </si>
  <si>
    <t>HR-RU: Action 'Right to tax relief on real estate purchase'</t>
  </si>
  <si>
    <t>Infotype 0294, problem with working conditions search help</t>
  </si>
  <si>
    <t>SNOTE: error after upgrade from HR-CEECRU onto SAP_HRCRU</t>
  </si>
  <si>
    <t>HRULPFP5: paid absence after firing</t>
  </si>
  <si>
    <t>HR-RU: HRULPFP5 - problem with deduction of periods</t>
  </si>
  <si>
    <t>HRUAORD0: incorrect data update of a grouping order</t>
  </si>
  <si>
    <t>HR_RU_GET_1_NDFL_NUMBER enhancement</t>
  </si>
  <si>
    <t>Print Error of Award Order</t>
  </si>
  <si>
    <t>HRULP4: Lenght of field IT_PART1-VALUE_05 is not sufficient</t>
  </si>
  <si>
    <t>ADV-1, ADV-2, ADV-3: document name in the PDF form</t>
  </si>
  <si>
    <t>T-2: OKPO code isn't provided into the PDF-form</t>
  </si>
  <si>
    <t>HRUAORD0: individual orders are not combined within 1 day</t>
  </si>
  <si>
    <t>HRULPFP5: 1 day of related absence doesn't exist in the form</t>
  </si>
  <si>
    <t>IT0298: Standard Texts of the Infotype are displayed wrongly</t>
  </si>
  <si>
    <t>Incorrectly Occupation Injury Premium</t>
  </si>
  <si>
    <t>VETS-100A Report: Extra dash in EINUM and DUNS number</t>
  </si>
  <si>
    <t>Infotypes 1612, 1613: Previous, Next buttons out of order.</t>
  </si>
  <si>
    <t>PRN: Additional manual status changes for MI01 notification</t>
  </si>
  <si>
    <t>Pension rcpt notif: MZ01 corrections/enhancements (JAN/2010)</t>
  </si>
  <si>
    <t>Pension rcpt notif: Separate nodes for notifs in in/outb log</t>
  </si>
  <si>
    <t>Funds and Position Management</t>
  </si>
  <si>
    <t>Personnel Budget Plan Management</t>
  </si>
  <si>
    <t>Formal error correction</t>
  </si>
  <si>
    <t>PE-DA</t>
  </si>
  <si>
    <t>Day-to-Day Activities</t>
  </si>
  <si>
    <t>Change course: Infotypes maintained disappear</t>
  </si>
  <si>
    <t>DBIF_RSQL_INVALID_RSQL when changing an event</t>
  </si>
  <si>
    <t>PE-IN</t>
  </si>
  <si>
    <t>Integration</t>
  </si>
  <si>
    <t>PV17: Incorrect billing address</t>
  </si>
  <si>
    <t>PE-RA</t>
  </si>
  <si>
    <t>Recurring Activities</t>
  </si>
  <si>
    <t>Address' house number is not taken into account in billing</t>
  </si>
  <si>
    <t>HR_TIME_RESULTS_GET: Entries not output in ZES</t>
  </si>
  <si>
    <t>PP61: Sorting when printing in the classic design</t>
  </si>
  <si>
    <t>IBD calculation doesn't include last split periods</t>
  </si>
  <si>
    <t>Incorrect updated of initial screen of Infotype 551 in PA30</t>
  </si>
  <si>
    <t>Type of relation '00' generated in payroll journal report</t>
  </si>
  <si>
    <t>HARCTER0: Incorrect date/periods on termination</t>
  </si>
  <si>
    <t>Contributions for vacation provision in termination</t>
  </si>
  <si>
    <t>Better remuneration for SAC greater than expected</t>
  </si>
  <si>
    <t>Tax tables - values for 2010</t>
  </si>
  <si>
    <t>HARCALC0: BCD_ZERODIVIDE short dump on function HARCIMPU</t>
  </si>
  <si>
    <t>Duplicated remuneration from other employer in Form 649</t>
  </si>
  <si>
    <t>HARCALC0: ARSAC should not check for absences in off-cycles</t>
  </si>
  <si>
    <t>Deducted tax considers twice the balance due in Form 649</t>
  </si>
  <si>
    <t>Res. 135/09 - Base Remun. Social Ins. Withholdings - ARPRV 2</t>
  </si>
  <si>
    <t>Correction on IBD calculation for Absence Periods</t>
  </si>
  <si>
    <t>Sozialversicherung, Altersteilzeit und ALV</t>
  </si>
  <si>
    <t>JW 2009/10: Neue AV-Grenzbeträge ab 2010</t>
  </si>
  <si>
    <t>JW 2009/10: unpfändbare Freibeträge</t>
  </si>
  <si>
    <t>PCALZ: Wechsel der AG Nummer</t>
  </si>
  <si>
    <t>JW 2009/10: Dienstgeberzuschlag FLAF (DZ) Kammerumlage II</t>
  </si>
  <si>
    <t>JW 2009/10: Pension, Aufwertungzahl SV</t>
  </si>
  <si>
    <t>Retro termination : Full taxable gross is incorrect.</t>
  </si>
  <si>
    <t>PS listing : Results not generated for previous years</t>
  </si>
  <si>
    <t>Tax incorrect when leave loading(marginal tax) paid.</t>
  </si>
  <si>
    <t>Incorrect Super perc. displayed in Log,RESC amount incorrect</t>
  </si>
  <si>
    <t>RESC and FE amount not getting updated on IT 626 record</t>
  </si>
  <si>
    <t>Superable /142 overstated during MPT</t>
  </si>
  <si>
    <t>Split ETP : details update to infotype unsuccessful</t>
  </si>
  <si>
    <t>SGC percent overwritten causing incorrect display in log</t>
  </si>
  <si>
    <t>ABAP Dump when LSA amount greater than $1000</t>
  </si>
  <si>
    <t>Function QLLAD - Leave loading amount rounding issue</t>
  </si>
  <si>
    <t>Tax on back payments is calculated incorrectly.</t>
  </si>
  <si>
    <t>PIA - Taxable gross incorrect due to leave loading splits</t>
  </si>
  <si>
    <t>Advance Payment Extra Tax Calculation</t>
  </si>
  <si>
    <t>Taxable gross doubled - Operation QLLAD has been corrected</t>
  </si>
  <si>
    <t>HR-PS:PAYG changes for 2009/2010 specifications Corrections</t>
  </si>
  <si>
    <t>Incorrect annual leave payments upon Termination.</t>
  </si>
  <si>
    <t>Update of documentation</t>
  </si>
  <si>
    <t>RPTGENB0: Cluster PC not updated but IT0003 has been updated</t>
  </si>
  <si>
    <t>ER Tax Subsidy for Administrators</t>
  </si>
  <si>
    <t>RPTGENBO: Illnesses not extended to half day absences</t>
  </si>
  <si>
    <t>RPTGENB0: Carence day wrongly generated on half day absence</t>
  </si>
  <si>
    <t>DecavaA: master data 3270 &amp; 3271 - behavioral corrections</t>
  </si>
  <si>
    <t>BELCOTAX: BETAX using master data for each declaration year</t>
  </si>
  <si>
    <t>Educational Leave (RPLDE1B8) - problem with counting rules</t>
  </si>
  <si>
    <t>BELCOTAX: Rounding of zones without decimals in final result</t>
  </si>
  <si>
    <t>Legal change - Key formula 01012010</t>
  </si>
  <si>
    <t>BELCOTAX: 2nd batch of enhancements to background spool-log</t>
  </si>
  <si>
    <t>BELCOTAX/FINPROF: new option to read payroll data</t>
  </si>
  <si>
    <t>Legal change - Advantage Company Car</t>
  </si>
  <si>
    <t>Garnishment - New threshold values as of 01.01.2010</t>
  </si>
  <si>
    <t>FINPROF: Last period and amount fields limited to 13 digits</t>
  </si>
  <si>
    <t>Payroll Belgium: Rule B030 and Activa bases /515 correction</t>
  </si>
  <si>
    <t>MANAD: Duplicated wage types in block k200</t>
  </si>
  <si>
    <t>Accessibility corrections in Brazilian PDF forms</t>
  </si>
  <si>
    <t>HR_BR_READ_TEMSE_FIELD: correction of temse line size</t>
  </si>
  <si>
    <t>Christmas Bonus' Average of Maternity on Termination</t>
  </si>
  <si>
    <t>HBRSEF00: Field 22 of rec. type 30 is not filled.</t>
  </si>
  <si>
    <t>Duplicated amount of union contribution</t>
  </si>
  <si>
    <t>MANAD: K100 is not generated if there is a split in T527X</t>
  </si>
  <si>
    <t>CAGED: Legal Change following ACI 3.20 New Law 4923/65</t>
  </si>
  <si>
    <t>SEFIP: Movement V3 is not being generated</t>
  </si>
  <si>
    <t>GRRF: Miscalculation of Field 27 of Record 40</t>
  </si>
  <si>
    <t>MANAD: K150 records are not generated</t>
  </si>
  <si>
    <t>HBRGPS00: GPS is not considering AJUS off-cycles</t>
  </si>
  <si>
    <t>TAX : Updated changes effective January 1, 2010</t>
  </si>
  <si>
    <t>Additional changes to CRA forms for Year end 2009</t>
  </si>
  <si>
    <t>T4A Redesign for Box 26 and Box 27</t>
  </si>
  <si>
    <t>Original Releve# is missing on amended Releve1</t>
  </si>
  <si>
    <t>TAX: Changes for constants related to NT and QC</t>
  </si>
  <si>
    <t>YE09 : Incorrect wagetype application for T4A</t>
  </si>
  <si>
    <t>W/H tax acctg: Corr. of W/H tax adjustment not displayed</t>
  </si>
  <si>
    <t>FEF payroll (C6): No results for change of payroll unit</t>
  </si>
  <si>
    <t>Adjustments to different documentation ISEL</t>
  </si>
  <si>
    <t>FAK: Bonus is paid in inactive month</t>
  </si>
  <si>
    <t>Delivery of IF annual payroll for "AKIS-Lohn`08" format</t>
  </si>
  <si>
    <t>LAW2005 and bar code: Error messages not displayed correctly</t>
  </si>
  <si>
    <t>Maternity ins. Geneva: New contrib. rates as of Jan 01, 2010</t>
  </si>
  <si>
    <t>T52D1: Deleting processing classes that are not used</t>
  </si>
  <si>
    <t>ISEL: Family-related bonuses and severances displayed twice</t>
  </si>
  <si>
    <t>HR-CH: Family-related bonuses - fiscal year change 2009/2010</t>
  </si>
  <si>
    <t>WhTx: Importing scale file 2010, changes to scale codes</t>
  </si>
  <si>
    <t>Incorr definitn of total gross accordg to EBeschR w/ IT 0026</t>
  </si>
  <si>
    <t>Def of tot gr amt acc to EBeschR incorr f pub sec supl pensn</t>
  </si>
  <si>
    <t>Information about employee-related data</t>
  </si>
  <si>
    <t>B2A: Sequence Problem for Emails in Quarantine</t>
  </si>
  <si>
    <t>Elena: Corrections and improvements to transfer procedure</t>
  </si>
  <si>
    <t>ETNotif./ETStmt: Phone no. in transfer/applictn data header</t>
  </si>
  <si>
    <t>ETStmt: Correction of error msg in case of incorrect tax ID</t>
  </si>
  <si>
    <t>SI: Correction - e-mail inbox for paying offices</t>
  </si>
  <si>
    <t>Expenses: Lodging on first of month w/o trip home on weekend</t>
  </si>
  <si>
    <t>Social fund proc.: Chg to contr. for leave proc. &amp; voc.tng</t>
  </si>
  <si>
    <t>SFP: Unnecessary error message in case of leaving</t>
  </si>
  <si>
    <t>DEUEV immediate notifications: Corrections (5)</t>
  </si>
  <si>
    <t>DEUEV fiscal year change 2009/2010: Corrections</t>
  </si>
  <si>
    <t>ELENA: Corrections after the fiscal year change 1</t>
  </si>
  <si>
    <t>ELENA: Corrections after fiscal year change 2</t>
  </si>
  <si>
    <t>ELENA: Corrections after fiscal year change 3</t>
  </si>
  <si>
    <t>Remuneration Statement, Payroll Account, Payroll Journal</t>
  </si>
  <si>
    <t>Payroll account: Factor with three decimal places (RPCKTOD0)</t>
  </si>
  <si>
    <t>AVmG: Remuneration conversion from severance payments</t>
  </si>
  <si>
    <t>Corrections in garnishment infotypes</t>
  </si>
  <si>
    <t>RPCPL2D0: Print Output</t>
  </si>
  <si>
    <t>IT 0114: Display of incorrect subscreen</t>
  </si>
  <si>
    <t>Termination when entering special case in infotype 0904</t>
  </si>
  <si>
    <t>Processing value credit in accident insurance</t>
  </si>
  <si>
    <t>RPUBVDD0: Error when importing POO file</t>
  </si>
  <si>
    <t>Error in RPUBGDD0: Workers' comp./hazard pay scales</t>
  </si>
  <si>
    <t>Part time for pensioners</t>
  </si>
  <si>
    <t>RPCATXD0 uses locked infotype records</t>
  </si>
  <si>
    <t>Employment tax statement: Changes for January 2010</t>
  </si>
  <si>
    <t>Tax calc. 2010: Health insurance base rate not considered</t>
  </si>
  <si>
    <t>Tax supplement: Changes due to soc. ins. contributn deductns</t>
  </si>
  <si>
    <t>Tax calc.: Dump w/ private health ins. and Saxony regulation</t>
  </si>
  <si>
    <t>RPCTXMD1: Termination due to frequent printing</t>
  </si>
  <si>
    <t>Step increase with type 02</t>
  </si>
  <si>
    <t>RPIPSR00: Reclass.coincides with start date in infotype 0008</t>
  </si>
  <si>
    <t>ZfA: BZ02 case number is not displayed in outbox</t>
  </si>
  <si>
    <t>Suppl to mat pay/conversn of remuneratn from one-time paym</t>
  </si>
  <si>
    <t>Gross overpayment: No warning if overpayt of semiretirment</t>
  </si>
  <si>
    <t>Gross overpayment: Garnishment warning is always issued</t>
  </si>
  <si>
    <t>ZfA: Invalid files in inbound processing via applictn server</t>
  </si>
  <si>
    <t>Valuation of wage type /OU4 in function DOLGU</t>
  </si>
  <si>
    <t>Publ sec EE semiretirement: Calc of full-time net as of 2010</t>
  </si>
  <si>
    <t>Increase in child allowance on January 1, 2010</t>
  </si>
  <si>
    <t>Problems during indirect valuation</t>
  </si>
  <si>
    <t>Update of pension-relevant measurement amounts II</t>
  </si>
  <si>
    <t>Enhancements + Corrections for Retroactive Pension Insur.IV</t>
  </si>
  <si>
    <t>Membership number cannot be preassigned using BAPI</t>
  </si>
  <si>
    <t>Formale Änderungen wegen Accessibility und Checkman</t>
  </si>
  <si>
    <t>Documentation of the field "RGVH 2003" in infotype 0785</t>
  </si>
  <si>
    <t>DNeuG:Missing Attachment for Form Required Under S55 BeamtVG</t>
  </si>
  <si>
    <t>Reduction under s.57; payroll terminated; currency missing</t>
  </si>
  <si>
    <t>BAdIs for implementing legal requirements</t>
  </si>
  <si>
    <t>DNeuG: Adjusting the calc of sect 14.3 to changed age limits</t>
  </si>
  <si>
    <t>Tax exemptn for pensions: retro. acct in closed fiscal years</t>
  </si>
  <si>
    <t>Texts and descriptions are not uniform</t>
  </si>
  <si>
    <t>Reduction section 57: Dependents with manual pension payment</t>
  </si>
  <si>
    <t>Status of totals records is not set to "transfer"</t>
  </si>
  <si>
    <t>Termin. notif. program in CONVERT_REVERSALS_NEW_2_CORREC</t>
  </si>
  <si>
    <t>Infotype 0051 (supplementary pension) cannot be created</t>
  </si>
  <si>
    <t>Contribution month missing for DOZV KON (tax-free contr) 2</t>
  </si>
  <si>
    <t>Statement for parental leave benefit application: Nov. 2009</t>
  </si>
  <si>
    <t>Statement of employment Section 312 SGB III, Version 09.09</t>
  </si>
  <si>
    <t>Employee's contribution to social insurance is too small</t>
  </si>
  <si>
    <t>Corrections in some messages of IT0062 (Fiscal Data)</t>
  </si>
  <si>
    <t>Incorrect bonification for Canarian regime</t>
  </si>
  <si>
    <t>RPCAFIE0: Status changes when FCT form is not generated</t>
  </si>
  <si>
    <t>Bonifications: Date for second method not being considered</t>
  </si>
  <si>
    <t>Error in the bonification calculation in case of strike days</t>
  </si>
  <si>
    <t>Problems compensating negative arrears on retroactivity II</t>
  </si>
  <si>
    <t>Reduction in number of descendents is not taken into account</t>
  </si>
  <si>
    <t>Avoiding automatic split generated by bonifications</t>
  </si>
  <si>
    <t>RPCAFIE0: Employee with empty mandatory fields in AFI report</t>
  </si>
  <si>
    <t>RPCAFIE0: Contract field '000' does not generate AFI file.</t>
  </si>
  <si>
    <t>TC: Retroactive bonifications with no contribution change</t>
  </si>
  <si>
    <t>RPCALCE0: Maternity coeficient wrongly calculated</t>
  </si>
  <si>
    <t>IRPF - Percentage comparison between cluster and infotype</t>
  </si>
  <si>
    <t>Artists: Wrongly generating wage-type /3I1</t>
  </si>
  <si>
    <t>IRPF - Payment in kind constant "PPAES" does not work</t>
  </si>
  <si>
    <t>AFI - Dump when employee has no entry in infotype 0061</t>
  </si>
  <si>
    <t>Incorrect resolution type for regulation 27 in view V_T5ES4</t>
  </si>
  <si>
    <t>IRPF - Reason 1 not working with earnings reduction</t>
  </si>
  <si>
    <t>Main CCC not reported in FAN file</t>
  </si>
  <si>
    <t>Contrat@ - Field validation for contract type 421</t>
  </si>
  <si>
    <t>Missing periods in calculation of artists contribution</t>
  </si>
  <si>
    <t>ESV00: Contribution being calculated wrongly in release 604</t>
  </si>
  <si>
    <t>TC: Wrong description of CCC in the match code list</t>
  </si>
  <si>
    <t>IRPF - Incompatible reasons 9, 10 and 11 for regularization</t>
  </si>
  <si>
    <t>Cluster IRPF percentage displayed in Infty.62 is not correct</t>
  </si>
  <si>
    <t>Wrong periods for calculation of artists for IT0061</t>
  </si>
  <si>
    <t>HFILTAX0:Tax code 105 is not reported correctly</t>
  </si>
  <si>
    <t>Garnishment calculation for 0 or less Garnishment days</t>
  </si>
  <si>
    <t>Annual Tax statement(HFILTAX0) Issues.</t>
  </si>
  <si>
    <t>Yearly report issue for payroll area change at start of year</t>
  </si>
  <si>
    <t>Finland Year End Legal Changes 2009/2010</t>
  </si>
  <si>
    <t>Delivery of report RPLDUEF0 to declare new hiring</t>
  </si>
  <si>
    <t>RPCEDTF0: RECOT made accessible in pay slip</t>
  </si>
  <si>
    <t>DUCS: SIRET "Tiers rédacteur" (AE) / Imported "Réduction"</t>
  </si>
  <si>
    <t>DADS: 'portabilité' is not supported</t>
  </si>
  <si>
    <t>DADSU: correction to S45 / S80</t>
  </si>
  <si>
    <t>ASSEDIC: wrong gross amount in frame 7.3 if negative gross</t>
  </si>
  <si>
    <t>Number of days with salary partially maintained not counted</t>
  </si>
  <si>
    <t>DADS-U: S45 and S51 IMG changes</t>
  </si>
  <si>
    <t>Incorrect subrogation begin date in case of extension</t>
  </si>
  <si>
    <t>Fields of section S41.G30.20 not filled in RPLDRCF0</t>
  </si>
  <si>
    <t>RPUTIRF1: no split C1 in table RT allowed</t>
  </si>
  <si>
    <t>EDI Version: Work accident declaration (RPLDATF2) II</t>
  </si>
  <si>
    <t>DUCS: final file made available to other applications</t>
  </si>
  <si>
    <t>Transaction missing for Status Handler</t>
  </si>
  <si>
    <t>no entry in table T5F99SV for DADSU application</t>
  </si>
  <si>
    <t>Wrong processing class 65 value for french wage-type /106</t>
  </si>
  <si>
    <t>RPLCTRF0: Transaction not available on SAP Easy Access menu</t>
  </si>
  <si>
    <t>DADSU public sector: wrong dates in S46 for long abscences</t>
  </si>
  <si>
    <t>RPUTMS9S - Upload File in TemSe doesn't work correctly</t>
  </si>
  <si>
    <t>Profit sharing: RSA contribution missing in batch payment</t>
  </si>
  <si>
    <t>DADS-U: wrong section S41.G01.00.006 with value '901'</t>
  </si>
  <si>
    <t>DADS-U public sector: doubled amounts in field S46.G01.01</t>
  </si>
  <si>
    <t>Missing parameter TAB_FODAT in exit_situation</t>
  </si>
  <si>
    <t>No progressive regularization for FCRE</t>
  </si>
  <si>
    <t>RPLAASF1: wrong gross in frame 7.3 in case of retro</t>
  </si>
  <si>
    <t>Standard wage type /108 with wrong statement wage types</t>
  </si>
  <si>
    <t>DADS-U: end reason code not set automatically to 902</t>
  </si>
  <si>
    <t>RPLCTRF0: missing fields when comparing IT0064 against SV</t>
  </si>
  <si>
    <t>Obsolete codes reason for S41 periods of public sector</t>
  </si>
  <si>
    <t>Handling of time-dependant dynamic measures in infotype 0863</t>
  </si>
  <si>
    <t>Prebudget Legal Changes 2010/2011</t>
  </si>
  <si>
    <t>New IT0065 tax code source &amp; new checks in IT0065</t>
  </si>
  <si>
    <t>Missing payroll sub schema GREI from schema GRET</t>
  </si>
  <si>
    <t>Gross</t>
  </si>
  <si>
    <t>Absence payments (SSP, SMP, SAP, SPP)</t>
  </si>
  <si>
    <t>Inconsistent OMP generation for Bank Holiday</t>
  </si>
  <si>
    <t>SMP incorrectly paid due to incorrect reading of IT0041</t>
  </si>
  <si>
    <t>Incorrect Student Loan Calculation in Mid Period Transfers</t>
  </si>
  <si>
    <t>LGPS: Late scheme joiners re-assesment during retro</t>
  </si>
  <si>
    <t>HESA: employees incorrectly excluded in extraction</t>
  </si>
  <si>
    <t>SWF Spring 2010 Legal change</t>
  </si>
  <si>
    <t>Short dump while saving entries in table T5GPBST_SER</t>
  </si>
  <si>
    <t>Company Car changes effective from 06.04.2010</t>
  </si>
  <si>
    <t>P46-Car Reporting:Changes to Replacement Car form generation</t>
  </si>
  <si>
    <t>Changes to Address fields in P60 Data Mailer</t>
  </si>
  <si>
    <t>Starter report ME solution update &amp; Rehire scenario</t>
  </si>
  <si>
    <t>TaxReference change-P45 details not copied to new IT65record</t>
  </si>
  <si>
    <t>IYMV IRmark error caused by additional spaces in address</t>
  </si>
  <si>
    <t>P11d Report Incorrectly produced for Leaver</t>
  </si>
  <si>
    <t>Scottish Court Orders Legal Change effective from 06.04.2010</t>
  </si>
  <si>
    <t>Statutory Form P60 for 2009-10</t>
  </si>
  <si>
    <t>Statistics and Payroll Locking issues in Leaver Report</t>
  </si>
  <si>
    <t>EOY report : Issues with P14 ALV layout</t>
  </si>
  <si>
    <t>Student Loan in MPT: Correction to note 1378756</t>
  </si>
  <si>
    <t>Starter Details are carried forward to the new record</t>
  </si>
  <si>
    <t>Display of actual IYMV XML Submitted to HMRC in R/3 Release</t>
  </si>
  <si>
    <t>MPF Issue for Employee Who Transferred back to Companny</t>
  </si>
  <si>
    <t>Incorrect RI in MPF Report(HSBC) When Empolyee Reaches 65</t>
  </si>
  <si>
    <t>PY-ID:Correction to note# 1406973</t>
  </si>
  <si>
    <t>LC: ETax Lodgement Details (eSPT ALV)</t>
  </si>
  <si>
    <t>1721A1: ABAP List output &amp; Form correction</t>
  </si>
  <si>
    <t>Py-IE : Income Levy Leaver Certificate 2010</t>
  </si>
  <si>
    <t>PY-IE: VHI calculation for retro periods are incorrect</t>
  </si>
  <si>
    <t>PY-IE:EOY Income levy certificate text changes</t>
  </si>
  <si>
    <t>PY-IE:Income Levy annualisation new amendments</t>
  </si>
  <si>
    <t>PY-IE:EOY Income Levy values incorrect</t>
  </si>
  <si>
    <t>PY-IE:PRSI week should be '0' if class is 'M' in EOY reports</t>
  </si>
  <si>
    <t>Improvement in performance during Payroll Processing</t>
  </si>
  <si>
    <t>GLobal ID on Form 16</t>
  </si>
  <si>
    <t>Not considering wagetypes not indirectly valuated in claims</t>
  </si>
  <si>
    <t>Form 16-Print prerview is not coming if default printer set</t>
  </si>
  <si>
    <t>HR-IT: Emens error on SETTIMANE with short events duration</t>
  </si>
  <si>
    <t>HR-IT: Corrections for Note 1389885 - Tax Deduc. with IT21</t>
  </si>
  <si>
    <t>HR-IT: IMG corrections on Forms subnode</t>
  </si>
  <si>
    <t>HR-IT:V_T5ITGI_1/V_T5ITGI_2 error on field Rif. Autor.(2008)</t>
  </si>
  <si>
    <t>HR-IT: Uniemens - ReHire functionality</t>
  </si>
  <si>
    <t>HR-IT: Riduzione acconto IRPEF 2010</t>
  </si>
  <si>
    <t>HR-IT: UNIEmens Correction Package 2</t>
  </si>
  <si>
    <t>HR-IT: UNIEmens Correction Package 3</t>
  </si>
  <si>
    <t>HR-IT: PY funct. ICODE: error on balance when IT156 is split</t>
  </si>
  <si>
    <t>HR-IT: UNIEmens BadI</t>
  </si>
  <si>
    <t>Benefit Wage Type Without Retroactivity Can Be Retro</t>
  </si>
  <si>
    <t>Rehiring(Retirement):SI Exemption Incorrect</t>
  </si>
  <si>
    <t>LC YEA 2009 Phase 2: Changes in Withholding Tax Statement</t>
  </si>
  <si>
    <t>Incorrect Calculation of Net Retro for Shoyo</t>
  </si>
  <si>
    <t>Dummy Note for CheckMan Error</t>
  </si>
  <si>
    <t>HKRCYEA0: Run-time Error when Reading Company Code Fails</t>
  </si>
  <si>
    <t>Quota Counter is Missing in HKRULQC0 Result List</t>
  </si>
  <si>
    <t>Korea YEA 2009 Year-End Legal Changes - Phase III (DME)</t>
  </si>
  <si>
    <t>Skip Infotype Records during Retroactive YEA Payroll</t>
  </si>
  <si>
    <t>Incorrect Tax Credit for Political Donation</t>
  </si>
  <si>
    <t>Enhancement: Service Period Calculation for Separation Tax</t>
  </si>
  <si>
    <t>BAdI call HR_MX_VSDI_KEY_DATE correction</t>
  </si>
  <si>
    <t>Check control record before inserting SDI in IT 0372</t>
  </si>
  <si>
    <t>Syncronization for HMXCDIE0_CE</t>
  </si>
  <si>
    <t>Legal Change in Form 37 for 2009</t>
  </si>
  <si>
    <t>Negative christmas bonus on termination</t>
  </si>
  <si>
    <t>New taxes for 2010 through 2013</t>
  </si>
  <si>
    <t>New minimum salaries for 2010</t>
  </si>
  <si>
    <t>New IVA Tax percentage value for 2010</t>
  </si>
  <si>
    <t>Correction of synchronization of include HMXCDIED</t>
  </si>
  <si>
    <t>Differences in WKDAY between RCVExtemp and Extemporaneo</t>
  </si>
  <si>
    <t>Dependant's information missing when IT0198 is delimited</t>
  </si>
  <si>
    <t>BIK excess WT should consider only current year excess amt</t>
  </si>
  <si>
    <t>PY-MY: Corrections to report for generating EA Form</t>
  </si>
  <si>
    <t>Name formating for reports RPCTP2L0 and RPCTEAL0_01</t>
  </si>
  <si>
    <t>MY Budget 2010 - 2</t>
  </si>
  <si>
    <t>EA rept correction: Termination/hire date,Borang E part A-A1</t>
  </si>
  <si>
    <t>If normal earnings is less than 0, normal tax should be 0</t>
  </si>
  <si>
    <t>PY-MY : Annuity Scheme Premium</t>
  </si>
  <si>
    <t>Report RPCT39L0 - Download disk file corrections</t>
  </si>
  <si>
    <t>IT0198:Auto cumulation of optional deductn amt in subtype 01</t>
  </si>
  <si>
    <t>IMG Payroll NL</t>
  </si>
  <si>
    <t>YELC2010: Small Jobs Regulation and Parttimer</t>
  </si>
  <si>
    <t>Aangifte LH: No premium leads to VTS-Error messages</t>
  </si>
  <si>
    <t>Aangifte LH: LCS-Withdrawal as of 61: Incorrect enddate</t>
  </si>
  <si>
    <t>RPCALCN0: Life-course Withdrawal and Change of Legal Person</t>
  </si>
  <si>
    <t>New statutory minimum wages as of January 1st, 2010</t>
  </si>
  <si>
    <t>NLSJR: Wage Types are not included into the Assessment Wage</t>
  </si>
  <si>
    <t>RPCALCN0: User parameter to determine default scheme</t>
  </si>
  <si>
    <t>RPCNETN0:Field "Excluded from Small Jobs Regulation" missing</t>
  </si>
  <si>
    <t>YELC2010: Ref. Rate of Interest Tax Adv. updated</t>
  </si>
  <si>
    <t>Aangifte LH: Intermittent SI Reductions corrected</t>
  </si>
  <si>
    <t>ATS Enhancements Year 2009</t>
  </si>
  <si>
    <t>Change in NAV offices and Occupation Codes</t>
  </si>
  <si>
    <t>AA Register: No 8K/8F messages to be generated for employees</t>
  </si>
  <si>
    <t>Few Issues in Reimbursement Solution</t>
  </si>
  <si>
    <t>Norway ERC: Incorrect data reported in few cases</t>
  </si>
  <si>
    <t>Norway Legal Changes for year 2009/10: Part 3</t>
  </si>
  <si>
    <t>Norway Legal Changes for year 2009/10: Part 2</t>
  </si>
  <si>
    <t>ATS Reporting 2009 - Improvement in Performance &amp; Few Issues</t>
  </si>
  <si>
    <t>Dump in payroll while reading Entry date in some cases</t>
  </si>
  <si>
    <t>ATS Reporting for 2009 Issues: Part 1</t>
  </si>
  <si>
    <t>RPOVTMV0: Two enhancements in Norway Overtime Report</t>
  </si>
  <si>
    <t>Usability aspects</t>
  </si>
  <si>
    <t>HNZULVR0:Incorrect rate calcualted from ECC 6.00 and higher</t>
  </si>
  <si>
    <t>Payroll Giving: EMS Schedule and Remittance changes</t>
  </si>
  <si>
    <t>Payroll giving NZ : Correction and Missing Customizing</t>
  </si>
  <si>
    <t>HNZLDET0: Pay Details report shows incorrect payment amount</t>
  </si>
  <si>
    <t>HNZUPTQ0 Performance: Takes long time to execute</t>
  </si>
  <si>
    <t>HNZLEMS0 and HNZLREM0: Not reporting newly hired employee</t>
  </si>
  <si>
    <t>Insufficient data passed to BADI HR_UPD_NZ_NZHPI</t>
  </si>
  <si>
    <t>HR-PT: Enhancements to tax reduction rate for infotype 0331</t>
  </si>
  <si>
    <t>HR-PT: Overtime Compensation due rest period</t>
  </si>
  <si>
    <t>RPCSSRP0: selection of inactive employess with error message</t>
  </si>
  <si>
    <t>HR-PT:Leave entitlement - Vacation Deduction Period</t>
  </si>
  <si>
    <t>RU: PRDNT wrong balance&amp;totals in case of reverse in retro</t>
  </si>
  <si>
    <t>Income tax calculation: without kopecks and method M support</t>
  </si>
  <si>
    <t>HRUL4FSS, HRULSTAT wrong 'employee type' with feature 331TT</t>
  </si>
  <si>
    <t>HR-RU: Off-cycle error stops if absence was changed in past</t>
  </si>
  <si>
    <t>HR-RU: Limitation of grouped garnishments documents</t>
  </si>
  <si>
    <t>Legal Change in sick-leave calculation Decree 839 and 213-FZ</t>
  </si>
  <si>
    <t>HR-RU: Data Type P33_TAXL changing onto CHAR for T7RUT3</t>
  </si>
  <si>
    <t>HR-RU: Rectroactive accounting for garnishments</t>
  </si>
  <si>
    <t>RUAVE extensive SQL statement causes performance problem</t>
  </si>
  <si>
    <t>HR-RU: Wrong summarized amounts in 4-FSS form (in ECC 6.04)</t>
  </si>
  <si>
    <t>RUPRI: Problem with Sort of grouped Garnishments Wage Types</t>
  </si>
  <si>
    <t>RPSSBKS0: Issues when retro dates given on selection screen</t>
  </si>
  <si>
    <t>RPLSPPS2: Field H29 incorrectly reported in ALV and file</t>
  </si>
  <si>
    <t>RPSSBKS0: Feature 23WHR required for salaried hourly EE's</t>
  </si>
  <si>
    <t>RPSSBSS0: Temse file displaying incorrect results</t>
  </si>
  <si>
    <t>RPSDWLSB: Incorrect information appears on some positions</t>
  </si>
  <si>
    <t>RPSSICS0: Report processing stops for no payroll result</t>
  </si>
  <si>
    <t>RPLLASS0: Age group column not required in ALV grid</t>
  </si>
  <si>
    <t>New legal change for Labour Survey Report 2009.</t>
  </si>
  <si>
    <t>CPF calculation customization method 2 - backdated allowance</t>
  </si>
  <si>
    <t>NRS : Split in variable allowance and fixed allowance</t>
  </si>
  <si>
    <t>CPF report output: SDF Table header text incorrect</t>
  </si>
  <si>
    <t>SG-Payroll : Incorrect CPF in few cases</t>
  </si>
  <si>
    <t>SG-Payroll : FWL-Days Calculation</t>
  </si>
  <si>
    <t>CPF Report: inconsistent output for irregular pay period</t>
  </si>
  <si>
    <t>Additions to the Note 1422690</t>
  </si>
  <si>
    <t>Continuations to note 1422690 and 1422907</t>
  </si>
  <si>
    <t>Alignment issue in ITF1A</t>
  </si>
  <si>
    <t>Window for scanned signature in SS detail form</t>
  </si>
  <si>
    <t>Incorrect head count on I.T.F.1A Form for Thailand</t>
  </si>
  <si>
    <t>PY-TH:PIT91 Legal change 2009</t>
  </si>
  <si>
    <t>Social Security Summary report problems</t>
  </si>
  <si>
    <t>Small font size for Thai version of legal forms</t>
  </si>
  <si>
    <t>PIT91 form - seperate forms for English  and Thai versions</t>
  </si>
  <si>
    <t>LC2009: Occupational Accident rate is divided into two parts</t>
  </si>
  <si>
    <t>Year-End 2009: Legal Change on Tax Medium File</t>
  </si>
  <si>
    <t>View V_T511 lacks entries for /3xx, /6xx and /7xx.</t>
  </si>
  <si>
    <t>Year End 2009 Phase III for U.S. Tax Reporter.</t>
  </si>
  <si>
    <t>YE09: W-2 Third-Party Layout, W-2/W-2c SAPscript Changes</t>
  </si>
  <si>
    <t>TAX: Incorrect refund of taxes during retrocalculation.</t>
  </si>
  <si>
    <t>TAX: During gross-up calc., WT /Nxx wrongly cleared.</t>
  </si>
  <si>
    <t>TAX: New Michigan Employers FUTA Debt Repayment Tax</t>
  </si>
  <si>
    <t>TEPUY 2.0 - Entry date</t>
  </si>
  <si>
    <t>Corrections in infotypes (3)</t>
  </si>
  <si>
    <t>Wage Type Reporter - Output in Excel shows no data</t>
  </si>
  <si>
    <t>PY-ZA</t>
  </si>
  <si>
    <t>South Africa</t>
  </si>
  <si>
    <t>Checkman Errors for ZA &amp; IE - II</t>
  </si>
  <si>
    <t>ZA SARS: IRP5 2010 &amp; Payroll changes</t>
  </si>
  <si>
    <t>SAPKE60419</t>
  </si>
  <si>
    <t>Cross-Application Components</t>
  </si>
  <si>
    <t>CA-ESS</t>
  </si>
  <si>
    <t>Employee Self-Service</t>
  </si>
  <si>
    <t>CA-ESS-ITS</t>
  </si>
  <si>
    <t>ESS Internet Transaction Server (ITS)</t>
  </si>
  <si>
    <t>Change in Employee Self-Service (ITS)</t>
  </si>
  <si>
    <t>Personnel Information Systems</t>
  </si>
  <si>
    <t>Payroll Posting structure enhancements</t>
  </si>
  <si>
    <t>Bescheinigungswesen: Sonderzahlungen werden falsch ermittelt</t>
  </si>
  <si>
    <t>HR Name Format for infotype 0021 does not show field FAVOR</t>
  </si>
  <si>
    <t>Snapshot report adjustments</t>
  </si>
  <si>
    <t>TNM Adjustments: Costs, Valuation, Invoice infotype</t>
  </si>
  <si>
    <t>Delivery Method Text not retrieved in Regulatory Compliance</t>
  </si>
  <si>
    <t>Report 2483: Fix default printer T210</t>
  </si>
  <si>
    <t>Short dump during actual snapshot if enployee has no pay</t>
  </si>
  <si>
    <t>Customizing table T777IFPROPC not read for Q-fields</t>
  </si>
  <si>
    <t>Message 130(HRTNM_MNSG) when entering absences/presences</t>
  </si>
  <si>
    <t>Country grouping of right TN not retrieved in infotype 1686</t>
  </si>
  <si>
    <t>Short dump when valuating TP where TN are not linked to D</t>
  </si>
  <si>
    <t>Negative hours defaulted in regulatory compliance ALV</t>
  </si>
  <si>
    <t>Incorrect hours for E with positive recording in batch-input</t>
  </si>
  <si>
    <t>Transaction hrtnm00_repmod enters an infinite loop</t>
  </si>
  <si>
    <t>Error in infotype 1686 when TN dates not overlapping E dates</t>
  </si>
  <si>
    <t>Duplicated Training Need data in F4 help for booking</t>
  </si>
  <si>
    <t>PA-PA-GB</t>
  </si>
  <si>
    <t>Great Britain</t>
  </si>
  <si>
    <t>SWF Infotypes cannot be skipped during HR Hiring Action</t>
  </si>
  <si>
    <t>HR-IT: Error in infotype 0006 regarding munic. code</t>
  </si>
  <si>
    <t>RPLLIDJ2: Output Text Changes in PDF Form</t>
  </si>
  <si>
    <t>IT0021: Cannot Distinguish Nationality in Drop Down List</t>
  </si>
  <si>
    <t>Enhancement on Infotype 0021 Overview Screen</t>
  </si>
  <si>
    <t>RPTZKMN2: New Form for Ziekteaangifte 55+ (0-10)</t>
  </si>
  <si>
    <t>IT0303: Error when editing Date for Increase of education</t>
  </si>
  <si>
    <t>HRUADSV3: missing error message text</t>
  </si>
  <si>
    <t>HRUA_T54: runtime error - DBIF_RSQL_INVALID_RSQL</t>
  </si>
  <si>
    <t>Infotype 0006: postal code check in a Russian address</t>
  </si>
  <si>
    <t>HRULPFP5: incorrect employee personal data</t>
  </si>
  <si>
    <t>HR-RU: Reports HRUA* terminate w/o cust. T7RURPTCST00</t>
  </si>
  <si>
    <t>Wrong customizing of DAQ fields HWCL1 and HWCL2 in form STAT</t>
  </si>
  <si>
    <t>HRULAVR1: Transfer of PNP-Selection screen parameters</t>
  </si>
  <si>
    <t>TSV_TNEW_BLOCKS_NO_ROLL_MEMORY while preparing P-4 form</t>
  </si>
  <si>
    <t>IT0210: Negative FED additional withholding amounts.</t>
  </si>
  <si>
    <t>Fields in Form class BEXX missing from check table.</t>
  </si>
  <si>
    <t>Note 1058790 changes upported to EP 4 for SAP ERP 6.0</t>
  </si>
  <si>
    <t>VETS Report: County field truncated at 10 characters.</t>
  </si>
  <si>
    <t>HIPAA:EE address to be used when depend.address unavailable.</t>
  </si>
  <si>
    <t>HSA plan limit proration errors.</t>
  </si>
  <si>
    <t>HCE Scenario: Catch-up calculation error occurs.</t>
  </si>
  <si>
    <t>PA-PA-US-FML</t>
  </si>
  <si>
    <t>FMLA (Family Medical Leave Act)</t>
  </si>
  <si>
    <t>Modified FMLA reason attributes -&gt; absence recalculation</t>
  </si>
  <si>
    <t>End date of FMLA Reason not adjusted in ref. to ded. period</t>
  </si>
  <si>
    <t>Pension equalization payment: Corrections and enhancements 1</t>
  </si>
  <si>
    <t>PRN: Corrections/enhancements for MZ01 (2/2010)</t>
  </si>
  <si>
    <t>RBM: Displaying error data II</t>
  </si>
  <si>
    <t>Pens rcpt notif: MZ01/IM01 corrections/enhancements (2/2010)</t>
  </si>
  <si>
    <t>Archive read file</t>
  </si>
  <si>
    <t>Archive file size</t>
  </si>
  <si>
    <t>Incorrect device defaulted in manual correspondence</t>
  </si>
  <si>
    <t>PSV1 - In Prebookings, Note selected does not match</t>
  </si>
  <si>
    <t>Book,Cancel,Prebook actions via portal creates syslog entry</t>
  </si>
  <si>
    <t>Names of temporarily assigned employees are not displayed</t>
  </si>
  <si>
    <t>PP61: Actual plan is printed instead of target plan</t>
  </si>
  <si>
    <t>Empty info columns after info column switch</t>
  </si>
  <si>
    <t>Empty info columns after changing to initial screen</t>
  </si>
  <si>
    <t>AdHoc check: Missing call</t>
  </si>
  <si>
    <t>Variable Remuneration for Vacation Payment</t>
  </si>
  <si>
    <t>Reduction of social insurance withholdings not effective</t>
  </si>
  <si>
    <t>Inconsistent ARPRVR and ARPRVA for HARCALC0</t>
  </si>
  <si>
    <t>SICOSS doesn't consider interm. negative non-remun. amounts</t>
  </si>
  <si>
    <t>Tax Final Settlement with irregular payments error</t>
  </si>
  <si>
    <t>Berechnungprobleme Dienstgeberabgabe Wien</t>
  </si>
  <si>
    <t>JW 2009/10: SV Mindest- und Höchstbeitragsgrundlagen ab 2010</t>
  </si>
  <si>
    <t>RPTSWAA0: HRPAYAT_RPTSWAA0_Z1 Problem mit FINAL-Flag</t>
  </si>
  <si>
    <t>Weitere Anpassung wg. der Bezeichnung "Beitragskontonummer"</t>
  </si>
  <si>
    <t>JW 2010: ELDA Änderung (MV zu BV, UA zu UE usw.)</t>
  </si>
  <si>
    <t>Bescheinigungswesen: Fehlende Funktion Lohnbescheinigung</t>
  </si>
  <si>
    <t>Kurzarbeit(gesetzliche Änderung 2010): AK, LK und WF ab 2010</t>
  </si>
  <si>
    <t>Termination - Redundancy payment incorrect if EE age &gt; 65</t>
  </si>
  <si>
    <t>Check for 0850 record missing for Payment summary override</t>
  </si>
  <si>
    <t>Corrections provided for Leave provision projection.</t>
  </si>
  <si>
    <t>Payment Summary listing not reporting Allowance amount</t>
  </si>
  <si>
    <t>RPLSUMQ0:incorrect results, if payroll area is changed</t>
  </si>
  <si>
    <t>SGC Calculation on retro to pay area transfer</t>
  </si>
  <si>
    <t>Term Org WB: Incorrect rates are displayed in details report</t>
  </si>
  <si>
    <t>Term Org WB: Incorrect LSL Pre78 payment is calculated.</t>
  </si>
  <si>
    <t>Pub hol incorrectly counted results in incorrect LL payments</t>
  </si>
  <si>
    <t>BELCOTAX: Legal Changes at January 2010 for incomes on 2009</t>
  </si>
  <si>
    <t>Pension Declaration - Error incase of retro calculation</t>
  </si>
  <si>
    <t>Pension Declaration (RPCDPEB0)-Wrong company data retrieved</t>
  </si>
  <si>
    <t>FINPROF: corrections for advance fourth quarter declaration</t>
  </si>
  <si>
    <t>DIMONA: Infotype 0735 not updated properly in preparation</t>
  </si>
  <si>
    <t>Flemish tax reduction 2010</t>
  </si>
  <si>
    <t>Annex III - Fixed cost reduction Administrators</t>
  </si>
  <si>
    <t>Payroll stops for employees with more than 9 children</t>
  </si>
  <si>
    <t>Annex III - Obsolete entry in T5BT1 as of 01.01.2003</t>
  </si>
  <si>
    <t>Educational Leave - New SI contribution rates &amp; constants</t>
  </si>
  <si>
    <t>FINPROF: RPCFPAB0 - donwload enhancements</t>
  </si>
  <si>
    <t>Tax Calculation for Adminstrators not correct</t>
  </si>
  <si>
    <t>FINPROF: field PaymentReference wrong period for 2010</t>
  </si>
  <si>
    <t>HBRCGGRF: Phone number truncated</t>
  </si>
  <si>
    <t>P0416: Vacation being calculated in Christmas' off-cycles</t>
  </si>
  <si>
    <t>HBRCCED0: error in dependents with AJUS after RESC</t>
  </si>
  <si>
    <t>T4A Redesign may result in dump for QC employees</t>
  </si>
  <si>
    <t>YE09 : Error while printing pre-printed CRA forms</t>
  </si>
  <si>
    <t>Amendment not generated when Box value is reduced to zero.</t>
  </si>
  <si>
    <t>YE09: Approval Numbers for MRQ Forms and T4 Changes</t>
  </si>
  <si>
    <t>YE09: MRQ XML Certification</t>
  </si>
  <si>
    <t>T4A : FTA code not printed in outsourcing file</t>
  </si>
  <si>
    <t>YE09: Other Footnotes not showing on Releve1 Forms</t>
  </si>
  <si>
    <t>ELM: Layout for display of completion data missing</t>
  </si>
  <si>
    <t>HR-CH: Spplmnt family-rltd bonuses - fscl yr chnge 2009/2010</t>
  </si>
  <si>
    <t>ISEL: Enhancement of the BAdI interface CHANGE_SUB_TYPE_EE</t>
  </si>
  <si>
    <t>ISEL: Error message if withholding tax amount equals 0</t>
  </si>
  <si>
    <t>QSt: Importing scale file 2010 for canton of Geneva</t>
  </si>
  <si>
    <t>ISEL: Error msg if no withholding tax scale entered in T5C2P</t>
  </si>
  <si>
    <t>ELM: Incorrect content in &lt;Certificate&gt; for status query</t>
  </si>
  <si>
    <t>Updating report documentation (RPLQSFC0)</t>
  </si>
  <si>
    <t>Tax Paid by ER Enhancement</t>
  </si>
  <si>
    <t>Def. of statutory net amt acc. EBeschR incorr. for IT 0026</t>
  </si>
  <si>
    <t>SR: Incorr. definition of total gross amount acc. to EBeschR</t>
  </si>
  <si>
    <t>ELENA: Corrections and improvements</t>
  </si>
  <si>
    <t>ELENA: Connection problems with proxy password</t>
  </si>
  <si>
    <t>ELENA: Problems when retrieving data</t>
  </si>
  <si>
    <t>ELENA: Corrections after Fiscal Year Change 4</t>
  </si>
  <si>
    <t>ELENA: Important information about communication server</t>
  </si>
  <si>
    <t>Remuneration statement: Various improvements</t>
  </si>
  <si>
    <t>PY-DE-NT-GN</t>
  </si>
  <si>
    <t>Guaranteed Net Amounts</t>
  </si>
  <si>
    <t>Incorrect guaranteed net amounts as of 2010</t>
  </si>
  <si>
    <t>Remun.chg. and guaranteed net amts of sever. pay as of 2010</t>
  </si>
  <si>
    <t>Garnishment/principle of origin - semiretirement</t>
  </si>
  <si>
    <t>Garnishment, principle of origin - gross overpayment</t>
  </si>
  <si>
    <t>Check annual income limit for health insurance: corrections</t>
  </si>
  <si>
    <t>Transaction for RPUBGDD0</t>
  </si>
  <si>
    <t>RPUBGDD0 - Special characters are displayed incorrectly</t>
  </si>
  <si>
    <t>DBFE incorrect for error notificatns in paying office proc.</t>
  </si>
  <si>
    <t>Calculation of contribution to care insurance</t>
  </si>
  <si>
    <t>Subsidy for Reduced Hours Compensation as Guaranteed Net Amt</t>
  </si>
  <si>
    <t>Corrections: Tax</t>
  </si>
  <si>
    <t>ETStmt: Corrections 02 2010</t>
  </si>
  <si>
    <t>Fast entry IT 0012</t>
  </si>
  <si>
    <t>P3B: Error when stating taxable share</t>
  </si>
  <si>
    <t>Tx calc: SI contr deduction for PS employees and pensioners</t>
  </si>
  <si>
    <t>Error in RPCSDFDL (PAP 2010) for employees w/ private ins.</t>
  </si>
  <si>
    <t>RPCTXMD1: Archiving is possible in test run only</t>
  </si>
  <si>
    <t>Addnl info in IT 0509 (Activity with Higher Rate of Pay)</t>
  </si>
  <si>
    <t>Dump in Hospital Statistics Report in Unicode Systems</t>
  </si>
  <si>
    <t>Publ sec empl semiretirmnt: Calc of full-time net as of 2010</t>
  </si>
  <si>
    <t>Maintenance for full-time employee statistics not continued</t>
  </si>
  <si>
    <t>Runtime Errors in Function DOZMG</t>
  </si>
  <si>
    <t>GOP: Simulation across payroll gaps; SWBR switch</t>
  </si>
  <si>
    <t>Activity w. Higher Rate of Pay: Initial Pay Scale is Invalid</t>
  </si>
  <si>
    <t>DNeuG: Part 2 Corrections to RPLDNEOGD1, RPLDNEIGD0_UEBF</t>
  </si>
  <si>
    <t>ZfA: Title of "BZ01 Revenues" detail screen is missing</t>
  </si>
  <si>
    <t>System ignores arithmetic sign for cumulation wage type</t>
  </si>
  <si>
    <t>Incorrect transfer amount in "Return" subprocess scenario</t>
  </si>
  <si>
    <t>Imputation accdg to Sec.61 Para.2: Allowable income neg.</t>
  </si>
  <si>
    <t>Err w/ addtnl indiv incrse due to rdctn artcl 57 Pnsns Act</t>
  </si>
  <si>
    <t>Pay scale fields for additional ind. increase are not saved</t>
  </si>
  <si>
    <t>Family court info: Error while releasing infotype 0785</t>
  </si>
  <si>
    <t>Spec. payt for Bavaria: upper limit sec. 54 para 4 wrong (2)</t>
  </si>
  <si>
    <t>Short dump when infotype 51 (Supplementary Pension) entered</t>
  </si>
  <si>
    <t>Corrections to Statements 02/2010</t>
  </si>
  <si>
    <t>Regular remuneration converted without contributions</t>
  </si>
  <si>
    <t>Termin. BCD_ZERODIVIDE for stmnts for parental leave benefit</t>
  </si>
  <si>
    <t>Incorrect tax in notional net calculation</t>
  </si>
  <si>
    <t>ERE: Partial-time employee has incorrect min and max basis</t>
  </si>
  <si>
    <t>Maternity Protection - Incorrect regulatory base</t>
  </si>
  <si>
    <t>Artists: Contribution Limit presenting problems with split</t>
  </si>
  <si>
    <t>TC: IT in a next month treatment</t>
  </si>
  <si>
    <t>Deductions Certificate not well printed for Biscay</t>
  </si>
  <si>
    <t>Artists: Grouping DATs with same retribution group III</t>
  </si>
  <si>
    <t>Company Certificate - Layout Corrections III</t>
  </si>
  <si>
    <t>Problems printing Deductions Certificate through PDF form</t>
  </si>
  <si>
    <t>FDI: Incorrect contribution values in the hiring period</t>
  </si>
  <si>
    <t>AFI: Contract type 542 is incorrectly displayed in FAB segm.</t>
  </si>
  <si>
    <t>Problems in the regularization dates in the IGA report</t>
  </si>
  <si>
    <t>190 - Legal changes 2010</t>
  </si>
  <si>
    <t>Regulatory basis for maternity</t>
  </si>
  <si>
    <t>Off-cycle - Special condition not taken into account</t>
  </si>
  <si>
    <t>Incorrect contribution bases for part-time employees</t>
  </si>
  <si>
    <t>VNDs with bonification working improperly with payroll split</t>
  </si>
  <si>
    <t>Incorrect contribution for training contracts with VND</t>
  </si>
  <si>
    <t>Dump in prorate calculation for employee fired in next year</t>
  </si>
  <si>
    <t>TC: Grouping EDLCD22</t>
  </si>
  <si>
    <t>AFI: New Automatism for MT movements.</t>
  </si>
  <si>
    <t>TC: Processing stops with error message 'Obtención de días'</t>
  </si>
  <si>
    <t>TC: Partial maternity hours wrongly reported</t>
  </si>
  <si>
    <t>IRPF 2010 - Legal changes</t>
  </si>
  <si>
    <t>Fixed Bonifications higher than Company Contribution</t>
  </si>
  <si>
    <t>190 - Biscay - Invalid value for "Ingresos repercutidos"</t>
  </si>
  <si>
    <t>Incorrect /342 and /343 with VND for the next month</t>
  </si>
  <si>
    <t>View H_T5EAE causes a dump after apply note 1383510</t>
  </si>
  <si>
    <t>IRPF 2010 - Tax percentages for Alava, Biscay and Guipuzcoa</t>
  </si>
  <si>
    <t>New values for CNAE-2009 table</t>
  </si>
  <si>
    <t>190 - Legal changes 2010 - Navarra, Gipuzkoa and Alava</t>
  </si>
  <si>
    <t>Garnishment - Problems indicating payees in bank transfers</t>
  </si>
  <si>
    <t>RED2009/17: Collective agreement for compatible bonification</t>
  </si>
  <si>
    <t>190 - Mortgage payment information not retrieved in file</t>
  </si>
  <si>
    <t>RED 2010/01 - Suppression of Employment 'C'</t>
  </si>
  <si>
    <t>110/111 - Print header data in the model</t>
  </si>
  <si>
    <t>Artists:Complementaries L09 for artists not working properly</t>
  </si>
  <si>
    <t>190 - Birthday year is empty for Basque country and Navarra</t>
  </si>
  <si>
    <t>IRPF 2010: Retention percentage type corrections</t>
  </si>
  <si>
    <t>HFISTBC0 Blue collar statistics issues</t>
  </si>
  <si>
    <t>HFILAAI0 Field Total Worked Hours is reported incorrectly</t>
  </si>
  <si>
    <t>HFISTBC0 Issues Blue collar Statistics report for 4th qurter</t>
  </si>
  <si>
    <t>[ACC-FR] Usability</t>
  </si>
  <si>
    <t>RPUTMS9S - Dump after cancelling file upload</t>
  </si>
  <si>
    <t>No option to choose if grace period days subrogated or not</t>
  </si>
  <si>
    <t>DADSU: error reading contributions (S45 / S51)</t>
  </si>
  <si>
    <t>DADSU: unnecessary Temse files are created</t>
  </si>
  <si>
    <t>Missing French texts for pay statement fields</t>
  </si>
  <si>
    <t>DADS-U: Error M418 - missing field S41.G01.00.023.001</t>
  </si>
  <si>
    <t>DADS-U: field S41.G01.00.074 mandatory if PCS = 389b, 546d</t>
  </si>
  <si>
    <t>Profit sharing: "Forfait Social" contribution issued twice</t>
  </si>
  <si>
    <t>DUCS: Paper year declaration, incorrect AT rates sum</t>
  </si>
  <si>
    <t>S41.G01.04 generated with amounts equal to 0</t>
  </si>
  <si>
    <t>Social Balance (RPLBS1F0): selecting all contracts</t>
  </si>
  <si>
    <t>Report RPUF1GF0 stops with error TK454</t>
  </si>
  <si>
    <t>ASSEDIC declaration: Update of form HR_FR_AAS_2000B</t>
  </si>
  <si>
    <t>T511K-IJMIN from SP48 is incorrect</t>
  </si>
  <si>
    <t>Wage type text not displayed for OCRT table in payroll log</t>
  </si>
  <si>
    <t>SWF miscellaneous Issues</t>
  </si>
  <si>
    <t>Incorrect cumulation in PENS table for rehired employees</t>
  </si>
  <si>
    <t>Incoming P6 has no values for previous pay/tax</t>
  </si>
  <si>
    <t>No Week1/Month1 Indicator for Tax code in P14 Form</t>
  </si>
  <si>
    <t>Issue with generation of starter form</t>
  </si>
  <si>
    <t>Warning List missing in Extras menu of starter report</t>
  </si>
  <si>
    <t>Incorrect MPF Calculation When Retro Payroll with Off-cycle</t>
  </si>
  <si>
    <t>MPF Issue with Both 60 Days and Termination in Mid-period</t>
  </si>
  <si>
    <t>PY-IE:PRSI week in EOY - Correction to note 1415342</t>
  </si>
  <si>
    <t>PY-IE : EOY Levy values incorrect for Payroll Area change</t>
  </si>
  <si>
    <t>PY-IE:County code added in Income levy leaver form 2010</t>
  </si>
  <si>
    <t>PY-IE:P35L XML file leviable pay can be 'zero' (HIECEOY0)</t>
  </si>
  <si>
    <t>Inconsistency in HRESSIN_F16 (ITS scenario for Form 16)</t>
  </si>
  <si>
    <t>Form 16 not generated based on company code</t>
  </si>
  <si>
    <t>Budget 2009 : Enabling computation of company car perquisite</t>
  </si>
  <si>
    <t>Removal of check in case Challan date is prior to pay date</t>
  </si>
  <si>
    <t>HR-IT: Emens INPS KEY not being correctly splited</t>
  </si>
  <si>
    <t>HR-IT: TFR blocking error message in case of go-live system</t>
  </si>
  <si>
    <t>HR-IT: Emens - section ANF wrongly generated</t>
  </si>
  <si>
    <t>HR-IT: Wrong XML generation for CoCoCo employees</t>
  </si>
  <si>
    <t>HR-IT: ICPRV-Incorrect management of minimum threshold</t>
  </si>
  <si>
    <t>HR-IT: Side Effects of T5ITW5-CODE field type change</t>
  </si>
  <si>
    <t>HR IT: CUD 2010 legal procedure</t>
  </si>
  <si>
    <t>HR-IT: Replacement of Enhancement HRPAIT02 with a BadI</t>
  </si>
  <si>
    <t>HR-IT: UNIEmens Correction Package 4</t>
  </si>
  <si>
    <t>HR-IT: Side Effects of T5ITW5-CODE type change on 770 2009</t>
  </si>
  <si>
    <t>HR-IT: No Giorni CIG Wage type for a long period</t>
  </si>
  <si>
    <t>HR-IT: Error in ITQGF in case of re-hire</t>
  </si>
  <si>
    <t>HR-IT: EMENS Unauthorized CIG in SETTIMANA - CIG PREGRESSA</t>
  </si>
  <si>
    <t>HR-IT: ANF - ALV Labels for program RPCANFI1</t>
  </si>
  <si>
    <t>HR-IT: UNIEmens Correction Package 5</t>
  </si>
  <si>
    <t>HR-IT: IT0021 consistency check between country and region</t>
  </si>
  <si>
    <t>HR-IT: UNIEmens Correction Package 6</t>
  </si>
  <si>
    <t>HR-IT: Uniemens customizing analysis tool</t>
  </si>
  <si>
    <t>HR-IT: Change in payroll rule ITFD</t>
  </si>
  <si>
    <t>HR-IT: ITQGF: Arrears wagetypes wrongly generated in January</t>
  </si>
  <si>
    <t>HR-IT: CUD 2010 correction package I</t>
  </si>
  <si>
    <t>LC2010 Labor Standards Act Legal Change Phase 1</t>
  </si>
  <si>
    <t>RPCEADJ0:Initialization Problem of Selection Screen for DME</t>
  </si>
  <si>
    <t>RPCEWGJ1: Unnecessary Zero Displays in Total Field of Syoyo</t>
  </si>
  <si>
    <t>RPCECKJ0: Dump When Amount of WT /Y63 or /Y57 Is Too Large</t>
  </si>
  <si>
    <t>Corrections for Withdrawn of Stock Option</t>
  </si>
  <si>
    <t>Corrections and Enhancements for Year End Adjustment 2009</t>
  </si>
  <si>
    <t>LC2010: Tax Exemption &amp; 30% Non-taxable for Foreign Employee</t>
  </si>
  <si>
    <t>Print Non-Taxable Allowances on YEA List</t>
  </si>
  <si>
    <t>Add "Aportes de Ahorro Solidario" fields to SAR tables</t>
  </si>
  <si>
    <t>HMXCALC0: SDI variable wages zeroed for some periods.</t>
  </si>
  <si>
    <t>Rounding error in risk contribution calculation</t>
  </si>
  <si>
    <t>MXCRT accumulations cleared twice in rehire with off-cycle</t>
  </si>
  <si>
    <t>New State tax for Mexico City on 2010</t>
  </si>
  <si>
    <t>Infonavit Discount when Minimum Wage Changes</t>
  </si>
  <si>
    <t>New DEM File layout for 2009</t>
  </si>
  <si>
    <t>HMXCDAN0: Negative values for taxes are not considered</t>
  </si>
  <si>
    <t>New State tax table for Chihuahua</t>
  </si>
  <si>
    <t>HMXCIPDPBS: Employees with void payroll not reported</t>
  </si>
  <si>
    <t>MY bugdet 2010 - 3 ( Housing loan &amp; broadband fees )</t>
  </si>
  <si>
    <t>TP1 Form: Corrections in Item C5 and D1.</t>
  </si>
  <si>
    <t>TP1 form:Mulitple employee's err, Employer tax reference nos</t>
  </si>
  <si>
    <t>PCB 2009: Formulae Correction</t>
  </si>
  <si>
    <t>Incorrect tax if family infotype maintained for future date</t>
  </si>
  <si>
    <t>Arrear calculation using PCB 2004 OR PCB 2009 formula</t>
  </si>
  <si>
    <t>Tax on Additional Remuneration is incorrect - Table T5LTR</t>
  </si>
  <si>
    <t>PY-MY : Payroll program termination</t>
  </si>
  <si>
    <t>Simultaneous use of white and green tax table part 2</t>
  </si>
  <si>
    <t>RPCAKHN0: Payment Reduction Overview without /44X,/44Y,/44Z</t>
  </si>
  <si>
    <t>RPLAKHN0: P0303-SKNOW,-DVMBO,-DSTAG,-DLEVC,-DLINC missing</t>
  </si>
  <si>
    <t>RPCNETN0:Searchhelp for POLLC shows values for all countries</t>
  </si>
  <si>
    <t>RPCALCN0: Unexpected results with NGCI0 in gross up</t>
  </si>
  <si>
    <t>ESS Annual Statement EE: Customizing for Form not read</t>
  </si>
  <si>
    <t>RPCJWNN1: End-date for Cancellations displayed incorrectly</t>
  </si>
  <si>
    <t>ESS Annual Statement EE: No address shown</t>
  </si>
  <si>
    <t>Aangifte LH: VTS-Error upon initial AWF premium</t>
  </si>
  <si>
    <t>Aangifte LH: No Premium Reduction for 2009 present</t>
  </si>
  <si>
    <t>Correction to few Reimbursement Issues - Jan 2010</t>
  </si>
  <si>
    <t>ATS Reporting for 2009 Issues: Part 2</t>
  </si>
  <si>
    <t>ERC: Incorrect Municipality from IT0173</t>
  </si>
  <si>
    <t>ATS Reporting for 2009 Issues: Part 3</t>
  </si>
  <si>
    <t>ATS Reporting for 2009 Issues: Part 4</t>
  </si>
  <si>
    <t>Payroll Norway - Public Sector</t>
  </si>
  <si>
    <t>SPK: Hourly employee with no hours should not be reported</t>
  </si>
  <si>
    <t>IT0960-DS Assignment Count Incorrect</t>
  </si>
  <si>
    <t>Rental Subsidy-Amount Incorrect during Marital Status change</t>
  </si>
  <si>
    <t>New Metastars required: IRD No., Tax Code, Accruals</t>
  </si>
  <si>
    <t>Legal Changes: Financial Year 2010-2011</t>
  </si>
  <si>
    <t>PY-PH</t>
  </si>
  <si>
    <t>Philippines</t>
  </si>
  <si>
    <t>PY-PH: Company Name character limitation in Statutory forms.</t>
  </si>
  <si>
    <t>RPCFEEP0:Invalid amounts reported when IT0057 overlap occurs</t>
  </si>
  <si>
    <t>HR-PT Social Balance: Wrong totals for "Leaving Data"</t>
  </si>
  <si>
    <t>RPCPRSP0: Wrong qualification level code reported</t>
  </si>
  <si>
    <t>RPCAIDP0: Other deductions for Social Security customizing</t>
  </si>
  <si>
    <t>Calculation of tax bases IN period for some wage types</t>
  </si>
  <si>
    <t>HR-RU: Reports HRUL4FSS and HRULSICK wrong reading refpernr</t>
  </si>
  <si>
    <t>Changes in file generated by report RPSSBSS0</t>
  </si>
  <si>
    <t>Further Legal Changes in Annual Tax Statement(RPCKU1S0) 2009</t>
  </si>
  <si>
    <t>Annual Tax Statement RPCKU1S0: Correction to Note 1424580</t>
  </si>
  <si>
    <t>RPLAMFS0 - Reporting on Employee level per AMF number</t>
  </si>
  <si>
    <t>ATS Report RPCKU1S0: Employees who are Experts part of year</t>
  </si>
  <si>
    <t>PY-SG: Legal changes to IR21 2009 - 2010</t>
  </si>
  <si>
    <t>IR8A/IR8S Legal Changes 2009-10</t>
  </si>
  <si>
    <t>THAI Forms - seperate forms for English and Thai versions</t>
  </si>
  <si>
    <t>PIT91 form page2 - same amount for section C7 and C12</t>
  </si>
  <si>
    <t>Incorrect Tax Calculation for Tax Category D</t>
  </si>
  <si>
    <t>The DME file generated by HTWCTXW0 misses character 8A</t>
  </si>
  <si>
    <t>Implementing XLIDI for US.</t>
  </si>
  <si>
    <t>RPCLMRU0: Infotype 0909 records are not generated.</t>
  </si>
  <si>
    <t>Year End 2009 Additional U.S. Tax Reporter Changes.</t>
  </si>
  <si>
    <t>YE09:W-2 in background mode for EE w/multiple tax companies</t>
  </si>
  <si>
    <t>AL EFW2: State Employer Account number on RS record.</t>
  </si>
  <si>
    <t>SAP ERP 6.04 only: BADI_PRINT_W2_CHECK is not called.</t>
  </si>
  <si>
    <t>YE09: PDF corrections, IL/MA/DE Mag. Media compliance.</t>
  </si>
  <si>
    <t>CE: Claim amount not adjusted in payroll runs.</t>
  </si>
  <si>
    <t>Problems using the collective vacations report</t>
  </si>
  <si>
    <t>UIF related Issues</t>
  </si>
  <si>
    <t>SAPKE60420</t>
  </si>
  <si>
    <t>Short dump or error message in extractor 0HR_PY_PP_1</t>
  </si>
  <si>
    <t>Performance of extractor 0HR_PY_PP_ after impl. Note 1407249</t>
  </si>
  <si>
    <t>The PCH based report not working from Portal</t>
  </si>
  <si>
    <t>HRWPC_RFC_EE_GET_ASSETS not returning objects on loan</t>
  </si>
  <si>
    <t>ALV-Staffelung bei mehreren Ein- und Austritten in Folge</t>
  </si>
  <si>
    <t>RPTSWAA0: Planstellenlangtext aus dem Org. Management</t>
  </si>
  <si>
    <t>JW 2009/10 Eingetragene Partnerschaft</t>
  </si>
  <si>
    <t>Anpassungen IT367 - Kündigungsentschädigung</t>
  </si>
  <si>
    <t>Back Button Triggers Short Dump for IT0002 ITS Scenario</t>
  </si>
  <si>
    <t>Incorrect Change Behavior in Infotype 0185 screen 2228</t>
  </si>
  <si>
    <t>IT 0079 Base rate cannot be evaluated in query</t>
  </si>
  <si>
    <t>Lock indicator missing in overview screen of IT0218</t>
  </si>
  <si>
    <t>IT0217: Problem with F4-help of field: P0217-PCS</t>
  </si>
  <si>
    <t>Booking on TN Child not possible</t>
  </si>
  <si>
    <t>TN ID and texts empty after selecting a TN during booking</t>
  </si>
  <si>
    <t>2483: Errors in frame B, columns c to h, lines 9 to 12</t>
  </si>
  <si>
    <t>F4 helps for TTYPE, TPCAT, TFCAT in IT1686 displays nothing</t>
  </si>
  <si>
    <t>Objective category not filled in snapshot TemSe files</t>
  </si>
  <si>
    <t>IT1687: Field properties (T777IFPROPC) not considered</t>
  </si>
  <si>
    <t>2483 Headcount errors in frame B and amount error in frame F</t>
  </si>
  <si>
    <t>LSO_PSV1 issue with booking french employees on Linux serv</t>
  </si>
  <si>
    <t>Time Units Text not display in french</t>
  </si>
  <si>
    <t>Extending IT1684 with company</t>
  </si>
  <si>
    <t>Generated DIF quota is incorrect for positive time recording</t>
  </si>
  <si>
    <t>dummy</t>
  </si>
  <si>
    <t>Dummy Note no need release</t>
  </si>
  <si>
    <t>HJPUBP_PNTASN: Incorrect Basic Point for Retired Employee</t>
  </si>
  <si>
    <t>Delimit Function Performs Incorrectly for Infotype 0853</t>
  </si>
  <si>
    <t>IT3203/IT3204: Enhancement on 'Fill Default Entries' Button</t>
  </si>
  <si>
    <t>HJPULA_GRTIMEOF: BI Session Not Created In Background Mode</t>
  </si>
  <si>
    <t>HJPUCP_REVPRD: F4 Help Error for RPPARM in Selection Screen</t>
  </si>
  <si>
    <t>Enhancement on YEA and Retirement Payroll</t>
  </si>
  <si>
    <t>HCM NL: Outdated reports</t>
  </si>
  <si>
    <t>Infotype 0021 NL: Error when selecting record from overview</t>
  </si>
  <si>
    <t>IT0854: Old IBAN functions and IT-decoupling leads to dump</t>
  </si>
  <si>
    <t>Issue in defaulting the Pay Scale Level in IT0008</t>
  </si>
  <si>
    <t>HRULPFP5: period of unpaid absences or temporary disability</t>
  </si>
  <si>
    <t>HRULPFP11: zero debts missing in XML-file</t>
  </si>
  <si>
    <t>HRULPFP11: organization data for several Legal Persons</t>
  </si>
  <si>
    <t>HR-RU: Propose IBAN button in view V_T7RU_521B</t>
  </si>
  <si>
    <t>No input check for education document in the infotype 0022</t>
  </si>
  <si>
    <t>Fixing symptom of Note 1299754 after Note 1401264</t>
  </si>
  <si>
    <t>HRUADSV3: Payment period</t>
  </si>
  <si>
    <t>Non-flat PRUORDT* structures in HR-RU smartforms</t>
  </si>
  <si>
    <t>Multiline for field "Reason" of form T-60</t>
  </si>
  <si>
    <t>0EMPLOYEE_0077_ATTR needs Vet. status, race fields.</t>
  </si>
  <si>
    <t>NC-9901 Report Corrections, incl. Wage Type Selection</t>
  </si>
  <si>
    <t>ESS W-2 Reprint: cannot reprint previous years' forms</t>
  </si>
  <si>
    <t>PA-PA-ZA</t>
  </si>
  <si>
    <t>PA-PA-ZA-EE</t>
  </si>
  <si>
    <t>Employment Equity</t>
  </si>
  <si>
    <t>EEA2 : Section 5.2 , 6.1 &amp; 6.2</t>
  </si>
  <si>
    <t>RBM: Resetting incorrect B2A outbound processes</t>
  </si>
  <si>
    <t>Pension equalization payment: Corrections/Enhancement 2</t>
  </si>
  <si>
    <t>Pension rcpt notif: MZ01 corrections/enhancements (MAR/2010)</t>
  </si>
  <si>
    <t>Program improvements RPCPKAN0 incl double</t>
  </si>
  <si>
    <t>PE-IN-CB</t>
  </si>
  <si>
    <t>Billing and Activity Allocation</t>
  </si>
  <si>
    <t>Address house number not taken into account in credit memo</t>
  </si>
  <si>
    <t>Time Data Recording and Management</t>
  </si>
  <si>
    <t>User Interface</t>
  </si>
  <si>
    <t>PT-RC-UI-IA</t>
  </si>
  <si>
    <t>Internet Applications</t>
  </si>
  <si>
    <t>PZ17 shown incorrectly in Unicode languages</t>
  </si>
  <si>
    <t>PT-RC-UI-XS</t>
  </si>
  <si>
    <t>Self Services Web Dynpro</t>
  </si>
  <si>
    <t>Documentation for characteristic WEBMO is obsolete</t>
  </si>
  <si>
    <t>PP61: Table leaves screen space unused</t>
  </si>
  <si>
    <t>Korrektur an Personalrechenregel AJB - Grenzgängerabrechnung</t>
  </si>
  <si>
    <t>PCALZ: Korrekturen zu Generierung von ELDA Sätzen</t>
  </si>
  <si>
    <t>JW 2010: ELDA Änderung bei der Versichertenmeldung</t>
  </si>
  <si>
    <t>PCALZ: LZ SV Beitragsgrundlage Teilentgelt nur bis HBG</t>
  </si>
  <si>
    <t>IMG-Aktivität für BAdI HRPAYAT_RPTSWAA0_Z2</t>
  </si>
  <si>
    <t>JW 2009/10 Altersteilzeit</t>
  </si>
  <si>
    <t>PCALZ: Ergänzung der Prüfung Alleinverdiener oder -erzieher</t>
  </si>
  <si>
    <t>JW 2010: ELDA Änderungen bei der BVA</t>
  </si>
  <si>
    <t>ASV00: Exit in RPCV00A2</t>
  </si>
  <si>
    <t>SV ÖD: Prämie als SV laufend falsch berücksichtigt</t>
  </si>
  <si>
    <t>SV ÖD: Korrekturlohnarten nicht richtig verarbeitet</t>
  </si>
  <si>
    <t>Split ETP: Incorrect payment of cap difference</t>
  </si>
  <si>
    <t>Termination organiser - payroll simulation not successful.</t>
  </si>
  <si>
    <t>RSAS Incorrect incase of a wpbp split</t>
  </si>
  <si>
    <t>Override report corrected for delete option</t>
  </si>
  <si>
    <t>PAYG RESC and RSAS amounts doubling up on Retro</t>
  </si>
  <si>
    <t>ETP Reconciliation Report incorrect date format</t>
  </si>
  <si>
    <t>Listing Report does not generate results based on per. seln.</t>
  </si>
  <si>
    <t>Function AUTLS splits LSL components incorrectly.</t>
  </si>
  <si>
    <t>SOCIAL BALANCE: New release for 2009 declaration</t>
  </si>
  <si>
    <t>No fixed cost bonus when ST split and /452 empty</t>
  </si>
  <si>
    <t>Belcotax - Customizing of printouts - fiches</t>
  </si>
  <si>
    <t>Tax calculation for admin. above limit norm. tax calculation</t>
  </si>
  <si>
    <t>FINPROF: RPCBWEB0 - amounts are cumulated several times</t>
  </si>
  <si>
    <t>BELCOTAX: Errors 2.055 and 2.056 if reorganizational change</t>
  </si>
  <si>
    <t>DmfA/PPL: Support of different monthly PERMOs in a quarter</t>
  </si>
  <si>
    <t>Payroll Account (RPCKTOB0) - Company ID missing</t>
  </si>
  <si>
    <t>BELCOTAX: Zone 2.035 correction (based in evcl.14)</t>
  </si>
  <si>
    <t>Payroll / BALLW: Legal changes as of 01.01.2010 for Activa</t>
  </si>
  <si>
    <t>BELCOTAX/FINPROF: problem to read payroll if retroactivity</t>
  </si>
  <si>
    <t>Pollution category (POLLC) on infotype Company Car (0442)</t>
  </si>
  <si>
    <t>FINPROF - Tag &lt;Office Amount&gt; not correct for more than 10</t>
  </si>
  <si>
    <t>DmfA/PPL: No CUNP 851 on pension payments to inactives</t>
  </si>
  <si>
    <t>BELCOTAX: Zone 2.020 fix (legal cohabitant synchronization)</t>
  </si>
  <si>
    <t>RPCBWAB0: Retrieval of field 2102 in form 281.18 not correct</t>
  </si>
  <si>
    <t>GPS: Screen documentation updated</t>
  </si>
  <si>
    <t>FAP - Legal Change - Decree no. 6.957, 2009</t>
  </si>
  <si>
    <t>HBRCAGED: Legal Change 2010</t>
  </si>
  <si>
    <t>FAP - Wrong values in Retrocalculation</t>
  </si>
  <si>
    <t>ROE exporter exports voided ROEs</t>
  </si>
  <si>
    <t>YE09:Original Releve 1 Number not printed on forms</t>
  </si>
  <si>
    <t>YE09:Recipient code not showing in T4A-NR</t>
  </si>
  <si>
    <t>YE09: Box H missing from summary of 2009 RL1 XML</t>
  </si>
  <si>
    <t>YE09:T4/T4A 'TEST PRINT' Not Printed using Output log</t>
  </si>
  <si>
    <t>YE09 : BOX22 AND BOX24 data missing in T4A/RL2 combo form</t>
  </si>
  <si>
    <t>MfA: Incorr UI/UVG contrbtns and wages as of prds w/o wages</t>
  </si>
  <si>
    <t>Incorrect UI2 or UI-exempt wage in AHV pay statement 2009</t>
  </si>
  <si>
    <t>Various reports return errors in the selection options</t>
  </si>
  <si>
    <t>AKIS Lohn'08: Documentation and IMG</t>
  </si>
  <si>
    <t>Family equaliz. fund: Revision of doc. "Max. child number"</t>
  </si>
  <si>
    <t>ISEL: New cumultn wage types for gross and non-perdc pyments</t>
  </si>
  <si>
    <t>Program termination RPLVERC0 'collect_overflow_type_p'</t>
  </si>
  <si>
    <t>AHV pay stmnt: Addtl display of birth date for liable wages</t>
  </si>
  <si>
    <t>ELM: Totals duplicated in XML if many PY units per recipient</t>
  </si>
  <si>
    <t>ELM: Wage statement/tax for pensioners cannot be reported</t>
  </si>
  <si>
    <t>ISEL: Arrears payment in inactive work relationship</t>
  </si>
  <si>
    <t>ISEL: Error for short-term residents (L) with &gt;120 work days</t>
  </si>
  <si>
    <t>ISEL: XML file is invalid if withholding tax amount 0 CHF</t>
  </si>
  <si>
    <t>PM01: Neue Felder im Übersichtsbild IT0021 CH ohne Inhalt</t>
  </si>
  <si>
    <t>AKIS08: Empty lines in output, Action/reason parameter</t>
  </si>
  <si>
    <t>ISEL: Persons w/o children have entries for children in XML</t>
  </si>
  <si>
    <t>PY-CL: Chile payroll - Corrections and Improvements</t>
  </si>
  <si>
    <t>Tax on Employer's Contribution to Corporate Pension</t>
  </si>
  <si>
    <t>Year End Tax Report: Add 'Taxable Income' To Mail Text</t>
  </si>
  <si>
    <t>Corrections in infotypes (4)</t>
  </si>
  <si>
    <t>SR: Incorrect definition of stat. net amount acc. to EBeschR</t>
  </si>
  <si>
    <t>B2A: Test reports SP RPUSVHD0, RPUTX1D0, RPUSVLD0</t>
  </si>
  <si>
    <t>ELENA: Improvements to the procedure</t>
  </si>
  <si>
    <t>ELENA: Supplement to SAP Note 1426592 for SV/OENR</t>
  </si>
  <si>
    <t>SI: Corrections based on DE/EN translation</t>
  </si>
  <si>
    <t>SV: E-mail inbox, paying offices, processing confirmations</t>
  </si>
  <si>
    <t>SI: Extension to Signature Check during Decryption</t>
  </si>
  <si>
    <t>DEUEV (UVMG): Corrections</t>
  </si>
  <si>
    <t>Fiscal year change 2009/2010 DEUEV: corrections (2)</t>
  </si>
  <si>
    <t>DEUEV: Check of AI master data file</t>
  </si>
  <si>
    <t>DEUEV (UVMG): Results of meeting dated November 24/25, 2009</t>
  </si>
  <si>
    <t>PPO-DEUEV: Notifications with SI key 0000 as of Jan. 1, 2010</t>
  </si>
  <si>
    <t>DEUEV(Accident Insurance Modernztn Act(UVMG)) Corrections II</t>
  </si>
  <si>
    <t>ELENA: Corrections after fiscal year change 5</t>
  </si>
  <si>
    <t>ELENA: Corrections after Fiscal Year Change 6</t>
  </si>
  <si>
    <t>ELENA: Corrections after fiscal year change 7</t>
  </si>
  <si>
    <t>Remuneration statement: Print retroactive runs (RPCEDTD0)</t>
  </si>
  <si>
    <t>Remuneration statement: Improvements in DF01, DFKA, and DFB1</t>
  </si>
  <si>
    <t>Remuneration statements: Improvements to identifiers</t>
  </si>
  <si>
    <t>Payroll Account: Wage Types for Bank Employees (BVV)</t>
  </si>
  <si>
    <t>Garnishment principle of origin: Termination in SIMU_O</t>
  </si>
  <si>
    <t>Garnishment, Principle of Origin: Gross Overpayment Correctn</t>
  </si>
  <si>
    <t>Automatic evaluation of reporting files</t>
  </si>
  <si>
    <t>Calc. of contrib. to care insurance for people w/o children</t>
  </si>
  <si>
    <t>Errors in connection with SAP Note 1414908</t>
  </si>
  <si>
    <t>Error while deducting contributions to prof. pension schemes</t>
  </si>
  <si>
    <t>Error while importing the contribution rate file</t>
  </si>
  <si>
    <t>Employment tax statement: Corrections for March 2010</t>
  </si>
  <si>
    <t>VSP: Changes/corrections 03 2010</t>
  </si>
  <si>
    <t>BI report for setting SI attrib. 20 for retired PS employees</t>
  </si>
  <si>
    <t>Error during taxation of compensations</t>
  </si>
  <si>
    <t>ELSTER II - Adjustment of the report for the tax ID</t>
  </si>
  <si>
    <t>ETStmt: Corrections 03 2010 (II)</t>
  </si>
  <si>
    <t>Employment tax statement: Corrections 03 2010 (III)</t>
  </si>
  <si>
    <t>No display of child allowance stats w/ distributed reporting</t>
  </si>
  <si>
    <t>ZfA: Change key date for Zusy Release 16 (IMPORTANT)</t>
  </si>
  <si>
    <t>Error while calculating ER contribution with 2 CFS contracts</t>
  </si>
  <si>
    <t>Hospital statistics for the 2009 reporting period</t>
  </si>
  <si>
    <t>Error in Function DOZMG</t>
  </si>
  <si>
    <t>ZfA: Error in BZ01-XML after Zusy Release z16</t>
  </si>
  <si>
    <t>DNeuG: Additional income upper limit sect 53, para 2, no.3</t>
  </si>
  <si>
    <t>DNeuG: Tax ex. for pensions upper limit sec. 53 para. 2 no.3</t>
  </si>
  <si>
    <t>Error in Index-Linking of Reduction Para.57 BeatmVG+CourtDec</t>
  </si>
  <si>
    <t>Error in payroll for supplementary pension (February 2010)</t>
  </si>
  <si>
    <t>Infotype 0051 cannot be created (March 2010)</t>
  </si>
  <si>
    <t>Contrib.Amt Surcharge for Insolvency Risk in Contrib. System</t>
  </si>
  <si>
    <t>Leave reserve: Projection for unpaid absences</t>
  </si>
  <si>
    <t>TC: Incorrect canarian distribution</t>
  </si>
  <si>
    <t>ERE: Manual basis for contribution calculation</t>
  </si>
  <si>
    <t>BRD calculation with a contract change - Retro control</t>
  </si>
  <si>
    <t>Coinem forms corrections</t>
  </si>
  <si>
    <t>Contributions Amounts 2010</t>
  </si>
  <si>
    <t>No relevant relative is being considered for IRPF</t>
  </si>
  <si>
    <t>Batch input mode not working properly for RPCAFIE0</t>
  </si>
  <si>
    <t>Report RPUDBSE0 does not update constant SIPRM in T511P</t>
  </si>
  <si>
    <t>190 - Problems during the birthday year validation in 190</t>
  </si>
  <si>
    <t>IRPF 2010: Other corrections at retention percentage type</t>
  </si>
  <si>
    <t>190 - Mortgage indicator is not correct</t>
  </si>
  <si>
    <t>Error in calculation of economic details for Delt@</t>
  </si>
  <si>
    <t>190 - legal changes 2010 - missing corrections</t>
  </si>
  <si>
    <t>190 - Corrections on file generation content</t>
  </si>
  <si>
    <t>190 - Invalid field content for Alava and Guipuzcoa</t>
  </si>
  <si>
    <t>TC: Bonification not reported for maternity protection</t>
  </si>
  <si>
    <t>Change in Contribution to Common Services</t>
  </si>
  <si>
    <t>Error with collision of absences in RPTGENE0</t>
  </si>
  <si>
    <t>Finland: Reconciliation relevant changes in reports</t>
  </si>
  <si>
    <t>HFICTAX0, HFILTYEL0 and HFILTYEL1 incorrect offcycle payroll</t>
  </si>
  <si>
    <t>HFISTBC0 Fields TehtPalk and PerTuPa incorrrect for monthly</t>
  </si>
  <si>
    <t>HFILTYEL1:TYEL yearly report incorrect absences</t>
  </si>
  <si>
    <t>Wagetypes /3PC, /3AC, /3UN and /3GL incorrect in retro case</t>
  </si>
  <si>
    <t>HFILTAX0: Company as an Employee reporting issue in ATS</t>
  </si>
  <si>
    <t>Att. ASSEDIC - Suspension lines wrongly displayed (and more)</t>
  </si>
  <si>
    <t>DADSU: S45, Contribution link to "sociétés assurance/prév."</t>
  </si>
  <si>
    <t>No transaction for RPLANCF1</t>
  </si>
  <si>
    <t>T5F5Q: missing search help for SIREN / NUMIC</t>
  </si>
  <si>
    <t>2010 parameters for French payroll</t>
  </si>
  <si>
    <t>S41.G01.04 wrongly generated if wage type are negative</t>
  </si>
  <si>
    <t>095/096 S41 periods not generated in case of negative amount</t>
  </si>
  <si>
    <t>DUCS EDI: Changes of rate for transport contributions</t>
  </si>
  <si>
    <t>Address in structure S70 is empty</t>
  </si>
  <si>
    <t>Deletion of temse with deltas and incorrect delta for S45</t>
  </si>
  <si>
    <t>DADSU: S41 sub-sections excluded in declaration kind 08</t>
  </si>
  <si>
    <t>RPLCTRF0: Missing fields ORG02 &amp; COT02 in Provide statement</t>
  </si>
  <si>
    <t>DADSU: S45 account number for bank transfer</t>
  </si>
  <si>
    <t>DUCS Paper: Amounts for Pers. Types with fourth char. 'A'</t>
  </si>
  <si>
    <t>New types of wage elements needed for IJSS entitlement</t>
  </si>
  <si>
    <t>RPLCTRF0: field DIVGV compared &amp; reported twice</t>
  </si>
  <si>
    <t>REGNO, REGSS, REGAC and REGRT with same data element</t>
  </si>
  <si>
    <t>Restoring include HFRPAYDATA</t>
  </si>
  <si>
    <t>RLAVGF0PBS: Problem removing a personal number from the list</t>
  </si>
  <si>
    <t>DADS-U: Field "S46.G01.01.001"(IRCANTEC) ignoring code "10"</t>
  </si>
  <si>
    <t>Delivery of for Pension Age Constant for Women</t>
  </si>
  <si>
    <t>Absences: Late Notification Error in Infotype 88</t>
  </si>
  <si>
    <t>Issue with IT0070 Bank Details when IBAN is active</t>
  </si>
  <si>
    <t>Issue with D0 tax code after applying Note 1402329</t>
  </si>
  <si>
    <t>Report RPLPENG0_LGPS_DET is giving incorrect EE &amp; ER rate</t>
  </si>
  <si>
    <t>SWF: Additional Payments and Working days lost</t>
  </si>
  <si>
    <t>Modification to IT0065 error message categories</t>
  </si>
  <si>
    <t>Generic issues related to School work force(SWF)</t>
  </si>
  <si>
    <t>USS Interface File Format Changes for April 2010</t>
  </si>
  <si>
    <t>Inconsistent Cumulative Class 31 check in IT0793</t>
  </si>
  <si>
    <t>Employer's name and address not displayed in P14 Form output</t>
  </si>
  <si>
    <t>P45 leaver report issues for rehires &amp; student employees</t>
  </si>
  <si>
    <t>IYMV report setting correction indicator in IT3 after issue</t>
  </si>
  <si>
    <t>P11D Non Statutory Form for 2009-10</t>
  </si>
  <si>
    <t>Incorrect MPF When Off-cycle Date is the Org.Change Date</t>
  </si>
  <si>
    <t>Missing MPF Contribution in Off-Cycle Run</t>
  </si>
  <si>
    <t>Correction to E-SPT: Status Kawin, FLAG_STATUS, Status PTKP</t>
  </si>
  <si>
    <t>PY-ID: Legal change 2009 - Severance payment tax calculation</t>
  </si>
  <si>
    <t>E-SPT: A21 column appearing twice in downloaded excel sheet</t>
  </si>
  <si>
    <t>PY-IE : Tax rebate processed again in retro</t>
  </si>
  <si>
    <t>IEAHL: Income Levy annulaisation Calculation</t>
  </si>
  <si>
    <t>PY-IE:HIECEOY0 error msge incorrect if display mode changes</t>
  </si>
  <si>
    <t>PY-IE:EOY Income Levy form 2009 employee's address placement</t>
  </si>
  <si>
    <t>AHP: Tax Incorrectly calculated for Period 1 holidays</t>
  </si>
  <si>
    <t>Checkman Errors-Payroll India(internal SAP Development only)</t>
  </si>
  <si>
    <t>PPF investment limit under section 80C is Rs 70,000</t>
  </si>
  <si>
    <t>HINCEPF0: Address not displayed consistently in PDF format</t>
  </si>
  <si>
    <t>Change in ESI Eligibility limit for physically disabled Ees</t>
  </si>
  <si>
    <t>Fully mapped emp. displayed as partially mapped in HINUCMAP</t>
  </si>
  <si>
    <t>Enabling efile for Form 3A</t>
  </si>
  <si>
    <t>Form 217 displays inconsistent results in case of rehiring</t>
  </si>
  <si>
    <t>Basic pay generated inconsistntly through Termination WBench</t>
  </si>
  <si>
    <t>ESI FORM 5:Addition of Dispensary information</t>
  </si>
  <si>
    <t>TDS deducted due to Income from Lettable house property</t>
  </si>
  <si>
    <t>Total Tax deposited displayd inconsisntly on page3 of Form16</t>
  </si>
  <si>
    <t>Short Dump for Chhattisgarh Professional Tax</t>
  </si>
  <si>
    <t>LWF contri. calculated incnsistntly for terminated employees</t>
  </si>
  <si>
    <t>Error if second and third car price exceeds Rs.999999.99</t>
  </si>
  <si>
    <t>Error while processing rule IN71 in payroll run</t>
  </si>
  <si>
    <t>Incorrect Ptax basis projection in MP state for add. payment</t>
  </si>
  <si>
    <t>Error in Form 24Q incase the TAN reporting switch not active</t>
  </si>
  <si>
    <t>Retirement benf. excluded from salary components at termintn</t>
  </si>
  <si>
    <t>HINCF24Q:Inconsistency while picking TAN from feature 40ECC</t>
  </si>
  <si>
    <t>Inconsistent tax calc. if Sec80 investments GT total limit</t>
  </si>
  <si>
    <t>HR-IT: ICPRV Annual settlement ignoring period wagetype</t>
  </si>
  <si>
    <t>HR-IT: Corrections on IT21 replacing IT156 - jan 2010</t>
  </si>
  <si>
    <t>HR-IT: Consistency check for fields City/State on IT0006</t>
  </si>
  <si>
    <t>HR-IT: CUD 2010 correction package II</t>
  </si>
  <si>
    <t>HR-IT: Uniemens Correction Package 7</t>
  </si>
  <si>
    <t>LC2010 Labor Standards Act Legal Change Phase 2</t>
  </si>
  <si>
    <t>Labo. Insu. status is not correctly judged for special cases</t>
  </si>
  <si>
    <t>Total Gross (/101) Cumulated Incorrectly in Payroll</t>
  </si>
  <si>
    <t>JA Texts Missing in Shukko Related Customizing Activities</t>
  </si>
  <si>
    <t>RPCECKJ0: Employee without YEA Is Selected Out As With YEA</t>
  </si>
  <si>
    <t>Default Value of Processing Class 30 for /OTA,/OTB,/OTN</t>
  </si>
  <si>
    <t>Korea Separation DME 2009 Format</t>
  </si>
  <si>
    <t>BAdI to Change the Business Place Data</t>
  </si>
  <si>
    <t>HKRSEPR0,HKRCYEG0,HKRCPTX0: Company Seal in sapscript form</t>
  </si>
  <si>
    <t>YEA Receipt And Donation DME Error Correction</t>
  </si>
  <si>
    <t>Correction on Exempted Tax Calculation</t>
  </si>
  <si>
    <t>Incorrect Carried Over Donation From YEA 2008</t>
  </si>
  <si>
    <t>Retrocalculation after hiring is not taking absences</t>
  </si>
  <si>
    <t>Changes to INFONAVIT credits report HMXCINF0</t>
  </si>
  <si>
    <t>HR-MX: Exemptions wrongly calculated for re-hired employees</t>
  </si>
  <si>
    <t>HR-MX: Bonus Christmas calculation after note 1412600</t>
  </si>
  <si>
    <t>Salary similars in new DEM File layout for 2009 and Form 37</t>
  </si>
  <si>
    <t>New Layout ISSSTE 2010</t>
  </si>
  <si>
    <t>HMXCSARPBS: absence days not included in WKDAY.</t>
  </si>
  <si>
    <t>HMXCSARPBS not considering negative values for /P05 and /PRG</t>
  </si>
  <si>
    <t>Postal code should not be truncated,EE name extended 42 char</t>
  </si>
  <si>
    <t>CP39A:Incorrect arrear year in CP39A for across month period</t>
  </si>
  <si>
    <t>Correction to Borang E form</t>
  </si>
  <si>
    <t>PY-MY: Tax computation on previous year arrears incorrect</t>
  </si>
  <si>
    <t>2009: EA Form Changes</t>
  </si>
  <si>
    <t>PY-MY: Incorrect date displayed on SOCSO 8A and 8B</t>
  </si>
  <si>
    <t>EA form: LC 2009</t>
  </si>
  <si>
    <t>PCB 2009: Tax calculation corrections</t>
  </si>
  <si>
    <t>PY-MY: SOCSO 8A and 8B (correction to Note 1431368)</t>
  </si>
  <si>
    <t>LC 2009: CP8D form &amp; Borang E</t>
  </si>
  <si>
    <t>Jaaropgave WN in case of multiple tax tables</t>
  </si>
  <si>
    <t>Aangifte LH: Error message during 4-weekly periods</t>
  </si>
  <si>
    <t>RPCALCN0:AKVG and Day Tax Table lead to incorr. Empl. Rebate</t>
  </si>
  <si>
    <t>RPIBBLN0: Calculation of the Annual Wage incorrect</t>
  </si>
  <si>
    <t>RPCALCN0:Inactive Student with only Special Payment pays ZVW</t>
  </si>
  <si>
    <t>Dump in RPCLAVN0: 'CX_SY_PROVIDE_INTERVAL_OVERLAP'</t>
  </si>
  <si>
    <t>RPCJWNN1: Wage ZVW and weekly payroll / low ZVW</t>
  </si>
  <si>
    <t>VTR57: Deductions happening in Payroll Correction run</t>
  </si>
  <si>
    <t>ATS Reporting for 2009 Issues: Part 5</t>
  </si>
  <si>
    <t>Reimbursement: No claims generated in VNAB</t>
  </si>
  <si>
    <t>ATS Report: Multiple lines for 118A</t>
  </si>
  <si>
    <t>Norway ATS: Printing of Form RF-1015B</t>
  </si>
  <si>
    <t>Norway ERC: Handling of wagetype MUNC in IT0014</t>
  </si>
  <si>
    <t>Correction to few Reimbursement Issues - Feb 2010</t>
  </si>
  <si>
    <t>ERC: Legal change for Altinn reporting for year 2010</t>
  </si>
  <si>
    <t>For Hourly employee the 60 hours limit changed to 37.33%</t>
  </si>
  <si>
    <t>Correction to Personnel Transitional Allowance(PTA)</t>
  </si>
  <si>
    <t>BAdi: Validations to Personal Identification No. in IT0002</t>
  </si>
  <si>
    <t>Corrections to Quota Correction Report - HUNTQTASLC</t>
  </si>
  <si>
    <t>PCR NZCS errors out when employee has no earnings</t>
  </si>
  <si>
    <t>Tax-NZ(IT0313) does not have option to maintain text</t>
  </si>
  <si>
    <t>HCM PT-PS SIADAP - Curricular weighting evaluation</t>
  </si>
  <si>
    <t>HCM PT-PS SIADAP - Goals of improvement validation</t>
  </si>
  <si>
    <t>HR-RU: Wrong reporting with off-cycle correction result</t>
  </si>
  <si>
    <t>CL_HRPAYRU_PLTAXRUN: method CALL_FEATURE works incorrectly</t>
  </si>
  <si>
    <t>HR-RU: Additions to realizations of Federal Law 212-FZ</t>
  </si>
  <si>
    <t>PLTAXRUN: incorrect processing of infotype 0121</t>
  </si>
  <si>
    <t>FORA Report RPLAMFS0 - Payments after termination</t>
  </si>
  <si>
    <t>ATS : Correction for experts &amp; handling of gross amounts</t>
  </si>
  <si>
    <t>RPLAMFS0: Termination date missing in file / ALV output</t>
  </si>
  <si>
    <t>RPCALCS0 terminates if retro across year &amp; EE age 65 or more</t>
  </si>
  <si>
    <t>Company Car Benefit: Bi-fuel (Petrol/Gas) cars</t>
  </si>
  <si>
    <t>RPLSPPS2: Field H29 reporting and payments after termination</t>
  </si>
  <si>
    <t>RPLAMFS0: All employment periods within year not considered</t>
  </si>
  <si>
    <t>IR8A E-sub file: Incorrect Commencement Date.</t>
  </si>
  <si>
    <t>Legal change 2010 - IT0739 and IR8A App8B corrections</t>
  </si>
  <si>
    <t>Legal changes to IR8E sapscript form for tax year ended 2009</t>
  </si>
  <si>
    <t>IR8A : BIK amount, IRASline MOA '275' &amp; '128' -ve amount</t>
  </si>
  <si>
    <t>Corrections to notes 1422690, 1422907 and 1423089</t>
  </si>
  <si>
    <t>IR8A IRASLine : Incorrect (MOA '354') when Negative salary</t>
  </si>
  <si>
    <t>Incorrect SS and PF projection for terminated EE</t>
  </si>
  <si>
    <t>EE and ER address in 50BIS form</t>
  </si>
  <si>
    <t>ITFIA and 50BIS - Incorrect output for semi monthly payroll</t>
  </si>
  <si>
    <t>PIT91- Page2 Sec A not reporting all digits for amount</t>
  </si>
  <si>
    <t>Form 52: Change the Value of Remark Field from D to H</t>
  </si>
  <si>
    <t>HTWCTXMO: Incorrectly Processes Off-Cycle Payment Result</t>
  </si>
  <si>
    <t>Round Up NHI Exemption Amount</t>
  </si>
  <si>
    <t>HTWCTXW0: incorrect ID type for foreigner more than 183 days</t>
  </si>
  <si>
    <t>CLM: US Overpayments causes short dump in payroll driver.</t>
  </si>
  <si>
    <t>PY-US-CE</t>
  </si>
  <si>
    <t>Concurrent Employment - Payroll USA</t>
  </si>
  <si>
    <t>PAY: V0-split not found after NAMC-run.</t>
  </si>
  <si>
    <t>Error generating qualification in RPUTCPU0_PBS.</t>
  </si>
  <si>
    <t>US Tax Reporter PDF Form Tagging for Accessibility</t>
  </si>
  <si>
    <t>Massachusetts SUI: ICESA and MMREF layouts rejected.</t>
  </si>
  <si>
    <t>Generation/Filing Dates tab shows all Form W-2 runs.</t>
  </si>
  <si>
    <t>TAX: Credit for tax type 82 in Colorado</t>
  </si>
  <si>
    <t>Payslip cannot be printed while comparing salary packages</t>
  </si>
  <si>
    <t>SAP HR Release 604, SDL is not getting cumulated in SCRT</t>
  </si>
  <si>
    <t>IRP5 2010- Paye reference number check</t>
  </si>
  <si>
    <t>IRP5 2010 Additional Information</t>
  </si>
  <si>
    <t>IRP5: BAdI for Master data (Infotype 0006 &amp; 0105)</t>
  </si>
  <si>
    <t>SCRT generating incorrect Splits after applying IRP5 2010</t>
  </si>
  <si>
    <t>Correction to note 1325922 - COID Threshold increase (2009)</t>
  </si>
  <si>
    <t>Enhancement to BAdI / WTX3 form / Postal Address</t>
  </si>
  <si>
    <t>South African Tax Year 2011 Table Changes</t>
  </si>
  <si>
    <t>SAPKE60421</t>
  </si>
  <si>
    <t>Selection of reporting time types during CATS extraction</t>
  </si>
  <si>
    <t>Unit field MEINS in the extractor 0HR_PY_PP_1</t>
  </si>
  <si>
    <t>Extractor 0HR_PY_1 terminates with an error message</t>
  </si>
  <si>
    <t>CA-GTF</t>
  </si>
  <si>
    <t>General Application Functions</t>
  </si>
  <si>
    <t>CA-GTF-WFM</t>
  </si>
  <si>
    <t>Workforce Management Core</t>
  </si>
  <si>
    <t>Resource availability transfer using RPTWFMIF does not work</t>
  </si>
  <si>
    <t>Field BVEKI of 0138 not taken into account for 0101</t>
  </si>
  <si>
    <t>Infotype 0101-Number of persons at charge wrongly defaulted</t>
  </si>
  <si>
    <t>PA-PA-CL</t>
  </si>
  <si>
    <t>IT0217 PCS Code Date Validation only if mandatory field</t>
  </si>
  <si>
    <t>Booking: A941 created without checking Course capacity limit</t>
  </si>
  <si>
    <t>TNM: Enhancements</t>
  </si>
  <si>
    <t>Impossible to individually define the number of nights</t>
  </si>
  <si>
    <t>Transaction for report RPCTNMFR_2483</t>
  </si>
  <si>
    <t>Dump in report RPCTNMFR_2483 with no valid data type</t>
  </si>
  <si>
    <t>Dump in report RPCTNMFR_2483 with illegal casting</t>
  </si>
  <si>
    <t>Copy of Infotypes 1036 and 1685 from object D to E</t>
  </si>
  <si>
    <t>Training courses outside selection period are selected</t>
  </si>
  <si>
    <t>ABAP dump while executing the report -HINUUPDATE_INFTY_LOAN</t>
  </si>
  <si>
    <t>RPCECKJ0: Selection Screen Reform for Period Selection</t>
  </si>
  <si>
    <t>HJPUBP_PNTASN: Value of JobGrade Type is Incorrect</t>
  </si>
  <si>
    <t>HJPUCP_APRCAL: Language Key Missing for Sub-plan Name</t>
  </si>
  <si>
    <t>IT0559: Unnecessary Space Lines in Screen 2000</t>
  </si>
  <si>
    <t>Infotype 0023: Incorrect Field Label</t>
  </si>
  <si>
    <t>HJPULA_GRTIMEOF: ALV Display Variant Missing</t>
  </si>
  <si>
    <t>HJPUBP_PNTASN: Language Key Missing for Point Description</t>
  </si>
  <si>
    <t>IT0888/0889/0890/0903: Label of Fields not Fully Displayed</t>
  </si>
  <si>
    <t>IT0145: Lock Indicator Not Displayed Correctly</t>
  </si>
  <si>
    <t>Wet Poortwachter: Multiple illnesses at the same time</t>
  </si>
  <si>
    <t>FlexBenNL: Plan Activation according to Infotype</t>
  </si>
  <si>
    <t>RPTZKMN2: UWV 0-10, Phone numbers during sickness corrected</t>
  </si>
  <si>
    <t>RPIBBLN0: Documentation updated</t>
  </si>
  <si>
    <t>HR-PT: "Maintain text" button is not appears in the IT0331</t>
  </si>
  <si>
    <t>Missing SS Institution text in infotype 0332</t>
  </si>
  <si>
    <t>HRULPFP11: issues with displaying debts in the form</t>
  </si>
  <si>
    <t>Infotype 0022 (screen 2033) translation missing</t>
  </si>
  <si>
    <t>HR-RU T-61, multiline reason of dismissal field</t>
  </si>
  <si>
    <t>DDHCHECK:Enhancement category for tables and structures</t>
  </si>
  <si>
    <t>ESS: US Family Members: Tel. no. validation errors</t>
  </si>
  <si>
    <t>Pension equalization payment: Corrections/Enhancements 3</t>
  </si>
  <si>
    <t>RBM: Restarting terminated B2A transfers</t>
  </si>
  <si>
    <t>PPN: Corrections/enhancements MZ01 (4/2010)</t>
  </si>
  <si>
    <t>RBM: Corrections/Enhancements MI01/IM01 (4/2010)</t>
  </si>
  <si>
    <t>PRN/ZfA: Error in outbound during PC download</t>
  </si>
  <si>
    <t>BAV: Selection of existing pension factor rules</t>
  </si>
  <si>
    <t>Supplementary benefit tax-free sec. 3 no. 63 EStG in ELENA</t>
  </si>
  <si>
    <t>Checks 604 HR Support Package 21</t>
  </si>
  <si>
    <t>RBM: Resetting incorrect B2A outbound processes (supplement)</t>
  </si>
  <si>
    <t>LSO Checkman Error</t>
  </si>
  <si>
    <t>Business Event Catalog</t>
  </si>
  <si>
    <t>Dynamic Menu: Short dump when changing a business event</t>
  </si>
  <si>
    <t>Attendance list and inactive employees</t>
  </si>
  <si>
    <t>Normal working time is not displayed correctly</t>
  </si>
  <si>
    <t>Date of the Social Insurance Last Payment</t>
  </si>
  <si>
    <t>Tax contribution does not consider ITs for the whole year</t>
  </si>
  <si>
    <t>SICOSS V33</t>
  </si>
  <si>
    <t>HR-AR: BCD_ZERODIVIDE short dump on program HARCIMPU</t>
  </si>
  <si>
    <t>Limiting adjustment of discounted tax /416 to year 2008</t>
  </si>
  <si>
    <t>Proration taking into account non taxable remuneration</t>
  </si>
  <si>
    <t>Function HRAR_SUBTRACT_MONTH_TO_DATE at end of month</t>
  </si>
  <si>
    <t>Other Employer data missing in table ARCIMP</t>
  </si>
  <si>
    <t>SICOSS V33 - Percentage Diff. Task</t>
  </si>
  <si>
    <t>Variable Remuneration for Vacation Payment - Automatic</t>
  </si>
  <si>
    <t>General Resolution 130/2010 - SIJP Employee Withholding</t>
  </si>
  <si>
    <t>SICOSS V33 - Wrong value for field "Rem. Imponible 9"</t>
  </si>
  <si>
    <t>New table for family allowances with direct pay (SUAF)</t>
  </si>
  <si>
    <t>Umsatzsteuer für Freie Dienstnehmer</t>
  </si>
  <si>
    <t>IMG-Aktivität für BAdI HRPAYAT_RPC_GET_RSLT</t>
  </si>
  <si>
    <t>PCALZ: Diverse Fehlerkorrektur im Jahr 2010</t>
  </si>
  <si>
    <t>Regel AJSH, Umbuchung UE nicht mehr notwendig</t>
  </si>
  <si>
    <t>BMV: Bemessungsgrundlage für KE falsch wenn Altersteilzeit</t>
  </si>
  <si>
    <t>Fehler im RPIGVEA0PBS bei Ausgabe einer Satzart 40</t>
  </si>
  <si>
    <t>Software data record incorrect in ATO output file(Version 9)</t>
  </si>
  <si>
    <t>Alignmt of Reportable super and foreign Inc fld is incorrect</t>
  </si>
  <si>
    <t>PS/ETP forms being set incorrectly</t>
  </si>
  <si>
    <t>Only minimum weeks of notice pay is being paid.</t>
  </si>
  <si>
    <t>PIA: In a reversal period, multiple /426 created in results.</t>
  </si>
  <si>
    <t>PIA: Additional tax wage type processing is not as expected.</t>
  </si>
  <si>
    <t>BELCOTAX: Flush during XML download for big files</t>
  </si>
  <si>
    <t>Company Car - No check against minimum criteria</t>
  </si>
  <si>
    <t>BELCOTAX: RPCBWPB0 - Kilometers with leading zeros</t>
  </si>
  <si>
    <t>BELCOTAX: Zone 2.032, 2.038 and 2.039 cleaned by error</t>
  </si>
  <si>
    <t>SOCIAL BALANCE: Version for 2009 1st batch of corrections</t>
  </si>
  <si>
    <t>BELCOTAX: Fiches not generated in cases where it should be</t>
  </si>
  <si>
    <t>BELCOTAX: XML corrections for 2009 incomes declaration</t>
  </si>
  <si>
    <t>BELCOTAX: Errors in 2.055 if reorganizational change</t>
  </si>
  <si>
    <t>BALLW: Correction of Legal Changes Activa as of 01.01.2010</t>
  </si>
  <si>
    <t>BELCOTAX - NOSP functionality for wagetypes without ST-split</t>
  </si>
  <si>
    <t>Payroll / BALLW: Correction of different Activa conditions</t>
  </si>
  <si>
    <t>Function BSV00: /30S not correctly deducted from /332</t>
  </si>
  <si>
    <t>Legal Changes for DmfA/DmfAPPL, Quarter 1 2010</t>
  </si>
  <si>
    <t>BELCOTAX/FINPROF: XML generation with customer specifics</t>
  </si>
  <si>
    <t>HBRSEF00: negative value in field BASDT of registry 30</t>
  </si>
  <si>
    <t>MANAD: Error when opening the Archive entry (I and L) file</t>
  </si>
  <si>
    <t>RAIS - Legal Change - Portaria No 2.590, 2009</t>
  </si>
  <si>
    <t>Christmas Bonus' Average of Maternity on Termination(Update)</t>
  </si>
  <si>
    <t>YE09 : BOX24 amounts incorrect in some cases</t>
  </si>
  <si>
    <t>TAX : WT for T4A redesign has incorrect valuation bases</t>
  </si>
  <si>
    <t>YE09:RL1 reprints do not have the word "DUPLICATE" printed</t>
  </si>
  <si>
    <t>YE09 : Splits stored incorrectly for T4A redesign wagetypes</t>
  </si>
  <si>
    <t>Maternity pay: Error when outputting PDF forms</t>
  </si>
  <si>
    <t>MP: Annual tax declar. UEB/KT incorrect if mid-year reentry</t>
  </si>
  <si>
    <t>Incorr delivery class in view V_T5C2P_ABRNR (A instead of C)</t>
  </si>
  <si>
    <t>WHT: Payroll cannot be printed for person liable for WHT</t>
  </si>
  <si>
    <t>ELM: Excluding personnel numbers for individual domains</t>
  </si>
  <si>
    <t>ISEL: Corrections for partl download (DPI in incorr positn)</t>
  </si>
  <si>
    <t>ISEL: Per. numbr w/ diff. subtype influences next per. numbr</t>
  </si>
  <si>
    <t>Documentation for reports RPLFAKC6 and RPLFAKC6_ELM missing</t>
  </si>
  <si>
    <t>ISEL: Error message due to locked record in infotpe 38</t>
  </si>
  <si>
    <t>ELM: Program termination when checking company number</t>
  </si>
  <si>
    <t>ISEL: Subtype 3: Error in check tool if employee lives in CH</t>
  </si>
  <si>
    <t>ELM: Incorrect leaving date after change of legal person</t>
  </si>
  <si>
    <t>Enhancement of documentation</t>
  </si>
  <si>
    <t>Cantonal vocational training fund as of January 01, 2010</t>
  </si>
  <si>
    <t>IMG activity for form display in infotype 0600</t>
  </si>
  <si>
    <t>New AHV number: Disply in employer statmnt languages IT,FR</t>
  </si>
  <si>
    <t>Employer statement: Translation improvement IT</t>
  </si>
  <si>
    <t>Gross Up Error When Income Less than Exempted Amount</t>
  </si>
  <si>
    <t>Salary calculator forms: minor format and text corrections</t>
  </si>
  <si>
    <t>ELENA: Format change to ZSS confirmations</t>
  </si>
  <si>
    <t>Personnel expenses: Coll. trans. f.o.c/empl tax stmnt: ind F</t>
  </si>
  <si>
    <t>DEUEV Immediate Notifications: Corrections (6)</t>
  </si>
  <si>
    <t>DEUEV: Results of meeting on November 24 and 25, 2009</t>
  </si>
  <si>
    <t>Fiscal year change 2009/2010 DEUEV: corrections (3)</t>
  </si>
  <si>
    <t>ELENA: Corrections after FYC 8/incorrect MVDS10 notification</t>
  </si>
  <si>
    <t>ELENA: Corrections after fiscal year change 9</t>
  </si>
  <si>
    <t>ELENA: Corrections after fiscal year change 10</t>
  </si>
  <si>
    <t>Total gross amount (EBeschR): and "RHC/WC Benefit Sick Pay"</t>
  </si>
  <si>
    <t>RPCNETD0: Input check if no SI liability</t>
  </si>
  <si>
    <t>Garnishment principle of origin: regular maintenance payts</t>
  </si>
  <si>
    <t>Garnishment princ. of origin: warning for pers. bankruptcy</t>
  </si>
  <si>
    <t>SP contributions: reduction of the garnishment net amount</t>
  </si>
  <si>
    <t>Obligation to contribute on waiting days</t>
  </si>
  <si>
    <t>Change notification to paying office cannot be processed</t>
  </si>
  <si>
    <t>RHC/ER allowance one cent higher than contrib. to volun. HI</t>
  </si>
  <si>
    <t>RHC: Limit fictitious gross amount to UI/PI income threshold</t>
  </si>
  <si>
    <t>RHC secondary income in the employment tax statement</t>
  </si>
  <si>
    <t>Query does not display the name of the successor</t>
  </si>
  <si>
    <t>Corrections to the tax calculation</t>
  </si>
  <si>
    <t>Employment tax statement: corrections 04 2010</t>
  </si>
  <si>
    <t>Data access for tax audit - authorization check RPCTXMD1</t>
  </si>
  <si>
    <t>Employment tax statement: Changes 04 2010 (II)</t>
  </si>
  <si>
    <t>RPCTXMD1: Logo is not printed</t>
  </si>
  <si>
    <t>RPUTXED0 - Personnel subarea is a required field</t>
  </si>
  <si>
    <t>Structure Equalization: Treatment of Higher Pay Scale</t>
  </si>
  <si>
    <t>ZfA: Add Bonus Numbers to Infotype 0013</t>
  </si>
  <si>
    <t>Corrections to Info Types (5)</t>
  </si>
  <si>
    <t>DOZMG: Future changes to empl. level for CFS employer contr.</t>
  </si>
  <si>
    <t>ZfA: Reversal of old notifications after Zusy Release 16</t>
  </si>
  <si>
    <t>ZfA: Pension also reported during retirement</t>
  </si>
  <si>
    <t>DNeuG: RPIPSR00 does not fill some fields</t>
  </si>
  <si>
    <t>Premium rate for linked illness and health cure</t>
  </si>
  <si>
    <t>Activity w/ higher rate of pay: behavior if level is initial</t>
  </si>
  <si>
    <t>DNeuG: Special feature acc. to section 3, para. 2, clause 2</t>
  </si>
  <si>
    <t>ZfA: Pension from retirement (supplement)</t>
  </si>
  <si>
    <t>Enhancement BAdI definition HRPBSDE_TVOED_VWL</t>
  </si>
  <si>
    <t>ZfA: Bonus number missing in reversal notification</t>
  </si>
  <si>
    <t>Incorrect use of income threshold (IncThr)</t>
  </si>
  <si>
    <t>Enhancmnts and correctns of retroactive pension insurance V</t>
  </si>
  <si>
    <t>Dokumentation Versorgungsadministration und Nachversicherung</t>
  </si>
  <si>
    <t>Error when entering legal decision</t>
  </si>
  <si>
    <t>Maintenance payt according to sec. 38 BeamtVG is incorrect</t>
  </si>
  <si>
    <t>RPLEHAD3: Person-specific message is missing</t>
  </si>
  <si>
    <t>Error during data exchange for statements of earnings</t>
  </si>
  <si>
    <t>Corrections for statements 04/2010</t>
  </si>
  <si>
    <t>Wrong number of vacation days in the Company Certificate</t>
  </si>
  <si>
    <t>Off-cycle: Number of entitlement days not correct</t>
  </si>
  <si>
    <t>HR-ES: BCD_FIELD_OVERFLOW short dump while Modifying IT0061</t>
  </si>
  <si>
    <t>Inclusion of VND wage types for artists</t>
  </si>
  <si>
    <t>Contrat@ - Missing working time information for contract 421</t>
  </si>
  <si>
    <t>Annual IRPF estimative generates negative values</t>
  </si>
  <si>
    <t>Artists: Absence 7000 not taking previous BRD automatically</t>
  </si>
  <si>
    <t>IRPF - Error in validation for reason 11 w/o mortgage flag</t>
  </si>
  <si>
    <t>Company Certificates are being wrongly generated</t>
  </si>
  <si>
    <t>TC reporting bonifications with fixed amount</t>
  </si>
  <si>
    <t>AFI: Status is not changed with 2 movements in the same day</t>
  </si>
  <si>
    <t>EPRO1 is not taken into account the additional payments</t>
  </si>
  <si>
    <t>Extra payment payslip is not printing</t>
  </si>
  <si>
    <t>Contrib. Bases for Maternity incorrect with hocon equal 100</t>
  </si>
  <si>
    <t>Reduction quota (/355) not being calculated properly</t>
  </si>
  <si>
    <t>ERE: Counting past ERE days twice</t>
  </si>
  <si>
    <t>Incorrect description on 2º method detail (IT0061)</t>
  </si>
  <si>
    <t>TC: L13 complementaries for periods bigger than 6 months</t>
  </si>
  <si>
    <t>ERE: Control for 240 ERE days not working properly</t>
  </si>
  <si>
    <t>Generate 0799 infotype through RPCAFIE0 with automatism</t>
  </si>
  <si>
    <t>IRPF2009: Impairment through payment of housing loan is zero</t>
  </si>
  <si>
    <t>Background spool generation is always set to default printer</t>
  </si>
  <si>
    <t>190 - Customer form for model 10T</t>
  </si>
  <si>
    <t>Issue when two bonifications end in the same month</t>
  </si>
  <si>
    <t>Artists Contributions Amounts for 2010</t>
  </si>
  <si>
    <t>Bonifications:Fered using infotype 0041 not working properly</t>
  </si>
  <si>
    <t>IRPF 2010: Dump occurs due to neg. minopago and gross values</t>
  </si>
  <si>
    <t>TC: Incorrect indicator in case of extended IT</t>
  </si>
  <si>
    <t>Problems generating Comp. Certif. when IT0061 does not exist</t>
  </si>
  <si>
    <t>190 "NIF del cónyuge igual al del perceptor" message missing</t>
  </si>
  <si>
    <t>RPCFINE0: Company Certificate for Artists</t>
  </si>
  <si>
    <t>Off-cycle - More than one extra payment at the same day</t>
  </si>
  <si>
    <t>RPCPEFE0 - Inactive employees do not run retroactive payment</t>
  </si>
  <si>
    <t>Next Month treatment + Maternity + Payroll split with issue</t>
  </si>
  <si>
    <t>IRPF 2010: Overflow dump when calculating taxes</t>
  </si>
  <si>
    <t>RPCFANE0: TC1 Printing Model</t>
  </si>
  <si>
    <t>ERE:Double days changing contribution days - Retro</t>
  </si>
  <si>
    <t>FDI: Fijo Discontinuo does not generate days of contribution</t>
  </si>
  <si>
    <t>Delt@: Problems on validation of fields of Accident tab</t>
  </si>
  <si>
    <t>TC: Number of days in DAT segment with Maternity.</t>
  </si>
  <si>
    <t>Incorrect contract type for Social Insurance in contract 540</t>
  </si>
  <si>
    <t>ERE bonification being generated improperly</t>
  </si>
  <si>
    <t>TC: Error message 'Obtención de días' and shows no results.</t>
  </si>
  <si>
    <t>Bases Contribution Calculated improperly</t>
  </si>
  <si>
    <t>AFI: Report does not generate DAM segment for firefighters</t>
  </si>
  <si>
    <t>RPCL4BE0 missing selection texts</t>
  </si>
  <si>
    <t>Artist: Incorrect value for /343 wage type</t>
  </si>
  <si>
    <t>Function EERE0 cumulates absences only with retrocalculation</t>
  </si>
  <si>
    <t>RPCTC0E0: Generating DAT segment without contribution bases</t>
  </si>
  <si>
    <t>Wrong information in Incomes estimation report's log</t>
  </si>
  <si>
    <t>AFI: 0799-INACT - "Enter a valid value"</t>
  </si>
  <si>
    <t>AFI: FCT shows incorrect dates for vacations not enjoyed</t>
  </si>
  <si>
    <t>RPIGA0E0:Employees with cause 9 or 10 are rejected</t>
  </si>
  <si>
    <t>FDI: Two records with the same dates, only one is updated</t>
  </si>
  <si>
    <t>190: Reg. type 1 shows incorrect number of recipients</t>
  </si>
  <si>
    <t>Employment Tax report is not allowing multiple tax modifier</t>
  </si>
  <si>
    <t>Recalculation in RPCFANE0 does not update values</t>
  </si>
  <si>
    <t>Dump while running off-cycle payroll with garnishment</t>
  </si>
  <si>
    <t>TC: Surcharge (CA90) in complementaries</t>
  </si>
  <si>
    <t>Delt@: not accepting more than one relapse in same accident</t>
  </si>
  <si>
    <t>RPCTC0E0: ELDCD28 Segment is being removed from temse file</t>
  </si>
  <si>
    <t>IGA: Batch-Input generates invalid data for infotype 62</t>
  </si>
  <si>
    <t>FAN: Corrections for regime of the sea ("Régimen del Mar").</t>
  </si>
  <si>
    <t>AFI: Invalid consistency check for relief contracts</t>
  </si>
  <si>
    <t>Execution office Infotype 0228 allows values other than list</t>
  </si>
  <si>
    <t>Missing table V_T5F99VD in the French Customzing for FCRE</t>
  </si>
  <si>
    <t>RPUTIRF1: Meal-Voucher generation in retroactive payroll</t>
  </si>
  <si>
    <t>T5F5Q: F4-Help with "retrict values" (filter criteria)</t>
  </si>
  <si>
    <t>Corrections/Update on report RPLBS1F0: Bilan Social France</t>
  </si>
  <si>
    <t>RPCEDTF0: Missing customizing for table SCHLW</t>
  </si>
  <si>
    <t>RPLFDAF0PBS: Dump due to Sort / Page Break settings</t>
  </si>
  <si>
    <t>Incorrect age validation in IT69 Decoupled infotype</t>
  </si>
  <si>
    <t>Incorrect values in SxPR/N/E Wagetypes during WPBP proration</t>
  </si>
  <si>
    <t>RPLABSG0_SXP_OXP_BCHG does not show expiry of SMP</t>
  </si>
  <si>
    <t>P60 Data Only SAP Script form for 2009-2010</t>
  </si>
  <si>
    <t>Issues in P11D reporting for Company Loans</t>
  </si>
  <si>
    <t>Issues in Gender field of P46PEN SAP Script Output</t>
  </si>
  <si>
    <t>Statistics incorrect when running reprt RPCP45GN</t>
  </si>
  <si>
    <t>Incorrect tax code reported on P45(3) Starter form</t>
  </si>
  <si>
    <t>IYMV - Error message raised but employee is not rejected</t>
  </si>
  <si>
    <t>P45 leaver report - Incorrect error message for ME</t>
  </si>
  <si>
    <t>Introduction of new Tax code Source "LEAVER"</t>
  </si>
  <si>
    <t>Runtime error CX_SY_CONVERSION_OVERFLOW in Leaver Report</t>
  </si>
  <si>
    <t>Incorrect tax code and tax basis in P14 and P60 forms</t>
  </si>
  <si>
    <t>Few changes to In Year Movements reports</t>
  </si>
  <si>
    <t>Incorrect Dynamic Action for HK Infotyoe 0346</t>
  </si>
  <si>
    <t>Incorrect MPF When Retro Accounting for Inactive Employee</t>
  </si>
  <si>
    <t>PY-IE : New health Insurance Group(QUIN) for Ireland</t>
  </si>
  <si>
    <t>/6I2 is getting generated incorrectly in cross FY retros</t>
  </si>
  <si>
    <t>HINCALC0:/6I2&amp;/616 generated inconstntly for M89 series WT</t>
  </si>
  <si>
    <t>Tax deposited on page 3 of Form 16 displayed inconsistently</t>
  </si>
  <si>
    <t>Inconsistencies observed in Form 16 generated in PDF format</t>
  </si>
  <si>
    <t>HINCALC0:Incorrect PTax for mid month transfer for MP state</t>
  </si>
  <si>
    <t>HINUCMAP:Previous Challans with balance amount not shown</t>
  </si>
  <si>
    <t>Calculation of Employment Tax (/422) inconsistent</t>
  </si>
  <si>
    <t>Change exporting parameter of BADI method GET_PTAX_AMT</t>
  </si>
  <si>
    <t>Length of ESI number is change</t>
  </si>
  <si>
    <t>Profession tax refund in retrospective mid period transfer</t>
  </si>
  <si>
    <t>Runtime error on execution of Form 16 based on company code</t>
  </si>
  <si>
    <t>Inconsistent Ptax in transfer case with multiple form 16</t>
  </si>
  <si>
    <t>ESS form 16 issues - Runtime Error</t>
  </si>
  <si>
    <t>Form 16 generated with Adobe 8 modifiable - Type writer</t>
  </si>
  <si>
    <t>Form 16AA - Aggregate VIA details not displayed</t>
  </si>
  <si>
    <t>Employees PF and Pension deduction not displayed on Form 16</t>
  </si>
  <si>
    <t>Form 16 with digital signature downloads form 16 mult. times</t>
  </si>
  <si>
    <t>Runtime Error in IT0185 subtype 0005 (TAN details)</t>
  </si>
  <si>
    <t>HR-IT: Correction to Infotype 0021/0306 Handling of Region</t>
  </si>
  <si>
    <t>HR-IT: Extraordinary Bonus 2009 - Phase 2</t>
  </si>
  <si>
    <t>HR-IT: F24 - Corrections on "Sezione INPS"</t>
  </si>
  <si>
    <t>HR-IT: CUD 2010 correction package III</t>
  </si>
  <si>
    <t>HR-IT: Uniemens Correction Package 8</t>
  </si>
  <si>
    <t>HR-IT: CUD2010 Correction Package IV</t>
  </si>
  <si>
    <t>HR-IT: Corrections on IT21 replacing IT156 - fev 2010</t>
  </si>
  <si>
    <t>Unused Payroll Functions</t>
  </si>
  <si>
    <t>Valuation Basis of /MAD Not Correct in Retro Calculation</t>
  </si>
  <si>
    <t>Labor Standards Act Method B Correction</t>
  </si>
  <si>
    <t>Labor Insurance Premium Not Deducted in Shoyo Payroll</t>
  </si>
  <si>
    <t>Dummy note for checkman correction</t>
  </si>
  <si>
    <t>Birth/Adoption Deduction for Year End Adjustment</t>
  </si>
  <si>
    <t>Employee's Handicap Indicator Missing in Form HR_KR_YEAD09</t>
  </si>
  <si>
    <t>LC2010: New Simple Tax Table Effective on February 18</t>
  </si>
  <si>
    <t>Nation Code in SEP DME And Insurance on Page3 of YEA Receipt</t>
  </si>
  <si>
    <t>HKRCYEA0: Oversea Allowance of Off-cycle Payment Not Display</t>
  </si>
  <si>
    <t>HKRULQC0: not consider compensation quote type in screen</t>
  </si>
  <si>
    <t>Business Place Data Change on HKRCDON0 and HKRCMED0 Report</t>
  </si>
  <si>
    <t>Incorrect Foreigner Indicator on YEA DME File</t>
  </si>
  <si>
    <t>HKRULQC0: Follow-Up Corrections on Note 1413363</t>
  </si>
  <si>
    <t>HKRSEPR0: Provide A New BAdI And Modify Run Period Meaning</t>
  </si>
  <si>
    <t>HR-MX: SDI should not be calculated for incapacity periods</t>
  </si>
  <si>
    <t>HMXCDAN0 form is not breaking pages in duplex mode printer</t>
  </si>
  <si>
    <t>HMXCDAN0 only process first RFC in selection screen</t>
  </si>
  <si>
    <t>New State tax method for Campeche 2010</t>
  </si>
  <si>
    <t>HR-MX: Issues with HMXCAFL0 &amp; HMXCDNT0 after note 1406256</t>
  </si>
  <si>
    <t>Correction of note 1440183</t>
  </si>
  <si>
    <t>Retrocalculation of termination incorrect after 1431501</t>
  </si>
  <si>
    <t>Wrong wage type source value for wage type PL70</t>
  </si>
  <si>
    <t>HR-MX: Rounding adjustments in report HMXCIPDPBS</t>
  </si>
  <si>
    <t>HMXCIPDPBS: Total Perception field is incorrect for extemp.</t>
  </si>
  <si>
    <t>HMXCIPDPBS: New Layouts brings incorrect branch code</t>
  </si>
  <si>
    <t>PY-MY: CP8D reporting issue</t>
  </si>
  <si>
    <t>RRLTFIL0 - Corrections for Multiple EE, Borang E Part A(A1)</t>
  </si>
  <si>
    <t>PY-MY:Arrear employee STD not generated in batch payroll run</t>
  </si>
  <si>
    <t>TP1: Should consider offcycle result &amp; IC number error</t>
  </si>
  <si>
    <t>PY-MY: Incorrect amount for Wife Alimony in table TAXE</t>
  </si>
  <si>
    <t>Correstions: EA form, Borang E and CP8D form</t>
  </si>
  <si>
    <t>PY-MY: Expat Arrear Tax Computation</t>
  </si>
  <si>
    <t>CP8D download file corrections when offcyle and reg &lt; 2500</t>
  </si>
  <si>
    <t>YELC2010: Transitional Rule Life-course Saving Scheme</t>
  </si>
  <si>
    <t>RPCJWNN1: Indicator 260 does not include ZVW low</t>
  </si>
  <si>
    <t>NLSJR: Wage type /6Q0 not created in RT after note 1416919</t>
  </si>
  <si>
    <t>Aangifte LH: Possible invalid characters in filename</t>
  </si>
  <si>
    <t>RPCKTON0: Selection per JUPER -&gt; Address not displayed</t>
  </si>
  <si>
    <t>Aangifte LH: Technical indicators displayed in RPLLAEN0</t>
  </si>
  <si>
    <t>Norway: Reconciliation relevant changes in reports</t>
  </si>
  <si>
    <t>AA Register: Correction to few errors</t>
  </si>
  <si>
    <t>Norway ATS Reporting: Correction to few issues</t>
  </si>
  <si>
    <t>RPLATFV0: ABAP Dump while saving the file</t>
  </si>
  <si>
    <t>ERC: Record with blank Municipality number</t>
  </si>
  <si>
    <t>ERC: Tax reported to Altinn contains amounts with decimals</t>
  </si>
  <si>
    <t>Issues in SST Reporting</t>
  </si>
  <si>
    <t>Health Benefit:Employee Contribution for Part Time Employee</t>
  </si>
  <si>
    <t>Incorrect Earner's Premium for STC tax code</t>
  </si>
  <si>
    <t>Incorrect Gross compensation income for MWE in Alphalist.</t>
  </si>
  <si>
    <t>HRUL4FSS field values with 'CE' condition if EE chang.status</t>
  </si>
  <si>
    <t>HR-RU: Wrong ABZNR split after rule RUES in retro run</t>
  </si>
  <si>
    <t>HR-RU: DME programs stop with wrong LAND code</t>
  </si>
  <si>
    <t>HR-RU: Runtime error for report HRUCALC0 in function RUAVE</t>
  </si>
  <si>
    <t>HRUCALC0: vacation payments destroy previous payroll result</t>
  </si>
  <si>
    <t>HR-RU: Child care allowance calculation since 01.01.2010</t>
  </si>
  <si>
    <t>HR-RU: Income Tax Discrepancies (storno, different debts)</t>
  </si>
  <si>
    <t>HR-RU Legal Change: Form 4-FSS (FZ N 871n, 06.11.2009)</t>
  </si>
  <si>
    <t>HR-RU: Form T-60 after vacation is recalculated</t>
  </si>
  <si>
    <t>HR-RU: Vacation Calculation for future period via OCWB</t>
  </si>
  <si>
    <t>HR-RU: RUAVE shows wrong error message in off-cycle</t>
  </si>
  <si>
    <t>HR_RU_GET_RESIDENT_STATUS reads locked infotype records</t>
  </si>
  <si>
    <t>HRULNDFL: new tax code 318</t>
  </si>
  <si>
    <t>HR-RU: Payroll is wrong if absence continues after leaving</t>
  </si>
  <si>
    <t>Sweden: Reconciliation relevant changes in reports</t>
  </si>
  <si>
    <t>RPSSICS0: Change in handling for fetching the sickness hours</t>
  </si>
  <si>
    <t>RPLRQTS0:Gives Error when File path is incorrect.</t>
  </si>
  <si>
    <t>IR21 &amp; IT0739 : Business checks for tax clearance, Deemed Ex</t>
  </si>
  <si>
    <t>IR8S form change 2009; Section B 1$ diff; RFF AYD and AYE</t>
  </si>
  <si>
    <t>Additions to notes 1396456 and 1435566.</t>
  </si>
  <si>
    <t>CPF correction for rehire and negative shortfall</t>
  </si>
  <si>
    <t>1$ difference in EE and ER contirbution during year end</t>
  </si>
  <si>
    <t>Title for Employee name not reported in SS detailed report</t>
  </si>
  <si>
    <t>Legal Change:PY-TH-Old age exemption in PIT91 not in payroll</t>
  </si>
  <si>
    <t>Severance payment amount reporting incorrectly in PIT91</t>
  </si>
  <si>
    <t>LC: Disabled Dependents of an Employee</t>
  </si>
  <si>
    <t>USCLM:Inconsistency in payroll run for multiple PERNR.</t>
  </si>
  <si>
    <t>USCLM: Recovery doesnt happen in a Adjustment run</t>
  </si>
  <si>
    <t>PAY: RPCALCU0 - Display message if no record in IT0221.</t>
  </si>
  <si>
    <t>YE09: Miscellaneous Annual &amp; Quarterly Form changes</t>
  </si>
  <si>
    <t>CONSULT. - Change of value of the tax unit UT 2010</t>
  </si>
  <si>
    <t>Update of minimum wage 2010</t>
  </si>
  <si>
    <t>Code injection vulnerability in ECC and SAP R/3</t>
  </si>
  <si>
    <t>BAdI/Enhancement spot RPCTCGW0 - SARS Code 3218</t>
  </si>
  <si>
    <t>IRP5: Issues with Bank Details &amp; Electronic view (RPCTCVW0)</t>
  </si>
  <si>
    <t>IRP5 Banking details &amp; IT3A printing on the form</t>
  </si>
  <si>
    <t>IT3A certificate &amp; ALV view of electronic file</t>
  </si>
  <si>
    <t>Constant change - Non Taxable part of Car Allowance</t>
  </si>
  <si>
    <t>IRP5: issues with Infotype 0009, Code 4141/4142 &amp; IT3(a)</t>
  </si>
  <si>
    <t>SAPKE60422</t>
  </si>
  <si>
    <t>Extended program checks in PA and PY extractors</t>
  </si>
  <si>
    <t>SV-Berechnung UE über mehrere Monate weiterversichert</t>
  </si>
  <si>
    <t>PA-PA-FI</t>
  </si>
  <si>
    <t>Infotype 0002 Birthdate gives error message when hidden</t>
  </si>
  <si>
    <t>Missing checks - Improvements</t>
  </si>
  <si>
    <t>Training allowance not read at start date of the E object</t>
  </si>
  <si>
    <t>TNM: Batch Input report - Session name is fixed</t>
  </si>
  <si>
    <t>The field "Recording Time Type" is only for output</t>
  </si>
  <si>
    <t>IT1680 Data History Popup: wrong status owner</t>
  </si>
  <si>
    <t>2483: errors when calculating amounts in frames C12 and G17</t>
  </si>
  <si>
    <t>Report RPCTNM9S_BATCH hangs if executed as background job</t>
  </si>
  <si>
    <t>2483: missing option to add amounts from t5f5q and category</t>
  </si>
  <si>
    <t>Infotype 0217 not read for structure of feature FTEGC</t>
  </si>
  <si>
    <t>Incoming - Warning/error when P6 has no values for pay/tax</t>
  </si>
  <si>
    <t>IT0021/0045/0185: Wrong Release Check when Save the Infotype</t>
  </si>
  <si>
    <t>PCIF2JP0: Employee Pension Data Not Retrieved</t>
  </si>
  <si>
    <t>IT3203, IT3204: Amount Field Not Displayed Correctly</t>
  </si>
  <si>
    <t>SAP Query: Foreigner Employment Status Notification Error</t>
  </si>
  <si>
    <t>RPCLIAJ1: ALV Display Variant Can Not Be Saved</t>
  </si>
  <si>
    <t>IT0851/0852/0853/3203/3204: Fields Not Displayed Correctly</t>
  </si>
  <si>
    <t>IT3203, IT3204: Rate/Number Field Not Displayed Correctly</t>
  </si>
  <si>
    <t>Korea Benifit ESS Scenario Dump</t>
  </si>
  <si>
    <t>IT0008:Can Input Value in Annual Salary on Display Mode</t>
  </si>
  <si>
    <t>Two Fields in Infotype 3542 are Editable in Display Mode</t>
  </si>
  <si>
    <t>FlexBenNL: Direct Releasing of Choices</t>
  </si>
  <si>
    <t>Aangifte LH: RPULAEN0 and SI-check as of 65</t>
  </si>
  <si>
    <t>HRULT2_2004: high-education data output priority</t>
  </si>
  <si>
    <t>IT-0002: OKSO search-helps and OKSO version</t>
  </si>
  <si>
    <t>MP029800: unimportant modification</t>
  </si>
  <si>
    <t>Wrong spaces' trailing of a value insige XML tag</t>
  </si>
  <si>
    <t>DATA_OFFSET_NEGATIVE short-dump during XML-file downloading</t>
  </si>
  <si>
    <t>HRULTAB0: Usage of T7RUTS table at the program</t>
  </si>
  <si>
    <t>HRUADSV3: some XML-tags issues</t>
  </si>
  <si>
    <t>HRUADSV1: XML-file - upper-case soft-sign in tags</t>
  </si>
  <si>
    <t>PA-PF-CH</t>
  </si>
  <si>
    <t>Pension Fund Switzerland</t>
  </si>
  <si>
    <t>IT3230: Posting value ignores user settings</t>
  </si>
  <si>
    <t>RBM: Corrections/enhancements MZ01 (5/2010)</t>
  </si>
  <si>
    <t>CPS: Missing function for determining final age (as of EHP4)</t>
  </si>
  <si>
    <t>BAV: Including field BBZRM in views for table T5DCM</t>
  </si>
  <si>
    <t>Improvements RPUTACN0</t>
  </si>
  <si>
    <t>Manual Correspondence : Medium incorrectly defaulted</t>
  </si>
  <si>
    <t>PP61: Copy partial-day attendances/absences</t>
  </si>
  <si>
    <t>PP63: No entry after shift group change in period</t>
  </si>
  <si>
    <t>PP61: Short dump when printing ALV</t>
  </si>
  <si>
    <t>Better remuneration does not consider proportional salary</t>
  </si>
  <si>
    <t>HR-AR: HARLIBR0 does not include withdrawn employees</t>
  </si>
  <si>
    <t>HR-AR: Wage types MPxx missing in RT after note 1410776</t>
  </si>
  <si>
    <t>HR-AR: Vacation Provision incorrect after note 1410776</t>
  </si>
  <si>
    <t>HR-AR: part time salary not considered for Social Insurance</t>
  </si>
  <si>
    <t>Additional welfare contributions with whole month vacation</t>
  </si>
  <si>
    <t>Contrac Type 27 -  Resolution 1225/2009</t>
  </si>
  <si>
    <t>Overtime Retrocalculation (wage type /217)</t>
  </si>
  <si>
    <t>Payroll function ARCUM generates log even if deactivated</t>
  </si>
  <si>
    <t>Empty Social Insurance Withholdings and Contributions</t>
  </si>
  <si>
    <t>Libro Ley missing wage types after termination</t>
  </si>
  <si>
    <t>Wrong monthly limit for social insurance with vacation</t>
  </si>
  <si>
    <t>Rundungsdifferenzen durch Operation AWPAV</t>
  </si>
  <si>
    <t>Korrekturen an Dokumentation für Altersteilzeit</t>
  </si>
  <si>
    <t>FLAF, Kommunalsteuer, DZ für vom DG übernommene DN-Beiträge</t>
  </si>
  <si>
    <t>RPISMRA0: Fehler bei Hintergrundverarbeitung von Batch Input</t>
  </si>
  <si>
    <t>PCALZ: Vorhineinzahler mit verspäteten LZ SV Meldungen</t>
  </si>
  <si>
    <t>Grenzgänger: Gewerkschaftsbeitrag falsch gestellt</t>
  </si>
  <si>
    <t>PCALZ: Das neue Feld UVBG für Lohnzettel SV (BVA)</t>
  </si>
  <si>
    <t>PCALZ: Das neue Feld UVBG auf Lohnzettel SV für BVA</t>
  </si>
  <si>
    <t>SV ÖD: KV-Bemessung für Sonderzahlung geht verloren</t>
  </si>
  <si>
    <t>Payment Summary enhanced with option to get message log only</t>
  </si>
  <si>
    <t>Notice date not calculated, when minimum weeks paid.</t>
  </si>
  <si>
    <t>ATO Magnetic media file fails in ECI validation</t>
  </si>
  <si>
    <t>PIA:Additional tax wt not added to results in payment period</t>
  </si>
  <si>
    <t>Changed parameters when calling function to read T5QGP</t>
  </si>
  <si>
    <t>Incorrect projection of leave quotas in leave reporting.</t>
  </si>
  <si>
    <t>Retrofit of CE changes</t>
  </si>
  <si>
    <t>Incorrect text and data on Directed Term. Payment statement.</t>
  </si>
  <si>
    <t>Incorrect /ARE and /ARS incase of MPT in RESC solution</t>
  </si>
  <si>
    <t>Expired quotas appearing in Leave Reporting</t>
  </si>
  <si>
    <t>P13Q_EEINF: Incorrect definition for Value Range</t>
  </si>
  <si>
    <t>Change of P0220-EEINF Screen Field Modificaiton Group</t>
  </si>
  <si>
    <t>Lump sum A payment type incorrect on payment summary form.</t>
  </si>
  <si>
    <t>Payroll Driver running slow when retro across fin yr</t>
  </si>
  <si>
    <t>RETP contains cumulated amount from all assignments</t>
  </si>
  <si>
    <t>Reporting of LWOP dates in the PIF(RPCPBSQ8)</t>
  </si>
  <si>
    <t>IT 573: Absence hours in Leave Matrix</t>
  </si>
  <si>
    <t>ACTIVA unemployment allowances - New pro rata formula</t>
  </si>
  <si>
    <t>BSV00 /30E &amp; /30D: No dismissal allowance of current quarter</t>
  </si>
  <si>
    <t>SOCIAL BALANCE: Version for 2009 2nd batch of corrections</t>
  </si>
  <si>
    <t>Pension Declaration: D1 record wrongly not created</t>
  </si>
  <si>
    <t>Infotype 3207 - value in field 'Number' (P3207-ANZHL)</t>
  </si>
  <si>
    <t>Amounts in table DAYDAT displayed multiplied by 100</t>
  </si>
  <si>
    <t>Payroll Account - Group text not equal to used evaluation cl</t>
  </si>
  <si>
    <t>BELCOTAX: New option in operation from cust. V_T5BX4</t>
  </si>
  <si>
    <t>Payroll /BSV00 - /30F has no tax split indicator set</t>
  </si>
  <si>
    <t>Structural reduction: Wrong low salary component threshold</t>
  </si>
  <si>
    <t>Social Balance Declrtn (RPCDSBB0) error with BSOBA feature</t>
  </si>
  <si>
    <t>DmfA: Student contribution not declared when multi contract</t>
  </si>
  <si>
    <t>DmfA: Improvement of the structural reduction formula</t>
  </si>
  <si>
    <t>CAGED: Correction of Legal Change 2010</t>
  </si>
  <si>
    <t>HBRRAIS0: changes on evaluation class 15 processing</t>
  </si>
  <si>
    <t>RAIS: wrong selection of employees</t>
  </si>
  <si>
    <t>HBRRAIS0 - Missing value in Bonus Field</t>
  </si>
  <si>
    <t>HBRRAIS0 - Employee fired after an absence w/o remuneration</t>
  </si>
  <si>
    <t>HBRCAGED: Legal Change 2010 - additional correction</t>
  </si>
  <si>
    <t>2010 Changes to Employment Equity File reporting</t>
  </si>
  <si>
    <t>YE09 : Unnecessary T4 amendments generated</t>
  </si>
  <si>
    <t>WHT: Unaligned columns in form HR_CH_QAB</t>
  </si>
  <si>
    <t>ELM/BFS: Documntatn for data elemnts and report RPLBGAC1_ELM</t>
  </si>
  <si>
    <t>Payroll Log for Payroll Function CNTAX/CNGRS/CNPHF/CNSI</t>
  </si>
  <si>
    <t>Incorrect Retro Difference for Wage Type /443</t>
  </si>
  <si>
    <t>Incorrect Calculation for YEB Tax When /4M0 is Negative</t>
  </si>
  <si>
    <t>ELENA: Corrections and adjustment</t>
  </si>
  <si>
    <t>ELENA: Multiple confirmation files for DSVV (procedure nos)</t>
  </si>
  <si>
    <t>ELENA: HTTP code 401/logon screen for creating connections</t>
  </si>
  <si>
    <t>ELENA: HTTP correction for confirm</t>
  </si>
  <si>
    <t>RPCTASD0: Termination w/o rollback if e-mail address missing</t>
  </si>
  <si>
    <t>DEUEV (UVMG): Corrections III</t>
  </si>
  <si>
    <t>DEUEV (UVMG): Corrections IV</t>
  </si>
  <si>
    <t>DEUEV immediate notifications: corrections (7)</t>
  </si>
  <si>
    <t>DEUEV: Version 2.40 of general circular</t>
  </si>
  <si>
    <t>ELENA: Corrections after fiscal year change 11</t>
  </si>
  <si>
    <t>ELENA: BVV tax-ex.EE contr. to remun. conv. (SBAV) incorrect</t>
  </si>
  <si>
    <t>Remuneration stmnt: wage type /3Q6 (CI EE Contr. Prev. Year)</t>
  </si>
  <si>
    <t>Miners' DEUEV: Termination of DEUEV statement</t>
  </si>
  <si>
    <t>March clause for non-recurring payment during sick pay paymt</t>
  </si>
  <si>
    <t>Enhanced check during file number assignment</t>
  </si>
  <si>
    <t>RHC: Cumulation of wage types /64A and /64B in /159</t>
  </si>
  <si>
    <t>Employement tax statement: changes 05 2010</t>
  </si>
  <si>
    <t>Lock annual employment tax declaration 2010</t>
  </si>
  <si>
    <t>Award from remuneration conversion</t>
  </si>
  <si>
    <t>LStB: Pension basis according to SAP Note 1450084</t>
  </si>
  <si>
    <t>Employment tax statement: corrections 05 2010 (II)</t>
  </si>
  <si>
    <t>Error in ind valuation for structure equalization for CA SaE</t>
  </si>
  <si>
    <t>GOP: Increase to tax bucket exceeds increase to gross amount</t>
  </si>
  <si>
    <t>Collective agreement for the public sector 2010</t>
  </si>
  <si>
    <t>ZfA: Application server file name is truncated</t>
  </si>
  <si>
    <t>Increased amount of employer's contribution to CFS</t>
  </si>
  <si>
    <t>Correction to new calc. procedure for struc. equalization</t>
  </si>
  <si>
    <t>ZfA: Incorrect revenue for incapacity to work in 2007</t>
  </si>
  <si>
    <t>ZfA: Error 4005 for BZ01 notifications for years before 2008</t>
  </si>
  <si>
    <t>DNeuG: Reduction of the surplus, part 1</t>
  </si>
  <si>
    <t>Corrections to infotypes (6)</t>
  </si>
  <si>
    <t>Alternative key date for advance pay for 1980</t>
  </si>
  <si>
    <t>Inclusion of reductionss according to sec.14, para.3 BeamtVG</t>
  </si>
  <si>
    <t>Reduction for care as per section 50f BeamtVG not included</t>
  </si>
  <si>
    <t>Pension equalization: retro acctg in closed fiscal year (2)</t>
  </si>
  <si>
    <t>Eighth adjustment according to section 69e BeamtVG</t>
  </si>
  <si>
    <t>Errors in notification prog. for suppl. pensions (May 2010)</t>
  </si>
  <si>
    <t>Problems with (distributed) SP data carrier (May 2010)</t>
  </si>
  <si>
    <t>Contributions assigned incorrectly to SP split</t>
  </si>
  <si>
    <t>Reversal notifications not created/notif. prog. terminates</t>
  </si>
  <si>
    <t>Earnings survey: Gross amount is too high for AVmG</t>
  </si>
  <si>
    <t>Incorrect health insurance fund in remuneration statements</t>
  </si>
  <si>
    <t>Corrections to statements 05/2010</t>
  </si>
  <si>
    <t>Incorrect tax in notional net calculation II</t>
  </si>
  <si>
    <t>Regulatory Base of overtime correction</t>
  </si>
  <si>
    <t>Incorrect bonifications using SDIAC 1 and HOCON 100</t>
  </si>
  <si>
    <t>Incorrect BRD in case of partial maternity and IT</t>
  </si>
  <si>
    <t>Error in function module HR_ES_DAQ_IDEA_GET_FIELDS</t>
  </si>
  <si>
    <t>CALC: Incorrect regulatory basis in case of DICON informed</t>
  </si>
  <si>
    <t>TC: Bonification CD22 is not displayed in TC report</t>
  </si>
  <si>
    <t>Municipality field is not printing correctly in the 190</t>
  </si>
  <si>
    <t>AFI: Employees with errors are being added in the TemSe file</t>
  </si>
  <si>
    <t>CEREMP: BCCCE constant is not affecting the CCC change dates</t>
  </si>
  <si>
    <t>LOPD: Data log for XML TemSe files</t>
  </si>
  <si>
    <t>TC: Classifier L04 displays incorrect type in the temse file</t>
  </si>
  <si>
    <t>Web-dynpro corrections for INEM Contracts</t>
  </si>
  <si>
    <t>TC: Segment EDLCD28 is not being placed in the DAT for ERE</t>
  </si>
  <si>
    <t>Garnishment: Split deductions exceed the deductable limit</t>
  </si>
  <si>
    <t>AFI: FCT Segment is being generated on the top of the TemSe</t>
  </si>
  <si>
    <t>RPCTC0E0: Method 0001 being incorrected distributed.</t>
  </si>
  <si>
    <t>HFILTAX0: Company as an employee reproting issue in ATS</t>
  </si>
  <si>
    <t>Form FIOT - Form class XXXX missing in T514F for Finland</t>
  </si>
  <si>
    <t>Post-FCCO "P" calculation rules in case of cluster splits</t>
  </si>
  <si>
    <t>DUCS EDI: Ref. number in IRC test declarations &amp; dates</t>
  </si>
  <si>
    <t>DADSU S45: During absence periods brut is incorrect</t>
  </si>
  <si>
    <t>Special contracts: wage type /303 in cluster table RT</t>
  </si>
  <si>
    <t>IJSS maternity following a sickness period</t>
  </si>
  <si>
    <t>Legal adjustments for DOETH</t>
  </si>
  <si>
    <t>DUCS Paper: missing contributions</t>
  </si>
  <si>
    <t>DADS-U Assurance: Wrong generation of sections S41 and S30</t>
  </si>
  <si>
    <t>Incomplete log for payroll function FCRE</t>
  </si>
  <si>
    <t>DUCS EDI IRC: COT lines counting</t>
  </si>
  <si>
    <t>Meal-Voucher: Legal changes in calculation rules FTR2 / FTIR</t>
  </si>
  <si>
    <t>RPLCTRF0: Incorrect EVP reading</t>
  </si>
  <si>
    <t>DADSU: S46 in "Assurance" declaration</t>
  </si>
  <si>
    <t>DUCS EDI EN3/4 (payment date)</t>
  </si>
  <si>
    <t>Retroactive calculation differences in wagetype /412</t>
  </si>
  <si>
    <t>RPLDMOF0: Excluded contract not displayed in the error log.</t>
  </si>
  <si>
    <t>Pénalisation d'ancienneté de corps / grade</t>
  </si>
  <si>
    <t>Implementations of BAdI "HRPBSFRCOLLDEC_MODIF" not working</t>
  </si>
  <si>
    <t>IT0863: Length of screen-fields (text labels) are too short</t>
  </si>
  <si>
    <t>IT0863: Field-grouping not allowing individual customizing</t>
  </si>
  <si>
    <t>Performance issue in payroll driver RPCALCG0</t>
  </si>
  <si>
    <t>Issue with Recording of Niable pay in tables NIC and CNIC</t>
  </si>
  <si>
    <t>Official and Average rates of Interest for tax year 2010/11</t>
  </si>
  <si>
    <t>Display of actual EOYR XML Submitted to HMRC in R/3 Release</t>
  </si>
  <si>
    <t>Issue in update manager for incoming P6 form</t>
  </si>
  <si>
    <t>Enhanced checks on Payroll area and Starter in Leaver Report</t>
  </si>
  <si>
    <t>Pensioner notification with Zero previous pay and tax</t>
  </si>
  <si>
    <t>Issues with P14 form for Directors</t>
  </si>
  <si>
    <t>Tax code and Tax basis cleared incorrectly on P60 and P14</t>
  </si>
  <si>
    <t>P45 leaver report: Incorrect tax year and student employee</t>
  </si>
  <si>
    <t>P45 program incorrectly picks up locked employees</t>
  </si>
  <si>
    <t>IR56G Issue When Withhold Salary Generated After Termination</t>
  </si>
  <si>
    <t>Inactive Employee was Picked Up in IR56B</t>
  </si>
  <si>
    <t>IR56B Can't Be Generated For Employee With No Earnings</t>
  </si>
  <si>
    <t>PY-IE : Permissible input tax year amended (HIECEOY0)</t>
  </si>
  <si>
    <t>PY-IE:Health levy calculation for lumpsum payments incorrect</t>
  </si>
  <si>
    <t>PY-IE:Additional scenarios to the note 1453275 (Health Levy)</t>
  </si>
  <si>
    <t>dummy note</t>
  </si>
  <si>
    <t>Ann. Conv Exemp.displayed incnsistntly in case BAdI implmtd</t>
  </si>
  <si>
    <t>HINCF160:Total Tax displayed inconsistently on Page 3 of F16</t>
  </si>
  <si>
    <t>HINCALC0:/6I2&amp;/3I2 generated inconstntly for cross FY retros</t>
  </si>
  <si>
    <t>Control Log - editable field and multiple emp. not displayed</t>
  </si>
  <si>
    <t>M221,M222 and M223 put in tot gross, regular inc, Ptax basis</t>
  </si>
  <si>
    <t>Inconsistent value of chapter VIA with cross FY retro</t>
  </si>
  <si>
    <t>Budget Changes 2010</t>
  </si>
  <si>
    <t>HINCF160:Inconsistency in display of fields with no amount</t>
  </si>
  <si>
    <t>TAN base report switch is activated, Form 24Q not displayed</t>
  </si>
  <si>
    <t>Form 16 layout changes for Year 2009 - 2010</t>
  </si>
  <si>
    <t>Form16 not displaying results with multiple Form 16 disabled</t>
  </si>
  <si>
    <t>PAN No.not getting picked consistently in payroll processing</t>
  </si>
  <si>
    <t>Multiple form 16, section 80 details displayed incorrectly</t>
  </si>
  <si>
    <t>Form 16 corrections to display the layout consistently</t>
  </si>
  <si>
    <t>Form 16 and Form 16AA layout issues( Inc from other sources)</t>
  </si>
  <si>
    <t>Incorrect entries for Driver Perk in view V_T511P</t>
  </si>
  <si>
    <t>Inconsistentcy in tax calculations during offcycle run</t>
  </si>
  <si>
    <t>HINCALC0:PAN validation inconsistent while payrollprocessing</t>
  </si>
  <si>
    <t>Multiple Form 16 with digital signature download incorrect</t>
  </si>
  <si>
    <t>Form 24Q inconsisten incase of TAN transfer within period</t>
  </si>
  <si>
    <t>HR-IT: Modello 770/2010 - Advance Delivery</t>
  </si>
  <si>
    <t>HR-IT: ITCTM - New Congluaglio Detrazioni management</t>
  </si>
  <si>
    <t>HR-IT: Uniemens correction package 9</t>
  </si>
  <si>
    <t>HR-IT: ITCIG - Error reading table T5ITGB in case of split</t>
  </si>
  <si>
    <t>HR-IT: EHP5 -  Autoliquidazione Inail</t>
  </si>
  <si>
    <t>Cannot Distinguish Wage Type M1O3 and M1O4 by Text</t>
  </si>
  <si>
    <t>RPCEWGJ1: Runtime Error Caused by Large Amount of Wage Type</t>
  </si>
  <si>
    <t>Wage Type /MAD Cumulation Class 04 Wrong Setting</t>
  </si>
  <si>
    <t>Operation JCNTR and VALBR Parameter Text Wrong</t>
  </si>
  <si>
    <t>RPCKTOJ0: New Wage Types Not Displayed on Output Screen</t>
  </si>
  <si>
    <t>Default Schema JP00 for EHP4 Solution</t>
  </si>
  <si>
    <t>RPCUEMJ0: Question Marks Displayed on Output Screen</t>
  </si>
  <si>
    <t>Change Original Language of Customizing Structure</t>
  </si>
  <si>
    <t>RPCEWGJ1: Incorrect Output in Monthly Payroll Area</t>
  </si>
  <si>
    <t>LC2010: Tax Deferring for Separation Payment</t>
  </si>
  <si>
    <t>New Tax Calculation for Monthly Income Over 10 Million</t>
  </si>
  <si>
    <t>Tax Less Than KRW 1,000 Still Payable in Payroll</t>
  </si>
  <si>
    <t>National Pension Maximum and Minimum Monthly Compensation</t>
  </si>
  <si>
    <t>KRSEP: Wrong Average Payment When Offcycle w/o Reason Exists</t>
  </si>
  <si>
    <t>HMXCALC0: retrocalculation should not update IT0372</t>
  </si>
  <si>
    <t>INFONAVIT results displayed according to monthly date</t>
  </si>
  <si>
    <t>Performance improvement for reports HMXCAFL0 &amp; HMXCDNT0</t>
  </si>
  <si>
    <t>Check control optional for inserting SDI in IT 0372</t>
  </si>
  <si>
    <t>HMXCIPDPBS: Problems while reading/writing TEMSES</t>
  </si>
  <si>
    <t>HMXCIPDPBS: Period fields empty</t>
  </si>
  <si>
    <t>CP39 Dotmatrix last 3 digits truncated, CP38 file generation</t>
  </si>
  <si>
    <t>PY-MY: Correction to tax computed on arrears</t>
  </si>
  <si>
    <t>PY-MY: TP1 Zakat Deduction</t>
  </si>
  <si>
    <t>PY-MY: Infotype 0547 - BIK (Tax) Infotype for Malaysia</t>
  </si>
  <si>
    <t>CP8D: Split in CP8D when EE tax reference nos changes</t>
  </si>
  <si>
    <t>PY-MY: Corrections to Expatriate Tax Computation</t>
  </si>
  <si>
    <t>SOCSO Borang 8A and 8B: New Formats Year 2010</t>
  </si>
  <si>
    <t>PY-MY: Correction to Child Tax Relief</t>
  </si>
  <si>
    <t>Aangifte LH: Wage for ZVW for Annual Tax Statement Cumulated</t>
  </si>
  <si>
    <t>Aangifte LH: RPLLAEN0: Selection Screen incorrectly reset</t>
  </si>
  <si>
    <t>Jaarloonopgave:Code Reden Geen Bijtelling 0 incorrectly used</t>
  </si>
  <si>
    <t>Change in cumulations of wagetype OF59 and OF60</t>
  </si>
  <si>
    <t>Issue with defaulting of Pay-Scale Level in IT0008</t>
  </si>
  <si>
    <t>HUNAPFM0-Part time Information Incorrect</t>
  </si>
  <si>
    <t>Corrections to Special Post Allowance</t>
  </si>
  <si>
    <t>RPCSSRP0: Editing Type issue</t>
  </si>
  <si>
    <t>HCM PT PS: IT 0896 (ADSE) - End Date changed automatically</t>
  </si>
  <si>
    <t>HR-PT-PS: IT0896 - no space for customer fields (subscreen)</t>
  </si>
  <si>
    <t>HR-RU: Average rate for 12 months before previous absence</t>
  </si>
  <si>
    <t>HR-RU Legal Change: Form 4-FSS has missed field values</t>
  </si>
  <si>
    <t>HR-RU: Income tax calculation error after Note 1411581</t>
  </si>
  <si>
    <t>HR-RU: Regular run - wrong rate of future off-cycle vacation</t>
  </si>
  <si>
    <t>HRULNDFL: incorrect XML file if Used Tax Relief equals 0</t>
  </si>
  <si>
    <t>HR-RU: Runtime Error of PY operation RUSPL YO in HRUCALC0</t>
  </si>
  <si>
    <t>HR-RU: 4-FSS table 3 wrong amounts if no splits C1</t>
  </si>
  <si>
    <t>HR-RU: Reports incorrectly reads locked infotype records</t>
  </si>
  <si>
    <t>HR-RU: Report 4-FSS wrongly process CNTR1 split</t>
  </si>
  <si>
    <t>HR-RU: 4-FSS table 2,7 wrong amounts for concurrent. empl.</t>
  </si>
  <si>
    <t>Union Dues getting deducted retroactively</t>
  </si>
  <si>
    <t>RPCEDTS0:Incorrect output for multiple employees</t>
  </si>
  <si>
    <t>RPSADTS0: No results are displayed if run for one day</t>
  </si>
  <si>
    <t>ATS: Benefit payment is reversed but the flag is marked 'X'</t>
  </si>
  <si>
    <t>New value of payroll constant BASBH for year 2010</t>
  </si>
  <si>
    <t>Incorrect Extra tax when discrete payroll results in Month</t>
  </si>
  <si>
    <t>IR8A : IC Type '4' (Work Permit) format</t>
  </si>
  <si>
    <t>IR8A Appendix 8B - IRASLine QTY 329</t>
  </si>
  <si>
    <t>Alignment corrections to ITF1, ITF1A and 50 Bis forms</t>
  </si>
  <si>
    <t>Branch number &amp; Address populating incorrectly for Employee</t>
  </si>
  <si>
    <t>Employee name not correct in SS Detailed Report Form No.1-10</t>
  </si>
  <si>
    <t>Total No. of pages not displayed in ITF1-Monthly Tax Form</t>
  </si>
  <si>
    <t>Terminated Employee being reported in SOSCO detailed form</t>
  </si>
  <si>
    <t>Premium Rate Update for National Health Insurance</t>
  </si>
  <si>
    <t>ESS W-4: Electronic format may differ from Paper form</t>
  </si>
  <si>
    <t>USCLM:Multiple entries for same wage type in IT0909</t>
  </si>
  <si>
    <t>PAY: Endless loop in RPCALCU0</t>
  </si>
  <si>
    <t>GARN: Child Support EFT change for Massachusetts</t>
  </si>
  <si>
    <t>Adobe Exception Handling in Tax Reporter</t>
  </si>
  <si>
    <t>Q1/2010: Functional changes for U.S. Tax Reporter.</t>
  </si>
  <si>
    <t>SAP ERP 6.04: Incorrect employee count on Phila Recon Report</t>
  </si>
  <si>
    <t>Miscellaneous issues after Q1/2010 Note</t>
  </si>
  <si>
    <t>New SoftwareId for FL SUI XML Layout</t>
  </si>
  <si>
    <t>TAX: Refund of withholding tax using Infotype 234.</t>
  </si>
  <si>
    <t>TAX: Customize Default Supplemental Payment Method for Group</t>
  </si>
  <si>
    <t>TAX: Override of allowances truncated in tax calculation.</t>
  </si>
  <si>
    <t>IT0006 - Change in field layout/text</t>
  </si>
  <si>
    <t>COID report enhancement - 2010</t>
  </si>
  <si>
    <t>ITS scenario - changes to address Infotype screen</t>
  </si>
  <si>
    <t>COID report - Total for Actuals in Jan &amp; Directors</t>
  </si>
  <si>
    <t>IRP5 SARS Code 3200/3210 &amp; Code 3075</t>
  </si>
  <si>
    <t>OFO codes not getting store through V_T5W15</t>
  </si>
  <si>
    <t>Miscellaneous</t>
  </si>
  <si>
    <t>XX-SER</t>
  </si>
  <si>
    <t>Service Messages</t>
  </si>
  <si>
    <t>XX-SER-REL</t>
  </si>
  <si>
    <t>Releaseinformation ERP</t>
  </si>
  <si>
    <t>Sammelhinweis ERP6.0 Ehp5 SP01 Korrekturen</t>
  </si>
  <si>
    <t>SAPKE60423</t>
  </si>
  <si>
    <t>Search help: runtime error due to Unicode</t>
  </si>
  <si>
    <t>RHBEGDA0 &amp; RHGRENZ4-External Infotype 1610 is not updated</t>
  </si>
  <si>
    <t>ALE: Annual salary not converted by ALE distribution</t>
  </si>
  <si>
    <t>ALE: Switch PLOGI/ORGA and P0001-KOSTL</t>
  </si>
  <si>
    <t>BC-BMT-OM-CRM</t>
  </si>
  <si>
    <t>Org. Managem. CRM</t>
  </si>
  <si>
    <t>HRALX: FM BP_CENTRALPERSON_GET (no employee status info)</t>
  </si>
  <si>
    <t>HRALXSYNC did not synchronize employees on an ERP system</t>
  </si>
  <si>
    <t>Dump in time data extractor 0HR_PT_1, 0HR_PT_2, 0HR_PT_3 (2)</t>
  </si>
  <si>
    <t>0HR_PY_PP_1 extractor with error message HR_BIW_PP015</t>
  </si>
  <si>
    <t>IDOCS from RPTIMEOVERVIEW_REPLICATE are stuck in status 30</t>
  </si>
  <si>
    <t>CATS_CHECK_PTEXDIR is Remote-Enabled</t>
  </si>
  <si>
    <t>CA-TS-IA</t>
  </si>
  <si>
    <t>CA-TS-IA-XS</t>
  </si>
  <si>
    <t>Self Services Web Dy</t>
  </si>
  <si>
    <t>CATS WD: "Not enough quota" error message</t>
  </si>
  <si>
    <t>EHS</t>
  </si>
  <si>
    <t>EHS-IHS</t>
  </si>
  <si>
    <t>Indus.Hygiene&amp;Safety</t>
  </si>
  <si>
    <t>Internal source code improvements</t>
  </si>
  <si>
    <t>Business Trip Mgmt.</t>
  </si>
  <si>
    <t>Special characters badly rendered in HTML display via portal</t>
  </si>
  <si>
    <t>Basis</t>
  </si>
  <si>
    <t>PREMQUERY: No rslts if using search help w/ SAP GUI for HTML</t>
  </si>
  <si>
    <t>Security issues</t>
  </si>
  <si>
    <t>RHINTE00: Performance problems [2]</t>
  </si>
  <si>
    <t>RHINTE00: Data of a reentry is not transferred</t>
  </si>
  <si>
    <t>RHINTE00: Leaving data is not transferred</t>
  </si>
  <si>
    <t>Integration PA-OM: Position text corrupted [2]</t>
  </si>
  <si>
    <t>PPOME/integration: No update of infotype 0001</t>
  </si>
  <si>
    <t>RHINTE00: Holder relationships are inconsistently deleted</t>
  </si>
  <si>
    <t>Some of the benefit plans are not displayed in HRBEN0001</t>
  </si>
  <si>
    <t>Performance issues in finding Hire date</t>
  </si>
  <si>
    <t>Display Specific Facsimile Not Available on Infotype 0169</t>
  </si>
  <si>
    <t>HRBEN0006 short dumps when 2 plans with same name</t>
  </si>
  <si>
    <t>Benefits: V0 differences from Arrears</t>
  </si>
  <si>
    <t>BADI PBEN0006: Exception condition "STANDARD_PROCEDURE"</t>
  </si>
  <si>
    <t>COBRA 2009: Incorrect amts. appear in RPUCOB04 output</t>
  </si>
  <si>
    <t>COBRA 2009: Report RPUCOB02 processes invalid employees.</t>
  </si>
  <si>
    <t>HRBEN00GENSTATUS: Not updating the print status</t>
  </si>
  <si>
    <t>BEN: COBRA Subsidy Changes 2010.</t>
  </si>
  <si>
    <t>BEN: Cobra Subsidy Changes 2010.</t>
  </si>
  <si>
    <t>PERNR and BEGCO not passed to COBRA notice form</t>
  </si>
  <si>
    <t>BEN: Cobra Subsidy Changes 2010 Phase II</t>
  </si>
  <si>
    <t>BEN: Cobra Subsidy 2010 Temporary Extension Act - March</t>
  </si>
  <si>
    <t>Print parameters not considered for a background job</t>
  </si>
  <si>
    <t>Employee address is not complete for COBRA general notice</t>
  </si>
  <si>
    <t>HRBENUSCOB07 dumps for custom dependents</t>
  </si>
  <si>
    <t>PA-BN-ES</t>
  </si>
  <si>
    <t>Empl. Self-Service</t>
  </si>
  <si>
    <t>Benefits: Adobe templates not used in ESS</t>
  </si>
  <si>
    <t>RPUBEN62: Already enrolled plan re-enrolled</t>
  </si>
  <si>
    <t>Text translations in message class PG</t>
  </si>
  <si>
    <t>Use CATS for CE persons with shared quotas</t>
  </si>
  <si>
    <t>IT0014/IT0015: Wage type long text is empty in the overview</t>
  </si>
  <si>
    <t>Corrections to CE enabled reports - RPTKOK00 and RPTBPC10.</t>
  </si>
  <si>
    <t>Changes after note 1421752 P_PERNR authorizations in CE</t>
  </si>
  <si>
    <t>Maintenance view for gouping rules by shared quotas.</t>
  </si>
  <si>
    <t>Leave request user data sharing error (Concurrent employment</t>
  </si>
  <si>
    <t>Formating and code readability changes termination workbench</t>
  </si>
  <si>
    <t>HRCM_PAYSCALE_RECLASSIFICATION: incorrect error message</t>
  </si>
  <si>
    <t>Query does not work proper with initial repeat fields</t>
  </si>
  <si>
    <t>Incorrect repeat field text if repeat field is empty</t>
  </si>
  <si>
    <t>PP01: Problem with External Infotypes (US infotypes)</t>
  </si>
  <si>
    <t>PP01: Problem with External Infotypes (US infotypes) II-part</t>
  </si>
  <si>
    <t>Kostenverteilung (IT 1018) wird nicht korrekt integriert</t>
  </si>
  <si>
    <t>PHCPADMN Cost element descriptions not displayed</t>
  </si>
  <si>
    <t>Lock on person during cost center change is not removed</t>
  </si>
  <si>
    <t>S_AHR_61016511:No holder in position description if obsolete</t>
  </si>
  <si>
    <t>PD to PA integration is not centralized</t>
  </si>
  <si>
    <t>PPOME: Quota planning: Values change when switching</t>
  </si>
  <si>
    <t>Infotype 1011: Work Schedule box appears twice in the screen</t>
  </si>
  <si>
    <t>Infotype 1011 (PPOME): Correction of screen attributes</t>
  </si>
  <si>
    <t>HRINTE30 is not written correctly when using report RHCOPLPT</t>
  </si>
  <si>
    <t>Overpayment table T77S0 - Enable update of param. MWCLM</t>
  </si>
  <si>
    <t>Personnel Admin.</t>
  </si>
  <si>
    <t>Missing field labels in infotype 0081</t>
  </si>
  <si>
    <t>RPTSWAA0: Dump bei Arbeitszeitplänen mit 0,00 Stunden</t>
  </si>
  <si>
    <t>IT0527: Flag GBMFACH nicht eingabebereit bei Dynpro 2300</t>
  </si>
  <si>
    <t>Field "\" Can't Be Hidden In MP053500 Screen 2000</t>
  </si>
  <si>
    <t>Sick pay supplement in TV-OeD and Tv-L (special cases)</t>
  </si>
  <si>
    <t>IT0033: Input check on valid values</t>
  </si>
  <si>
    <t>Potential information disclosure relating to ECC and SAP R/3</t>
  </si>
  <si>
    <t>Batch Input in infotype 1681 not possible in background</t>
  </si>
  <si>
    <t>Number of hours from previous TN copied to current TN</t>
  </si>
  <si>
    <t>Employees assigned to TN irrelevant for 2483 counted in 2483</t>
  </si>
  <si>
    <t>2483: sending deadline for 2483 form is hardcoded</t>
  </si>
  <si>
    <t>IT1681: Customer subscreen is not being called at the PAI</t>
  </si>
  <si>
    <t>Empty personnel data fields for ET in snapshots ALV</t>
  </si>
  <si>
    <t>TNM: Dependency between IT1685 and IT1686</t>
  </si>
  <si>
    <t>BUDGET:subvention amount is not being deducted</t>
  </si>
  <si>
    <t>Sec80/80c record maintaned in R/3 not completely disp on ESS</t>
  </si>
  <si>
    <t>Transfer data from PB to PA DOB not transfered correctly</t>
  </si>
  <si>
    <t>Error during upload of TAN details for new hired employee</t>
  </si>
  <si>
    <t>RPCECKJ0: Item Names Display Incorrectly</t>
  </si>
  <si>
    <t>HJPUBT_BOTAX: Incorrect Check on Business Office Code</t>
  </si>
  <si>
    <t>Record Copied in T7KR0P When Copying Non-Korea Per. Subarea</t>
  </si>
  <si>
    <t>Cannot Change Currency for Annual Salary in Infotype 0008</t>
  </si>
  <si>
    <t>FlexBenNL: Additional documentation for BAdI's</t>
  </si>
  <si>
    <t>IT0854: IBAN not saved if using old IBAN functionality</t>
  </si>
  <si>
    <t>IT0854: Dump after implementation of note 1444923</t>
  </si>
  <si>
    <t>FlexBenNL: Improvement to BAdI BADI_HR_NL_FBN_COMBINATIONS</t>
  </si>
  <si>
    <t>IT2001: Confirmation Date is cleared in Dutch Dynpro</t>
  </si>
  <si>
    <t>FlexBenNL: Views V_FBN_VERR and V_FBN_AFWPL unusable</t>
  </si>
  <si>
    <t>RPICSRN0_1: Error when converting from IT0011 to IT0854</t>
  </si>
  <si>
    <t>Length of identity data in FBCJ</t>
  </si>
  <si>
    <t>Standard Texts of Infotypes are displayed wrongly</t>
  </si>
  <si>
    <t>HRULRSV1: XML form</t>
  </si>
  <si>
    <t>HR-RU: Report HRULP4 does not check change of business area</t>
  </si>
  <si>
    <t>HRULSTAT: FM HR_RU_DAQ_GET_PERNR_OKVED does not exist</t>
  </si>
  <si>
    <t>Staffing Percentage from infotype 1001 and Aver.Empl.Number</t>
  </si>
  <si>
    <t>HR-RU: Solution map issue after note 1458929</t>
  </si>
  <si>
    <t>HRULTAB0: error in macro CHECK_ENAME after SAP Note 1456198</t>
  </si>
  <si>
    <t>HR-RU: Error in FM HR_RU_DAQ_GET_PERNR_OKVED</t>
  </si>
  <si>
    <t>MP029000: Screen field ID_Number is shorter than in DDIC</t>
  </si>
  <si>
    <t>IT0182 : Icon 'Maintain Text' does not exist.</t>
  </si>
  <si>
    <t>TW: 'First name' and 'Last name' field are too short in IT21</t>
  </si>
  <si>
    <t>LI EE and ER premium is incorrect in SAP query SQ01</t>
  </si>
  <si>
    <t>IT0021: Can delete record, even if IT0167 record exists.</t>
  </si>
  <si>
    <t>IT0008: Cannot assign documents to IT0008 on screen 2010.</t>
  </si>
  <si>
    <t>EEO Report: Extra dash in Employer ID (EINUM).</t>
  </si>
  <si>
    <t>Saving Plans:Catch up contribution is not been deducted.</t>
  </si>
  <si>
    <t>BEN: Section 415 - Evaluate employee and plan selection.</t>
  </si>
  <si>
    <t>Report RPU_FILL_IBAN has no accessibility value</t>
  </si>
  <si>
    <t>Country change is proposed even for terminated employee</t>
  </si>
  <si>
    <t>Tooltip text is assigned to a non existing text element</t>
  </si>
  <si>
    <t>Country reassignment displays error message PB 323</t>
  </si>
  <si>
    <t>V_T512Z: Cannot be adjusted automatically with client 000</t>
  </si>
  <si>
    <t>PPOME: Cursor is not set correctly (SAP_HR)</t>
  </si>
  <si>
    <t>HR_ENTRY_DATE/HR_LEAVING_DATE: Interface enhancement</t>
  </si>
  <si>
    <t>Copying time infotype triggers inconsistent cost assignment</t>
  </si>
  <si>
    <t>Lock indicator missing in overview screen of IT0057</t>
  </si>
  <si>
    <t>HR_ENTRY_DATE: Reentry from inactive status</t>
  </si>
  <si>
    <t>HR_PAD_HIRE_EMPLOYEE: Dump CX_HRPA_VIOLATED_POSTCONDITION</t>
  </si>
  <si>
    <t>Infotype Header: Field ENAME is truncated</t>
  </si>
  <si>
    <t>Infotype 0021: Object identification saved as initial</t>
  </si>
  <si>
    <t>BAPI_BANKDETAIL_CREATE triggers the error message PG428</t>
  </si>
  <si>
    <t>IT0009: Saving not possible with payment method "Check"</t>
  </si>
  <si>
    <t>PM01 Enhancing the list screen of a view IT (follow-on note)</t>
  </si>
  <si>
    <t>PA30: Absence type for infotype "Attendances" can be entered</t>
  </si>
  <si>
    <t>IT0008: Field EESubgroupGrpg (T546T-LTEXT) cannot be hidden</t>
  </si>
  <si>
    <t>PA41: Infotype records that have not been selected are moved</t>
  </si>
  <si>
    <t>PA20/PA30: Infotype Text cannot be selected with keyboard</t>
  </si>
  <si>
    <t>IT0009: Missing check of payment method Customizing</t>
  </si>
  <si>
    <t>Personnel number field is deleted when hiring</t>
  </si>
  <si>
    <t>Dynamic action: Different behavior of SAVE and ENTER</t>
  </si>
  <si>
    <t>IT0027: Customized fields deleted in display mode</t>
  </si>
  <si>
    <t>PA70:Record can be created for non-existing personnel number</t>
  </si>
  <si>
    <t>HR infotypes: Correction of screen attributes (II)</t>
  </si>
  <si>
    <t>Employee cannot be deleted (message PG 407)</t>
  </si>
  <si>
    <t>Infotype 0001: "Administrator" frame displayed w/o content</t>
  </si>
  <si>
    <t>Infotypes 0011/0014/0057; 'Or' field: Quick info is missing</t>
  </si>
  <si>
    <t>Text maintenance in PA30: Text in dialog box is confusing</t>
  </si>
  <si>
    <t>HR infotypes: Correction of screen attributes (III)</t>
  </si>
  <si>
    <t>Short texts of messages RP 073 and RP 074 are unclear</t>
  </si>
  <si>
    <t>IT0009: Detail screen is displayed again despite saving</t>
  </si>
  <si>
    <t>PA40: 2 IT0001 records displayed when leaving action deleted</t>
  </si>
  <si>
    <t>F4 search help for field P0037-VSART</t>
  </si>
  <si>
    <t>PM01: New fields without content on overview screen</t>
  </si>
  <si>
    <t>Multiple position assignment: incorrect field attributes</t>
  </si>
  <si>
    <t>IT 0008: Cursor position is lost (Insert/Delete Wage Type)</t>
  </si>
  <si>
    <t>PA48: Error message PBAS_SERVICE001</t>
  </si>
  <si>
    <t>HR workflow issue with enqueue/dequeue</t>
  </si>
  <si>
    <t>Authorization check in the class CL_HRPA_INFTY_0001</t>
  </si>
  <si>
    <t>PA48: no possibility to specify the hiring action</t>
  </si>
  <si>
    <t>Recognition: Country reassignment proposed incorrectly</t>
  </si>
  <si>
    <t>IT0712: Runtime error RAISE_EXCEPTION, exception CNTL_ERROR</t>
  </si>
  <si>
    <t>RPUFIXDS started as job raises a dump RAISE_EXCEPTION</t>
  </si>
  <si>
    <t>PA48: Employee cannot be hired for a limited period</t>
  </si>
  <si>
    <t>HR_PREPARE_NEW_EE: Data of NUMBEROFCHILDREN is not visible</t>
  </si>
  <si>
    <t>PA48: Runtime error CALL_FUNCTION_NO_DEST</t>
  </si>
  <si>
    <t>PM01 Enhancing list screen of view info type, field content</t>
  </si>
  <si>
    <t>Recognition: Offered actions are misleading</t>
  </si>
  <si>
    <t>PA40/Hiring: Update function module is not triggered</t>
  </si>
  <si>
    <t>PA40: Missing exception handling for number range RP_PREL</t>
  </si>
  <si>
    <t>Service and maintenance order: Text is not displayed</t>
  </si>
  <si>
    <t>Hiring action: dump CONVT_NO_NUMBER im MP000200</t>
  </si>
  <si>
    <t>IT 0002: Field ENAME is not complete according to T522N</t>
  </si>
  <si>
    <t>OG42: Fields from infotype 0000 cannot be selected</t>
  </si>
  <si>
    <t>IT0001: Staffing percentage cannot be changed to "0"</t>
  </si>
  <si>
    <t>IT0021 Subtype 15 "Registered Partner": Gender proposal</t>
  </si>
  <si>
    <t>IBAN/SEPA: Bank Account and Bank control key are cleared</t>
  </si>
  <si>
    <t>V_T584A: Cannot assign test procedure for IT0016</t>
  </si>
  <si>
    <t>IT0002: Dynamic action not triggered for view infotype</t>
  </si>
  <si>
    <t>RPUFIXDS: Output log is not displaying the personnel number</t>
  </si>
  <si>
    <t>BAdI HRPAD00MGEACTIVATION can be used within SAP only</t>
  </si>
  <si>
    <t>Class CL_HRCE_MASTERSWITCHES is flagged as Final</t>
  </si>
  <si>
    <t>Reference Personnel Number: Copied view data is inconsistent</t>
  </si>
  <si>
    <t>Employee Recognition: Incorrect text 'Dte of Birth'</t>
  </si>
  <si>
    <t>PU90: Quota deduction deleted from employee master data</t>
  </si>
  <si>
    <t>Class CL_HRCE_MASTERSWITCHES: Method PADXX_ACTIVE</t>
  </si>
  <si>
    <t>T582A: Cannot activate text maintenance for infotype</t>
  </si>
  <si>
    <t>IT 0105: Fields not ready for input by error message</t>
  </si>
  <si>
    <t>SM30: Comparison tool for view V_T503Z shows wrong results</t>
  </si>
  <si>
    <t>IT0027: Not saved data are displayed on the screen</t>
  </si>
  <si>
    <t>IBAN: No warning message when bank country is changed</t>
  </si>
  <si>
    <t>Unexpected data content in fields of the infotype 0008 [3]</t>
  </si>
  <si>
    <t>IT0008: Field "Number/Unit" is populated in display mode</t>
  </si>
  <si>
    <t>Error in indirect valuation of applicant letters [2]</t>
  </si>
  <si>
    <t>Buffer problem occurs with consecutive call</t>
  </si>
  <si>
    <t>RP_SALARY_GENERIC_CALC: Dump CX_HRPA_VIOLATED_PRECONDITION</t>
  </si>
  <si>
    <t>IT0008: Entry is overwritten with default value</t>
  </si>
  <si>
    <t>HR_GET_TOTAL_AMOUNT_P0008 terminates w/ TABLE_INVALID_INDEX</t>
  </si>
  <si>
    <t>PA-PA-XX-CE</t>
  </si>
  <si>
    <t>Conc. Empl. - PA</t>
  </si>
  <si>
    <t>Recognition no longer works</t>
  </si>
  <si>
    <t>PA-PA-XX-TL</t>
  </si>
  <si>
    <t>PA-PA-XX-TL-SEN</t>
  </si>
  <si>
    <t>Calc. of empl.period</t>
  </si>
  <si>
    <t>Remts seniority calcul due to changes to public serv. law II</t>
  </si>
  <si>
    <t>Transaction PPDPSPFS exits without error message</t>
  </si>
  <si>
    <t>OOEC: Layouts of ALV Grid display cannot be deleted</t>
  </si>
  <si>
    <t>Transaction PPDPSPFS: Bookings for business events not shown</t>
  </si>
  <si>
    <t>Pension Fund CH</t>
  </si>
  <si>
    <t>Pension fund Switzerland: Sample form for non-recurring payt</t>
  </si>
  <si>
    <t>Payroll function CHPK: Error message for empty postings</t>
  </si>
  <si>
    <t>Universal evaluation: Improved ESS support</t>
  </si>
  <si>
    <t>Non-recurring payments: Supporting positive postings</t>
  </si>
  <si>
    <t>Non-recurring payments: Enhancement of infotype 3230</t>
  </si>
  <si>
    <t>PF: Children's pensions in tax display of pensioner</t>
  </si>
  <si>
    <t>Pension equalization payment: Corrections/Enhancements 4</t>
  </si>
  <si>
    <t>RBM: Collect rejected MI01 notifications again and transfer</t>
  </si>
  <si>
    <t>RBM: Corrections/enhancements MZ01 (6/2010)</t>
  </si>
  <si>
    <t>Pension equalization payment: Corrections/Enhancements 5</t>
  </si>
  <si>
    <t>CPS: Function key assignment in benefits infotype (0202)</t>
  </si>
  <si>
    <t>Aktualisierung Dokumentation für Projektions-Operationen</t>
  </si>
  <si>
    <t>PF WD ESS: Suppressing ESS form if error occurs</t>
  </si>
  <si>
    <t>Penison fund: Error message ESS for different Support Pkg.</t>
  </si>
  <si>
    <t>Performance of RHRFPM_LIFI and RHPMLIFI</t>
  </si>
  <si>
    <t>Foreign key for PADPM-FREQU</t>
  </si>
  <si>
    <t>PA-PM-CP</t>
  </si>
  <si>
    <t>Commitment/Budget Cr</t>
  </si>
  <si>
    <t>Table FUND contains blank entries</t>
  </si>
  <si>
    <t>Corrections due to usability</t>
  </si>
  <si>
    <t>Job index can process only 99 job index keys</t>
  </si>
  <si>
    <t>Job index: Inheritance of job index groups does not work</t>
  </si>
  <si>
    <t>Datasource not found when opening applicant letters</t>
  </si>
  <si>
    <t>RPAPL012: User defined fields not displayed for selection</t>
  </si>
  <si>
    <t>PBAT: Datasource not found pop up</t>
  </si>
  <si>
    <t>Day-to-Day Activity</t>
  </si>
  <si>
    <t>Time records getting created when cancelling a booking</t>
  </si>
  <si>
    <t>Billing/Activ Alloc.</t>
  </si>
  <si>
    <t>RHINLV00/RHFAKT00: Event name and dates not displayed in o/p</t>
  </si>
  <si>
    <t>RPTCMP01: Long employee names are not displayed in full</t>
  </si>
  <si>
    <t>RPCXB200: Incorrect version number during cluster B2 import</t>
  </si>
  <si>
    <t>Operation HRS1Y before use of Function Quota</t>
  </si>
  <si>
    <t>RPTEAB00: Filter on status text does not return any results</t>
  </si>
  <si>
    <t>PAB: New parameter HSWD for Bulgaria and Czech Republic</t>
  </si>
  <si>
    <t>RPTERR01: Missing save option for SAP List Viewer layout</t>
  </si>
  <si>
    <t>IT 0080/0081: Absences with initial DOCNR</t>
  </si>
  <si>
    <t>BAPI_PTIMEOVERVIEW_GET: Multiple entries in RETURN</t>
  </si>
  <si>
    <t>PA61: List entry: Field ITXEX (text maintenance)</t>
  </si>
  <si>
    <t>PT40: List is not displayed when navigating from doc view</t>
  </si>
  <si>
    <t>BAPIs: Fields in area FUND are not processed</t>
  </si>
  <si>
    <t>PA61 list entry: Changing illness records</t>
  </si>
  <si>
    <t>Cluster PC: BAdI HRTIM_UCCONV_MARK for table COVER</t>
  </si>
  <si>
    <t>IT 0007: Text of work schedule rule not displayed</t>
  </si>
  <si>
    <t>The substitution type is not transferred during the transfer</t>
  </si>
  <si>
    <t>PTMW: Authorization check for substitutions (IT 2003)</t>
  </si>
  <si>
    <t>PTMW: Short dump when overwriting or deleting substitution</t>
  </si>
  <si>
    <t>Set start of recalculation correctly in TMW</t>
  </si>
  <si>
    <t>PP61: Actual plan cannot be printed</t>
  </si>
  <si>
    <t>PP67 - Short dump in input help with blank table T77ED</t>
  </si>
  <si>
    <t>Change of info columns - Time wage types are lost</t>
  </si>
  <si>
    <t>Info column with data from table FEHLER is empty</t>
  </si>
  <si>
    <t>PT-WS</t>
  </si>
  <si>
    <t>Work Schedule</t>
  </si>
  <si>
    <t>HR_PLANNED_WORKING_TIMES reads incorrect infotype</t>
  </si>
  <si>
    <t>Social security error in case of license</t>
  </si>
  <si>
    <t>SICOSS report is not considering vacation retrocalculations</t>
  </si>
  <si>
    <t>Wrong provision of vacation in AJUS payroll</t>
  </si>
  <si>
    <t>HR-AR: Non-remunerative taxable gains incorrect in ARIMP</t>
  </si>
  <si>
    <t>HR-AR: MP30 and /007 are not generated for termination</t>
  </si>
  <si>
    <t>SICOSS with more than 3 review situations</t>
  </si>
  <si>
    <t>Social Ins. retrocalc. for part-time with customized WT's</t>
  </si>
  <si>
    <t>PY-AR Documentation: Social insurance wage types</t>
  </si>
  <si>
    <t>Vacation provision of quotas after deduction end date</t>
  </si>
  <si>
    <t>Social insurance withholdings multiple employees w/part-time</t>
  </si>
  <si>
    <t>Payslip doesn't read T7AR02 if new table T7AR02D is empty</t>
  </si>
  <si>
    <t>Correction on Rule ARP1: SAC payment for unpaid absence</t>
  </si>
  <si>
    <t>Part-Time employees reotrocalc. with reduced splits</t>
  </si>
  <si>
    <t>Report HARCSSD0 does not display company data</t>
  </si>
  <si>
    <t>Pfändung: Abbruch nach Einbau des Hinweises 1389944</t>
  </si>
  <si>
    <t>Obsolet: Massenermittlung bei Rückrechnung Vorjahre</t>
  </si>
  <si>
    <t>Pfändung: Überweisungslohnarten mit unterschiedlicher BTZNR</t>
  </si>
  <si>
    <t>RPTGENA0: Entgeltfortzahlung bei Wiedereintritt nach AngG</t>
  </si>
  <si>
    <t>Auslieferung: Zahlungen bei Ende des Dienstverhältnisses</t>
  </si>
  <si>
    <t>RPCKTOA0: Drucken alle Monate des Jahres</t>
  </si>
  <si>
    <t>Altersteilzeitformulare 2010 (Nachtrag)</t>
  </si>
  <si>
    <t>PCALZ: Korrekturen wegen Prüfregel und Status</t>
  </si>
  <si>
    <t>RPCKSJA1: Fehler bei Wechsel des Abrechnungskreises</t>
  </si>
  <si>
    <t>Altersteilzeit: Index-Erhöhung 2010</t>
  </si>
  <si>
    <t>RPISMRA0: Nur ein Name des Dienstnehmers ist angezeigt</t>
  </si>
  <si>
    <t>IBAN/SEPA:Fehler beim Kopieren IT0136 mit Empfängerschlüssel</t>
  </si>
  <si>
    <t>Berechnung der Soz.Versg.Beiträge für Vorstandsmitglieder</t>
  </si>
  <si>
    <t>PCALZ: Kennzeichen AVAB, AEAB sowie ANZK am L16 (Korrektur)</t>
  </si>
  <si>
    <t>Pfändung: Pfändungsartspezifische Massendifferenzbildung</t>
  </si>
  <si>
    <t>SV ÖD: Bei Kürzung der Bezüge übernimmt DG auch WF/KU/LK</t>
  </si>
  <si>
    <t>Payment Summary: Corrections provided for PS Layout.</t>
  </si>
  <si>
    <t>Wagetype RSAS not reduced as per Salary Sacrifice wagetypes</t>
  </si>
  <si>
    <t>Corrections for TFN Declaration Report</t>
  </si>
  <si>
    <t>Dummy Note : Structure for forms</t>
  </si>
  <si>
    <t>New ETP form created for trans. payments for yr 2009/2010</t>
  </si>
  <si>
    <t>TFN Report: Changes for SATO Claim &amp; Residency status fields</t>
  </si>
  <si>
    <t>Tax thresholds &amp; limits for 2010/11 tax year (PAYG)</t>
  </si>
  <si>
    <t>HELP and SFSS thresholds for 2010/11</t>
  </si>
  <si>
    <t>Changes for ETP and Bonafide redundancy 2010/11</t>
  </si>
  <si>
    <t>Tax Rebates for for 2010/11 tax year</t>
  </si>
  <si>
    <t>CE switch added for Australia</t>
  </si>
  <si>
    <t>Payment summary listing report: Duplicate error messages</t>
  </si>
  <si>
    <t>Protected Earning constants in table T511K for year 2010</t>
  </si>
  <si>
    <t>Payroll Australia</t>
  </si>
  <si>
    <t>PAYROLL_METHOD enhanced for AU Country version</t>
  </si>
  <si>
    <t>DeCava: Payroll, SI &amp; Taxes calculations - initial delivery</t>
  </si>
  <si>
    <t>DIMONA: Framework for new release 2010</t>
  </si>
  <si>
    <t>Fixed Cost Bonus on normal periodic remunerations 05/2010</t>
  </si>
  <si>
    <t>RPTGENB0: Personal numbers are not always unlocked</t>
  </si>
  <si>
    <t>Customer Include missing in structure PS0109</t>
  </si>
  <si>
    <t>Social Balance: Translation to French</t>
  </si>
  <si>
    <t>DeCava: Payroll, SI &amp; Taxes calculations - Part II</t>
  </si>
  <si>
    <t>TAX: Incorrect taxes in case of offcycle bonus run</t>
  </si>
  <si>
    <t>CE Switch Changes for CA Reports (SAP_HRCCA)</t>
  </si>
  <si>
    <t>CE Switch for SAP_HRXX Components</t>
  </si>
  <si>
    <t>Family-rel bonus registry:Rpt for reading SI nos of children</t>
  </si>
  <si>
    <t>ESS Renovation: China year end report</t>
  </si>
  <si>
    <t>Date of birth for evaluations in "Personal Data" infotype</t>
  </si>
  <si>
    <t>Formal change to function modules</t>
  </si>
  <si>
    <t>ELENA: File no. error in test run RPCELKD0 w/ several files</t>
  </si>
  <si>
    <t>SI: Adjustments/enhancement SI commun. health insur. funds</t>
  </si>
  <si>
    <t>Employment tax statement: Error updating tables</t>
  </si>
  <si>
    <t>DEUEV: Changes for determining license plate country code</t>
  </si>
  <si>
    <t>DEUEV(UVMG): Corrections V</t>
  </si>
  <si>
    <t>ELENA: Corrections after the fiscal year change 12</t>
  </si>
  <si>
    <t>Manual fields for electronic remuneration statement (ELENA)</t>
  </si>
  <si>
    <t>ELENA: Error message HRPAYDESV 603 for public sec employees</t>
  </si>
  <si>
    <t>Enhancements in infotype 700 (Electronic Data Exchange)</t>
  </si>
  <si>
    <t>ELENA: Creating notification termination</t>
  </si>
  <si>
    <t>IMG: Supplements for absences and remuneration statement</t>
  </si>
  <si>
    <t>Remuneration statements: Print superlines</t>
  </si>
  <si>
    <t>Garn principle of origin: Termination when splitting IT 0008</t>
  </si>
  <si>
    <t>Corr: SP contributions, garnishment net amount reduction</t>
  </si>
  <si>
    <t>Garn. principle of origin - semiretirement and supp pension</t>
  </si>
  <si>
    <t>Garn., princ. of origin - diff. grtr than amts to be repaid</t>
  </si>
  <si>
    <t>Grnshmnt prncple of orgn - shrt dump w/ neg seizble net amnt</t>
  </si>
  <si>
    <t>Garnishment IT 0116: Grouping together bank transfers</t>
  </si>
  <si>
    <t>Using the GKV communications server for confirmations</t>
  </si>
  <si>
    <t>DEUEV (professionals pension): corrections (6)</t>
  </si>
  <si>
    <t>Error when transferring val cr status 2009 for accident ins</t>
  </si>
  <si>
    <t>Part-time second job without social insurance</t>
  </si>
  <si>
    <t>Autom paying office procedure: Clarification and corrections</t>
  </si>
  <si>
    <t>Processing low-wage sector cases in the PPO contr survey</t>
  </si>
  <si>
    <t>SI reporting: Corrections to administrator lists</t>
  </si>
  <si>
    <t>RHC: Posting of wage type /64S (RHC SI-liab. RHC Allow.)</t>
  </si>
  <si>
    <t>Employment tax statement: Report RPCTXLD1</t>
  </si>
  <si>
    <t>Employment tax statement (ETStmt): Corrections 06 2010</t>
  </si>
  <si>
    <t>DBA: Termination with one-off payment and absence</t>
  </si>
  <si>
    <t>Lock ann.empl.tax dec. after chg. to tax exemp. for children</t>
  </si>
  <si>
    <t>ETStmt: Corrections 06 2010 (II)</t>
  </si>
  <si>
    <t>Data provision: Conversion to logical file path</t>
  </si>
  <si>
    <t>Contents of SEGMENT field in infotype 0027 are lost</t>
  </si>
  <si>
    <t>ZfA: Restarting terminated B2A transfers</t>
  </si>
  <si>
    <t>GOP: Garnishment limit check does not take /612 into account</t>
  </si>
  <si>
    <t>DOZMG and the reimbursement wage types</t>
  </si>
  <si>
    <t>Service Regulations Readjustment Act: Salary adjustment 2010</t>
  </si>
  <si>
    <t>RPLTRFD0 prints blank second page</t>
  </si>
  <si>
    <t>Infotype 0509: Error in case of input help</t>
  </si>
  <si>
    <t>Personnel level statistics by June 30, 2010</t>
  </si>
  <si>
    <t>Timeout error and structure equalization</t>
  </si>
  <si>
    <t>Col. Agreement PS: Flat-rate one-time payment in July 2010 1</t>
  </si>
  <si>
    <t>Grouping of suspensions in case of currency change</t>
  </si>
  <si>
    <t>Triggering  retroactive accounting for dependents</t>
  </si>
  <si>
    <t>Pension administration: No success message after save</t>
  </si>
  <si>
    <t>DNeuG:Limit times of tert edu, Sec 12 par 1 clause 3, par 1a</t>
  </si>
  <si>
    <t>Cannot print notifications with SAP GUI for HTML</t>
  </si>
  <si>
    <t>Infotype 0304 still taken into account in statement</t>
  </si>
  <si>
    <t>Formal changes conerning usability and Check Manager</t>
  </si>
  <si>
    <t>Change logging of Customizing tables</t>
  </si>
  <si>
    <t>Tax exemptn for pensions: Retro acct in closed fiscl yrs (3)</t>
  </si>
  <si>
    <t>Tax exemption for pensions: Retro acctg in period w/ leaving</t>
  </si>
  <si>
    <t>Error in SP reporting program (June 2010)</t>
  </si>
  <si>
    <t>No. of account numbers in closing record too high by 1</t>
  </si>
  <si>
    <t>DATUEV-ZVE Version 1.03: Adjustment, new taxing features</t>
  </si>
  <si>
    <t>RPLEHAD3: Internship in accordance w/ education/training sys</t>
  </si>
  <si>
    <t>Corrections for statements 06/2010</t>
  </si>
  <si>
    <t>Statement of earnings for transitional pay: Version V006</t>
  </si>
  <si>
    <t>Statement of earnings for transitional pay in case of RHC</t>
  </si>
  <si>
    <t>Duplicated contribution for training contracts</t>
  </si>
  <si>
    <t>TC is not generating EDTCD segment</t>
  </si>
  <si>
    <t>Incorrect unpaid absence days for part-time employees</t>
  </si>
  <si>
    <t>TC: Category and Sector from the main CCC</t>
  </si>
  <si>
    <t>Payroll function ECCHK duplicating wage type /556</t>
  </si>
  <si>
    <t>Problems generating 345 model for non-residents</t>
  </si>
  <si>
    <t>Problems in the decrease due to mortgage field in 190</t>
  </si>
  <si>
    <t>Deductions Cert. printing wrongly the Legal Person address</t>
  </si>
  <si>
    <t>Delt@: Accident hour is being wrongly increased in one hour</t>
  </si>
  <si>
    <t>Missing EDTCA11 in A76 declarations</t>
  </si>
  <si>
    <t>TC: Box 105 does not show negative sign when necessary.</t>
  </si>
  <si>
    <t>TC: BA00 is not being generated with equal BA01 and BA02</t>
  </si>
  <si>
    <t>190: Model 216 is not taking into account arrears</t>
  </si>
  <si>
    <t>RPCTC0E0: Retroactive VND causing multiple DATs with 0 days</t>
  </si>
  <si>
    <t>RPTGENE0: Personal Calendar repeats absentism days</t>
  </si>
  <si>
    <t>Garnishment - Problems generating default minimum priority</t>
  </si>
  <si>
    <t>RPCFANE0 filtering by CCC</t>
  </si>
  <si>
    <t>CALC: Bonification precedence apart from CRBON constant</t>
  </si>
  <si>
    <t>RPCALCE0: Indirect Evaluation error with seniority</t>
  </si>
  <si>
    <t>TC: Incorrect TC1 field 115 with A76 declaration</t>
  </si>
  <si>
    <t>Problems with IRPF calculation for non-residents employees</t>
  </si>
  <si>
    <t>TC: Unpaid absence does not display 'A' indicator in TemSe</t>
  </si>
  <si>
    <t>Garnishment being wrongly considerated during absence period</t>
  </si>
  <si>
    <t>Company Certificate - Layout Corrections IV</t>
  </si>
  <si>
    <t>TC: Extended IT causing "Error in number of days"</t>
  </si>
  <si>
    <t>CERE: Contribution bases calculated wrongly</t>
  </si>
  <si>
    <t>TC:Informative TemSe is being wrongly added to complementary</t>
  </si>
  <si>
    <t>Unemployed field is not being filled correctly in automatism</t>
  </si>
  <si>
    <t>Company Certificate - Non Enjoyed Vacations correction</t>
  </si>
  <si>
    <t>TC: Error message "Obtención de días" in complementaries</t>
  </si>
  <si>
    <t>AFI: Employees with errors are being marked as Sent in 0799</t>
  </si>
  <si>
    <t>TC: ERE indicator T is not being added to non ordinary temse</t>
  </si>
  <si>
    <t>Dump in RPCTC0E0</t>
  </si>
  <si>
    <t>TC: Missing bonification segment in case of extended IT</t>
  </si>
  <si>
    <t>Bonifications with problems after note 1421939</t>
  </si>
  <si>
    <t>Problems visualising the field Senior Mgt. Cont. in IT0016</t>
  </si>
  <si>
    <t>Dump in the infotype 62 during IRPF percentage calculation</t>
  </si>
  <si>
    <t>TC2 form: Incorrect 'Special Situations' field</t>
  </si>
  <si>
    <t>AFI: Exempt employees are not processed</t>
  </si>
  <si>
    <t>AFI: CCC Filter does not work for CCC changes in the period.</t>
  </si>
  <si>
    <t>IRPF is not considering applied percentage for expatriates</t>
  </si>
  <si>
    <t>AFI:Automatism is generating entries outside of period range</t>
  </si>
  <si>
    <t>AFI: Blocked employees are being added in the temse file</t>
  </si>
  <si>
    <t>Delt@: Usual work field (HABIT) should not be obligatory</t>
  </si>
  <si>
    <t>FDI: Company Code filter is not working properly</t>
  </si>
  <si>
    <t>Personal Calendar does not check if the employee is blocked</t>
  </si>
  <si>
    <t>Definition of master data for FORCEM in IMG</t>
  </si>
  <si>
    <t>Problems in the town code search help of infotype 0016</t>
  </si>
  <si>
    <t>AFI:"Error on simulating employee payroll" but payroll works</t>
  </si>
  <si>
    <t>FDI - Corr.: Company Code filter is not working properly</t>
  </si>
  <si>
    <t>SCRT table had old values even when reset tax set in IT0205</t>
  </si>
  <si>
    <t>KELA legal changes 2010</t>
  </si>
  <si>
    <t>HFICTAX0 Change in the reporting of Tax code 610</t>
  </si>
  <si>
    <t>HFIUTCUL Ancillary tax card Upload issue with Rate</t>
  </si>
  <si>
    <t>Reset contrib. bases with complementary pay &amp; cluster splits</t>
  </si>
  <si>
    <t>EDI declarations: Long-term leave + envelope files</t>
  </si>
  <si>
    <t>Attestation de Salaire EDI: Compliance with XML header file</t>
  </si>
  <si>
    <t>RPUTMS9S: French specific TemSe files without description</t>
  </si>
  <si>
    <t>DADS-U: inactive period amounts S41.G30.25</t>
  </si>
  <si>
    <t>B2A: no French texts in V_T50BK</t>
  </si>
  <si>
    <t>Minimal amount of active years in seniority calculation</t>
  </si>
  <si>
    <t>RPLANCF1: New ALV fields for addresses</t>
  </si>
  <si>
    <t>Incomplete documentation in IMG Activity PAY_FR_PART_V_T5C</t>
  </si>
  <si>
    <t>Profit sharing: any MOPAR accepted in V_T5F3C and V_5F1P_E</t>
  </si>
  <si>
    <t>Profit Sharing: Exception CX_SY_ARITHMETIC_OVERFLOW</t>
  </si>
  <si>
    <t>PY-FR-IE</t>
  </si>
  <si>
    <t>Interface External</t>
  </si>
  <si>
    <t>Missing IBAN and SWIFT support in FADP</t>
  </si>
  <si>
    <t>Col. Decree: Irrelevant warning message (on printed form)</t>
  </si>
  <si>
    <t>Text nodes not found in the French Public Sector IMG</t>
  </si>
  <si>
    <t>Correction to note 1384164: Processing of SL1 and SL2 forms</t>
  </si>
  <si>
    <t>SWF: additional payments on IT0008 &amp; Employment type message</t>
  </si>
  <si>
    <t>RPUUSSG1 reports an incorrect change of salary</t>
  </si>
  <si>
    <t>Changes to Electric Company Vans effective from 06.04.2010</t>
  </si>
  <si>
    <t>Issue with IT442 CO2 emission field</t>
  </si>
  <si>
    <t>Selection Date and Rehire scenario issues in Starter Report</t>
  </si>
  <si>
    <t>RPUEFO_P46PEN does not generate a SAPscript in background</t>
  </si>
  <si>
    <t>Withdrawn employee's pay details included in P35 form</t>
  </si>
  <si>
    <t>Incorrect Pay Details for cross year Late payments in P45</t>
  </si>
  <si>
    <t>Incorrect EO Rate in Operation HKTFP with Off-cycle Payments</t>
  </si>
  <si>
    <t>Inconsistent IR56B Sheet No. for EEs With The Same Name</t>
  </si>
  <si>
    <t>Incorrect Employee Number In IR56B Output Text File</t>
  </si>
  <si>
    <t>Enhancement for "Reason for Cessation" Field in IR56F</t>
  </si>
  <si>
    <t>Severance payment tax for EE with no NPWP(Tax ID)</t>
  </si>
  <si>
    <t>HIECEOY0: Incorrect Start data for change of ERN</t>
  </si>
  <si>
    <t>PY-IE:Taxation on payments after leaving 2010</t>
  </si>
  <si>
    <t>PY-IE-RP</t>
  </si>
  <si>
    <t>PY-IE-RP-TX</t>
  </si>
  <si>
    <t>HIECEOY0: 2010 Income Levy Values for yearend</t>
  </si>
  <si>
    <t>LTA claimed in previous empl not considered in current empl</t>
  </si>
  <si>
    <t>Superannuation inconsistent with retroactive payroll run</t>
  </si>
  <si>
    <t>Form 16 generated inconsistently for rehired employees</t>
  </si>
  <si>
    <t>Partially mapped challan details not reported in Form 24Q</t>
  </si>
  <si>
    <t>Incorrect Ptax basis projn in Kerala for onetime payments</t>
  </si>
  <si>
    <t>FBP: Incorrect delimition of Infotype 0589 (Reimbursements)</t>
  </si>
  <si>
    <t>Sec80(u) exem. calculated inconsistntly for challenged emp.</t>
  </si>
  <si>
    <t>Form 24Q of Q4 not showing details for terminated employees</t>
  </si>
  <si>
    <t>Form 24Q displays aggregate sec VIA dedn details incorrectly</t>
  </si>
  <si>
    <t>HINCF24Q:PAN Number not appearing on generating Form 24Q</t>
  </si>
  <si>
    <t>Inconsistency in layout of Form 16 in lines 17 &amp; 18</t>
  </si>
  <si>
    <t>Runtime error in Form 16 and Form 24Q (SAP Note 1358511)</t>
  </si>
  <si>
    <t>HINCF160:Total Tax on page 3 getting displayd inconsistently</t>
  </si>
  <si>
    <t>Budget 2010: Excess tax deduction in absence of valid PAN</t>
  </si>
  <si>
    <t>TAN upload utility: Selected employees inconsistency</t>
  </si>
  <si>
    <t>HINCF160: Inconsistency in declaration section of Form 16AA</t>
  </si>
  <si>
    <t>Digital Signature form 12BA for multiple empls,no zero value</t>
  </si>
  <si>
    <t>Multiple form 16 activated, challan details inconsistent</t>
  </si>
  <si>
    <t>Page 3 certificate contains text with text 'Rupees' twice</t>
  </si>
  <si>
    <t>Footer text not displayed in Form 16 (PDF format)</t>
  </si>
  <si>
    <t>Acknowledgement number not displayed incase of rehired empls</t>
  </si>
  <si>
    <t>Inconsistency in Form 16 PDF for mid-year hired employee</t>
  </si>
  <si>
    <t>Salary and tax details not reported for terminated employees</t>
  </si>
  <si>
    <t>Form 16 inconsistent incase of employees with page 3 details</t>
  </si>
  <si>
    <t>Inconsistent value of /616 &amp; /6I2 in case of Cross FY retro</t>
  </si>
  <si>
    <t>ESI Limit increased and length of temp. ESI no increased</t>
  </si>
  <si>
    <t>Form 16 inconsistent for financial years before 2009</t>
  </si>
  <si>
    <t>PTax not calculated for terminated employees in first period</t>
  </si>
  <si>
    <t>Form 16 - Tax deposited on page 3 is inconsistent</t>
  </si>
  <si>
    <t>HINCF160: Form 16 displayed inconsistently for rehired emp.</t>
  </si>
  <si>
    <t>Multiple tax deduction, Form 16 page 3 inconsistent</t>
  </si>
  <si>
    <t>Challan mapping done inconsistently for mid month PA change</t>
  </si>
  <si>
    <t>HR-IT: Fields P0154-MATPROV and P0154-SEDEL same group error</t>
  </si>
  <si>
    <t>HR-IT: Uniemens 9.1</t>
  </si>
  <si>
    <t>HR-IT: Model 730/2010 legal change</t>
  </si>
  <si>
    <t>HR-IT: 770 2010 Correction Package 1</t>
  </si>
  <si>
    <t>HR-IT: Unicode - Automatic cover conversion.</t>
  </si>
  <si>
    <t>HR-IT: Dump on IT0021 with alfanumeric subtype</t>
  </si>
  <si>
    <t>HR-IT: Uniemens 9.2</t>
  </si>
  <si>
    <t>HR-IT: Error in payroll func. RDTAB when using Infotype 0021</t>
  </si>
  <si>
    <t>RPCUEMJ0: Runtime Error Caused by Wrong Leaving Date</t>
  </si>
  <si>
    <t>RPCSISJ0: Geppen Candidate Not Properly Processed</t>
  </si>
  <si>
    <t>RPCSISJ0: Start Month and Changed Month Incorrect in SGT</t>
  </si>
  <si>
    <t>Incorrect Amount Displayed on HKRCYEA0 and HKRCYEG0 Forms</t>
  </si>
  <si>
    <t>Previous IT0021 Record Skip in Retro YEA Payroll</t>
  </si>
  <si>
    <t>Correction for Layout of YEA List Form</t>
  </si>
  <si>
    <t>New YEA and Separation Forms for 2010</t>
  </si>
  <si>
    <t>KRSEP:Wrong Average Payment When Assign 1 WT to Several WTGs</t>
  </si>
  <si>
    <t>Preparation of ECC 6.00 for Concurrent Employment Mexico</t>
  </si>
  <si>
    <t>HMXCTRM0: Percentage not applied on additional payments data</t>
  </si>
  <si>
    <t>HR-MX:Infonavit calculation incorrect on minimun wage change</t>
  </si>
  <si>
    <t>HR-MX: Supplementary taxes missing in HMXCIES0 for CHI &amp; CMP</t>
  </si>
  <si>
    <t>HR-MX: wrong message in MXSIC after notes 1407277 &amp; 1430041</t>
  </si>
  <si>
    <t>PY-MX-CE</t>
  </si>
  <si>
    <t>Payroll Mexico</t>
  </si>
  <si>
    <t>CE Retrofit</t>
  </si>
  <si>
    <t>CE Activation - Mexico</t>
  </si>
  <si>
    <t>PY-MX-PS: Change repository objects owner for P32P1</t>
  </si>
  <si>
    <t>LC 2010: New TP1 form</t>
  </si>
  <si>
    <t>PY-MY: Incorrect zakat during STD computation</t>
  </si>
  <si>
    <t>RPCEBAL0: Missing save layout button in the LIST display</t>
  </si>
  <si>
    <t>LC 2010: TP3 form</t>
  </si>
  <si>
    <t>SOCSO 8B: Download disk file corrections</t>
  </si>
  <si>
    <t>PCB2 Form - Incorrect Receipt number &amp; date in section 3</t>
  </si>
  <si>
    <t>CP22:Additional salary adds twice to fixed remuneration</t>
  </si>
  <si>
    <t>Adjustment of Transitional Rule Life-course Saving Scheme</t>
  </si>
  <si>
    <t>NLSJR: Small Jobs Regulation with Net Payments</t>
  </si>
  <si>
    <t>Incorrect calculation in Norway Overtime report</t>
  </si>
  <si>
    <t>AA Register - Several Issues</t>
  </si>
  <si>
    <t>Overtime Report: Incorrect monthly and yearly records</t>
  </si>
  <si>
    <t>Data not uploaded from Reimbursement upload program</t>
  </si>
  <si>
    <t>Incorrect average rate for rehired employees</t>
  </si>
  <si>
    <t>4299578/2009: Gross Up Without Student Loan</t>
  </si>
  <si>
    <t>ESCT(SSCWT) not appearing against correct fund in KIWCO</t>
  </si>
  <si>
    <t>HNZLEMS0:Incorrect electronic file and incorrect results</t>
  </si>
  <si>
    <t>Rate is zero after function NZLVP,parental flag is not reset</t>
  </si>
  <si>
    <t>Pay Details Report has numerous blank lines at the beginning</t>
  </si>
  <si>
    <t>PH Alphalist problem for EE's with Previous Employer.</t>
  </si>
  <si>
    <t>HR-PT: Single Report</t>
  </si>
  <si>
    <t>Single Report enhancements and attachment A generation</t>
  </si>
  <si>
    <t>Single Report general corrections</t>
  </si>
  <si>
    <t>Public Sector Payrol</t>
  </si>
  <si>
    <t>HR-PT-PS: IT0899 - no space for customer fields</t>
  </si>
  <si>
    <t>HCM PT PS: Evaluation Class 15 and Cumulation WT /102</t>
  </si>
  <si>
    <t>HR-RU Legal Change: Form 4-FSS - XML file generation</t>
  </si>
  <si>
    <t>HR-RU: Off-cycle '0105' not deducted from regular payroll</t>
  </si>
  <si>
    <t>Feature 33SG0: new field for decisions</t>
  </si>
  <si>
    <t>HR-RU: Wrong wage type /341 for vacations since 2010</t>
  </si>
  <si>
    <t>HR-RU: Income Tax Discrepancies improvements after 1445404</t>
  </si>
  <si>
    <t>HR-RU: RUTAX stops in off-cycle correction run after 1433590</t>
  </si>
  <si>
    <t>HR-RU: HRUL4FSS incorrectly process 2009 year or empty TAX</t>
  </si>
  <si>
    <t>Checkman error of CL_HR_T7RUT1 class</t>
  </si>
  <si>
    <t>HR-RU: Vacation compensation between 2 rehirings</t>
  </si>
  <si>
    <t>ATS:Specification no. incorrect for Multiple Country codes</t>
  </si>
  <si>
    <t>Addtional corrections to Note 1455411</t>
  </si>
  <si>
    <t>RPSSBSS0:Incorrect results on Temse file for multiple EE's</t>
  </si>
  <si>
    <t>ATS:Specification no. incorrect for Multiple Work Country</t>
  </si>
  <si>
    <t>RPSSBSS0 Temse/Text File has incorrect number of records</t>
  </si>
  <si>
    <t>SG-Payroll: -ve CPF in year end payroll for terminated EE</t>
  </si>
  <si>
    <t>IR8A: Name more than 40 chars and employer address</t>
  </si>
  <si>
    <t>CPF incorrect for retroactive mid month EXEMP to PR changes</t>
  </si>
  <si>
    <t>SG-Payroll : FWL for middle of month new joiner</t>
  </si>
  <si>
    <t>SG-Payroll: Addition to note 1467871 for FWL calculation.</t>
  </si>
  <si>
    <t>Table PA0366 : Searching PERNR using field 'PFNUM'</t>
  </si>
  <si>
    <t>Alignment corrections of ITF1A, 50Bis and PIT91 Form</t>
  </si>
  <si>
    <t>TW NHI EE Premium/Pay (/311 and /313) calculation error</t>
  </si>
  <si>
    <t>Keep Consistent for Infotype 0355 Between SAP Query and PA30</t>
  </si>
  <si>
    <t>HTWLHI00 Displays Data with Wrong Position in Output List</t>
  </si>
  <si>
    <t>Taxpayer ID Number is incorrect for Foreigner</t>
  </si>
  <si>
    <t>OOS: Out-of-seq. checks not recommended for adj. runs</t>
  </si>
  <si>
    <t>USCLM: Cost assignment incorrect</t>
  </si>
  <si>
    <t>Conc.Empl.-PY USA</t>
  </si>
  <si>
    <t>CE Activation USA</t>
  </si>
  <si>
    <t>NRA: Incorrect income code/exemption codes in DNRCT</t>
  </si>
  <si>
    <t>RPURMU00: Failed step not shown in HR Proc.  Workbench</t>
  </si>
  <si>
    <t>3PR:Short dump in RPURMR00 report run in background.</t>
  </si>
  <si>
    <t>3PR: No entry in table T51R6_FUNDINFO.</t>
  </si>
  <si>
    <t>3PR: Posting program creates incorrect ref.documents.</t>
  </si>
  <si>
    <t>SUI EXCEL Format for the state of WY</t>
  </si>
  <si>
    <t>WA SUI Reporting</t>
  </si>
  <si>
    <t>Sorting issues in Tax Reporter log manager</t>
  </si>
  <si>
    <t>TAX:Short dump in RPCALCU0 after implem.BAdI PC10_PAY0009.</t>
  </si>
  <si>
    <t>TAX:UOTX0 copying incorrect taxes into retro payroll result.</t>
  </si>
  <si>
    <t>Update of minimum wage 2010 II (Date Correction)</t>
  </si>
  <si>
    <t>Checkmann error</t>
  </si>
  <si>
    <t>View V_511K_B - short dump SAPSQL_INVALID_FIELDNAME</t>
  </si>
  <si>
    <t>Payroll Function SUBWT does not accept parameter 'H'</t>
  </si>
  <si>
    <t>Generate schema through transaction PE01</t>
  </si>
  <si>
    <t>Transaction PC00_M99_UCRT can not be started in webgui</t>
  </si>
  <si>
    <t>Customization of RPMENUSTART00 using T52MENU</t>
  </si>
  <si>
    <t>XPRA, PCL2: extra tables in payroll result after conversion</t>
  </si>
  <si>
    <t>CRT: 'SORT CRT' changes the sequence of table CRT</t>
  </si>
  <si>
    <t>XPRA, PCL2: Table VERSION is filled with "last changed by"</t>
  </si>
  <si>
    <t>Unable to delimit loan, you get an error message.</t>
  </si>
  <si>
    <t>When delimiting wage type, symbolic account is not delimited</t>
  </si>
  <si>
    <t>Checkman: Accessibility check RPU600BT_CONV_RANGE_RF_ZZ</t>
  </si>
  <si>
    <t>Enhancement to RPUDEL20: save entries before delete</t>
  </si>
  <si>
    <t>T500L: Incorrect cluster ID for MOLGA 57 (Netherl. Antilles)</t>
  </si>
  <si>
    <t>Payroll log: Incorrect table heading</t>
  </si>
  <si>
    <t>In payroll log, table P0210 is read with incorrect dates</t>
  </si>
  <si>
    <t>Log: Only short texts of wage types are displayed</t>
  </si>
  <si>
    <t>NAMC: cannot rerun NAMC as a simulation</t>
  </si>
  <si>
    <t>Fields NDATE &amp; GDATE are not filled in VERSC for OC payroll</t>
  </si>
  <si>
    <t>Missing Exit for determination of document number (vblnr)</t>
  </si>
  <si>
    <t>RPCIPE00: References in inactive commitment period</t>
  </si>
  <si>
    <t>RPCIPE00 and RPCIPE00_OLD: Rounding differences</t>
  </si>
  <si>
    <t>RPCIPE01CE: Run statistics not updated</t>
  </si>
  <si>
    <t>RPCIPE00: Cost planning, payroll simulation</t>
  </si>
  <si>
    <t>RPCIPE01CE: Personnel assignment status active/inactive</t>
  </si>
  <si>
    <t>Personal commitment not reduced by actual posting</t>
  </si>
  <si>
    <t>RPCIPE01/RPCIPE01CE: BAdI BADI_HRPP_SGTXT</t>
  </si>
  <si>
    <t>RPCIPE01/RPCIPE01CE: Process Workbench (PUST)</t>
  </si>
  <si>
    <t>RPCIPE01CE: Control record for payroll area is missing</t>
  </si>
  <si>
    <t>RPCIPE01: Dump TABLE_INVALID_INDEX</t>
  </si>
  <si>
    <t>View V_T52EL_TIME_NFM does not exist</t>
  </si>
  <si>
    <t>RPCIPE01CE: Personnel assignment status active/inactive 2</t>
  </si>
  <si>
    <t>RPCIP_DOCUMENT_ANALYSE</t>
  </si>
  <si>
    <t>RPCIPE00 / RPCIPE01 Incomplete error message displaying</t>
  </si>
  <si>
    <t>RPCIPE00: Dump when trying to create table PPDIT</t>
  </si>
  <si>
    <t>RPCIPE01: Authorization check for run creation</t>
  </si>
  <si>
    <t>RPCIPE01: Lock in table NRIV</t>
  </si>
  <si>
    <t>Account assignment type FE/E0 not evaluated in retro acctg</t>
  </si>
  <si>
    <t>RPCIPE01: Dump in method EXPORT_TASK_LOG</t>
  </si>
  <si>
    <t>RPCIPE01: Message not displayed in simulation posting run</t>
  </si>
  <si>
    <t>RPCIPE00: Negative Posting</t>
  </si>
  <si>
    <t>RPCIPE00: Posting balance in retroactive accounting chain 3</t>
  </si>
  <si>
    <t>RPCIPE01: Check of posted results</t>
  </si>
  <si>
    <t>RPCIPE01: Authorization check for display posting run</t>
  </si>
  <si>
    <t>H99_POST_PAYMENT: Not able to determine bank clearing accnt.</t>
  </si>
  <si>
    <t>RPCIPE01 / RPCIPE01CE: Short dump GETWA_NOT_ASSIGNED</t>
  </si>
  <si>
    <t>RPCIPQ00: Error for run type PM</t>
  </si>
  <si>
    <t>H99_POST_PAYMENT does not generate documents</t>
  </si>
  <si>
    <t>RPCIPE00 / RPCIPE01  Performance problems for many errors</t>
  </si>
  <si>
    <t>RPCIPE01: Display problem for auditing information PCPO</t>
  </si>
  <si>
    <t>Overflow of lock table in RPCIPE01</t>
  </si>
  <si>
    <t>H99_POST_PAYMENT generates more data records than expected</t>
  </si>
  <si>
    <t>Enhancing Object selection of Wage Type Reporter (H99CWTR0)</t>
  </si>
  <si>
    <t>CE Remuneration Statement shows zero ZRT values for Retro</t>
  </si>
  <si>
    <t>ESS Rem Statement not displayed when per. paramter changed</t>
  </si>
  <si>
    <t>RPCKTOx0: New country exit added for Payroll Account</t>
  </si>
  <si>
    <t>H99CWTR0: Error when retro period in different payroll area</t>
  </si>
  <si>
    <t>PY-XX-FO-EVL</t>
  </si>
  <si>
    <t>Evaluations Payroll</t>
  </si>
  <si>
    <t>Error in payroll infotype generation processing</t>
  </si>
  <si>
    <t>OT: Deselection of Subtypes for exporting</t>
  </si>
  <si>
    <t>OCWB - Incorrect reason in T52OCG after 'Replace payment'</t>
  </si>
  <si>
    <t>CE: Absence Payment - off-cycle fields not updated</t>
  </si>
  <si>
    <t>RPUOCB00 radiobutton parameters not in same group</t>
  </si>
  <si>
    <t>OC Replacement process does not update Posting</t>
  </si>
  <si>
    <t>Absence Payment not calculated via off-cycle workbench</t>
  </si>
  <si>
    <t>Special pymnt:Reductn in entitlement w/o damaging measure II</t>
  </si>
  <si>
    <t>LPEND:country-specific FULPEND_NATIO program</t>
  </si>
  <si>
    <t>PITAB: incorrect text in payroll log for table URT</t>
  </si>
  <si>
    <t>PRPRI process same WT with different V0 split randomly</t>
  </si>
  <si>
    <t>Documentation for payroll operation 'TABLE' is incomplete.</t>
  </si>
  <si>
    <t>Documentation for payroll operation 'OUTWP' is incomplete.</t>
  </si>
  <si>
    <t>Incomplete documentation for payroll operations</t>
  </si>
  <si>
    <t>DATES: when employee leaves on the first day of next period</t>
  </si>
  <si>
    <t>CE: Incorrect processing for deduction in function PRPRI</t>
  </si>
  <si>
    <t>Average function will process rule in random order</t>
  </si>
  <si>
    <t>PY-XX-RS: Improvement of Flush Functionality of Complex Tree</t>
  </si>
  <si>
    <t>Status Handler: missing view</t>
  </si>
  <si>
    <t>Payroll internal table P0262 with wrong data</t>
  </si>
  <si>
    <t>DAQ enhancement to call condition function module with date</t>
  </si>
  <si>
    <t>PDF via HR Form Output Framework: Country-specific Formats</t>
  </si>
  <si>
    <t>IT0007: Missing text label for field "Work schedule rule"</t>
  </si>
  <si>
    <t>P99B: P3213 review action items</t>
  </si>
  <si>
    <t>P99B: HR Attributes</t>
  </si>
  <si>
    <t>Dump in method CL_HR99S00_XML_DAQ-&gt;CONVERT_XML_TO_TEMSE</t>
  </si>
  <si>
    <t>RPULCP00: Comparison of objects (PFRM); RFC connection</t>
  </si>
  <si>
    <t>PEST_IMG: Process model always reset</t>
  </si>
  <si>
    <t>PEST: Activation of process model for PNPCE</t>
  </si>
  <si>
    <t>PUST: long run time for process model</t>
  </si>
  <si>
    <t>Process Model:T52STH update-performance improvement</t>
  </si>
  <si>
    <t>Process model for CE will run for incorrect selection PERNR</t>
  </si>
  <si>
    <t>Process model stay in status running if a step is canceled</t>
  </si>
  <si>
    <t>Unable to access payroll result after archiving</t>
  </si>
  <si>
    <t>OFO Codes linked with Positions - SOC code from V_T5W16</t>
  </si>
  <si>
    <t>IRP5 Validation 2010 / Foreign codes / leading Zeros - 4141</t>
  </si>
  <si>
    <t>Leading Zero's for SARS Codes 4101/4102/4115</t>
  </si>
  <si>
    <t>ALV output headers in two lines when exported to excel.</t>
  </si>
  <si>
    <t>XX-TRANSL-ZH</t>
  </si>
  <si>
    <t>Translation  ZH</t>
  </si>
  <si>
    <t>Correcting translation of 'No. children' in MP000200  2025</t>
  </si>
  <si>
    <t>SAPKE60424</t>
  </si>
  <si>
    <t>Environment, Health and Safety</t>
  </si>
  <si>
    <t>Industrial Hygiene and Safety</t>
  </si>
  <si>
    <t>Wrong defaulting of field Payment method (P0125-ZLSCH)</t>
  </si>
  <si>
    <t>Field Q0016-PRBEH shown 2 times on IT0016 for Belgium</t>
  </si>
  <si>
    <t>Infotype 0397: Changes in Child's Birth Registry Document</t>
  </si>
  <si>
    <t>PY-CL: Corrections in Garnishments Infotype (IT3235)</t>
  </si>
  <si>
    <t>Tax suspension for mid-month tax split</t>
  </si>
  <si>
    <t>Value of "Objective Group" and "Objective" is wrong</t>
  </si>
  <si>
    <t>Forecast salary costs not calculated if only HTT</t>
  </si>
  <si>
    <t>PA30:IT0142 Residence tax Popup Error When Creating Entry</t>
  </si>
  <si>
    <t>HJPUCP_DTFTM: Incorrect Calculation of Field Length</t>
  </si>
  <si>
    <t>HRUL4FSS: error ASSIGN_LENGTH_0</t>
  </si>
  <si>
    <t>V_T7RU9A: overview screen is incomplete</t>
  </si>
  <si>
    <t>HR-RU: issue with XML file output in Unicode system</t>
  </si>
  <si>
    <t>T-2: orders' dates in the PDF-form</t>
  </si>
  <si>
    <t>Wrong processing of SPPE1 parameter of V_T5F99K2 in reports</t>
  </si>
  <si>
    <t>PA-PA-US-EFR</t>
  </si>
  <si>
    <t>Effort Reporting</t>
  </si>
  <si>
    <t>Checkman: US Effort Reporting, NPO, SLM Localization</t>
  </si>
  <si>
    <t>Non-recurring payments: Incorrect column text in V_T5CD2</t>
  </si>
  <si>
    <t>RBM: MI01 in "Confirmed" status, even if tax no. is imported</t>
  </si>
  <si>
    <t>Pension equalization payment: Corrections/Enhancements 6</t>
  </si>
  <si>
    <t>RBM: Corrections/enhancements MZ01 (7/2010)</t>
  </si>
  <si>
    <t>Pension rcpt notif: Determination of arrears payment amount</t>
  </si>
  <si>
    <t>Pension Fund: General Parts</t>
  </si>
  <si>
    <t>Billing address not found for external attendees</t>
  </si>
  <si>
    <t>PEP: Structural authorization error in temporary assignment</t>
  </si>
  <si>
    <t>SICOSS V33.0 - Customizable Fields</t>
  </si>
  <si>
    <t>Libro Ley with fired/rehired employees</t>
  </si>
  <si>
    <t>SIJP leave remuneration miscalculation due to rounding error</t>
  </si>
  <si>
    <t>HR-AR: short dump SAPSQL_ARRAY_INSERT_DUPREC on HARCDTA0</t>
  </si>
  <si>
    <t>Maternity remun. in SICOSS with splitted valuation base</t>
  </si>
  <si>
    <t>Wrong generation of wage type /FZ3</t>
  </si>
  <si>
    <t>Settlement of monetary benefits - release 6.04</t>
  </si>
  <si>
    <t>ELDA-Meldung VM: bei leerem Titel wird '*' übermittelt</t>
  </si>
  <si>
    <t>PCALZ: AG Steuernummer von der falschen Dienstgeberzuordnung</t>
  </si>
  <si>
    <t>Pendlerpauschale: Untermonatiger Austritt</t>
  </si>
  <si>
    <t>Umschlüsseln Lohnart "Umsatzsteuer für Freie Dienstnehmer"</t>
  </si>
  <si>
    <t>Rückrechnung Vorjahre und Vorteile aus dem DV wegen Darlehen</t>
  </si>
  <si>
    <t>Payment Summaries 2010 - negative amts/no payments made</t>
  </si>
  <si>
    <t>Payment summary : Batch input session created with an error.</t>
  </si>
  <si>
    <t>Payment summary listing : Lump sum E report not displayed.</t>
  </si>
  <si>
    <t>PY-AU Legal Changes for Superannuation 2010/11</t>
  </si>
  <si>
    <t>ETP payment summary form is not generated.</t>
  </si>
  <si>
    <t>Wagetype RSAS rewtritten into Arrears with a different Waget</t>
  </si>
  <si>
    <t>ATO Report: Corrections done for long runtime</t>
  </si>
  <si>
    <t>Death Benefit not reported on ETP summary</t>
  </si>
  <si>
    <t>Incorrect processing of rule QIOR in sub-schema QSRV.</t>
  </si>
  <si>
    <t>Incorrect Tax calculation when 'Payroll Area' field is blank</t>
  </si>
  <si>
    <t>Transitional ETP Form HR_ETP_AU_P09 corrections</t>
  </si>
  <si>
    <t>Listing report:Correction for Union fee &amp; WKP Giving reports</t>
  </si>
  <si>
    <t>IT0014/IT0015 : Generation of RESC/RSAS before fin.year 2009</t>
  </si>
  <si>
    <t>DIMONA: NEW version 2010 - 1st batch of extensions</t>
  </si>
  <si>
    <t>DmfA/PPL: Indiv. Prof. Education EEs not excluded from DmfA</t>
  </si>
  <si>
    <t>BSV00 /30E &amp; /30D: T5F99FX not considered for the rem. codes</t>
  </si>
  <si>
    <t>BELCOTAX: Errors with 'selected update' declaration type</t>
  </si>
  <si>
    <t>BELCOTAX: RPCBWPB0 - Print parameters not in background mode</t>
  </si>
  <si>
    <t>DmfA/PPL:Single leave holiday pay in limitation contr. basis</t>
  </si>
  <si>
    <t>Missing translation for Social Balance</t>
  </si>
  <si>
    <t>HBRRAIS0 - Company changes during the year</t>
  </si>
  <si>
    <t>SEFIP: Absence code (Q2) is not being correctly generated</t>
  </si>
  <si>
    <t>HR-BR: Christmas Allowance Provision after termination</t>
  </si>
  <si>
    <t>TAX : Dump may be obtained with RPCALCK0 in retros</t>
  </si>
  <si>
    <t>TAX: Tax update effective July 1, 2010</t>
  </si>
  <si>
    <t>HST : New combined tax effective July 1, 2010</t>
  </si>
  <si>
    <t>TAX : Inflow/outflow processing for Mid-year 2010</t>
  </si>
  <si>
    <t>WCB : Incorrect premiums in case of cross year retro</t>
  </si>
  <si>
    <t>T4 Box 24 Error during report output display</t>
  </si>
  <si>
    <t>ISEL: Arrears payments in inactive periods</t>
  </si>
  <si>
    <t>Correction to report documentation RPLSTMC0</t>
  </si>
  <si>
    <t>Correcting wage types documentation</t>
  </si>
  <si>
    <t>PY-CL: Payroll Chile - Garnishment Currency Conversion</t>
  </si>
  <si>
    <t>PY-CL: Rut ID in Bank Transfers for Garnishments</t>
  </si>
  <si>
    <t>PC_PAYRESULT: Table PCALAC Not Displayed With Molga 28</t>
  </si>
  <si>
    <t>Incorrect Gross Income in Annual Tax Declaration Report</t>
  </si>
  <si>
    <t>Inconsistency between PHF and SI Report for Rehired Employee</t>
  </si>
  <si>
    <t>ELENA: Current improvement, communication and B2A Manager</t>
  </si>
  <si>
    <t>SI: Accessibility in report RPUSVMD0</t>
  </si>
  <si>
    <t>DEUEV statment: Name of spool request</t>
  </si>
  <si>
    <t>DEUEV: Obsolete EDI reports</t>
  </si>
  <si>
    <t>ELENA: Termintn notifctns subsqnt activities for synchron SP</t>
  </si>
  <si>
    <t>Enhancements in infotype 700 and activation</t>
  </si>
  <si>
    <t>ELENA: Dummy grss amnt w/ val cr cnvrsn from one-time paymnt</t>
  </si>
  <si>
    <t>ELENA: Error in assignment of inbound notifications</t>
  </si>
  <si>
    <t>ELENA: No reversal when DBNA or DBAN is changed</t>
  </si>
  <si>
    <t>Garnishment exemption CFS with Berlin special rule</t>
  </si>
  <si>
    <t>Garn.exemption of compul.contr. and compul.contr.amts for SP</t>
  </si>
  <si>
    <t>SI reporting: Corrections to administrator lists (2)</t>
  </si>
  <si>
    <t>Processing neg value credit levels 2009 for accident ins</t>
  </si>
  <si>
    <t>Revision of report for determining flat-rate tax rate</t>
  </si>
  <si>
    <t>Employment tax statement: Corrections 07 2010</t>
  </si>
  <si>
    <t>Report transactions for RPUTXED0 and RPUTXCD0 are missing</t>
  </si>
  <si>
    <t>ZfA: Application server option in OUTBOUND</t>
  </si>
  <si>
    <t>Col. Agreement PS: Flat-rate one-time payment in July 2010 2</t>
  </si>
  <si>
    <t>Simultaneous higher level and higher grouping</t>
  </si>
  <si>
    <t>Public Services regulatn, state of Bavaria: Phase 1, part 1</t>
  </si>
  <si>
    <t>Incorrect ER contributions for CFS during sick pay suppl.</t>
  </si>
  <si>
    <t>ZfA: Termination in RPCZFAD0_INBOUND during XML parsing</t>
  </si>
  <si>
    <t>ZfA: Transferring bonus numbers for new hires</t>
  </si>
  <si>
    <t>Step increase with "Start/Lvl" field cannot be processed</t>
  </si>
  <si>
    <t>DNeuG: Reclassif. on first day in case of mid-month entry</t>
  </si>
  <si>
    <t>Incorrect entries in "Next inc." in infotype 0008(basic pay)</t>
  </si>
  <si>
    <t>Pension equalization payment 2010</t>
  </si>
  <si>
    <t>Search help for pay scale group in infotype 0785</t>
  </si>
  <si>
    <t>Eighth adjustment according to section 69e BeamtVG II</t>
  </si>
  <si>
    <t>Infotype records cannot be read in BAdI for quotation</t>
  </si>
  <si>
    <t>DNeuG: Error in notif for upper limit, sect 53, para 2, no 3</t>
  </si>
  <si>
    <t>Pension equalization: retro acctng in closed fiscal year (4)</t>
  </si>
  <si>
    <t>SP reporting: RPUZVCD2 and RPUZVTD2, remove physical path</t>
  </si>
  <si>
    <t>VBL: /2RR required, even though no retroactive change</t>
  </si>
  <si>
    <t>Incorrect tax in case of notional net calculation III</t>
  </si>
  <si>
    <t>Termination of data record creation</t>
  </si>
  <si>
    <t>Corrections to statements 07/2010</t>
  </si>
  <si>
    <t>ERE: Contribution calculation with rounding problems.</t>
  </si>
  <si>
    <t>TC: One cent. difference between TC EDTCA50 and payroll</t>
  </si>
  <si>
    <t>Bonification: Limiting two bonifications</t>
  </si>
  <si>
    <t>Artists: Error in payroll with splits</t>
  </si>
  <si>
    <t>Bonifications: Fixed bonification being calculated twice</t>
  </si>
  <si>
    <t>TC: Incorrect values in parallel executions</t>
  </si>
  <si>
    <t>Minimum Contrib. ATEP not being calculated properly for VNDs</t>
  </si>
  <si>
    <t>Corr.: Incorrect contribution bases for part-time employees</t>
  </si>
  <si>
    <t>Artists: BA06 segment is not being generated for VND</t>
  </si>
  <si>
    <t>TC: Missing "I" indicator in previous contract type field</t>
  </si>
  <si>
    <t>Certific@2: Activation Note</t>
  </si>
  <si>
    <t>TC: Absences with direct payment and fixed bonifications</t>
  </si>
  <si>
    <t>LOPD: RPULORE0 does not run with no date filtering</t>
  </si>
  <si>
    <t>BA00 is not being generated for multiple temse files</t>
  </si>
  <si>
    <t>Problems on performing the syntax check for RPC190E0 report</t>
  </si>
  <si>
    <t>ERE: Bonification ERE not finishing after 240 ERE days</t>
  </si>
  <si>
    <t>Corr.: Indicator T is not being added to non ordinary temse</t>
  </si>
  <si>
    <t>Massive IRPF Generation EHp6</t>
  </si>
  <si>
    <t>HFINISA0 report has some errors</t>
  </si>
  <si>
    <t>HFILOTR0 gives error on Evaluation period selection with F4</t>
  </si>
  <si>
    <t>HFISTBC0 Incorrect values in field TSALKPVM and TSLOPPVM</t>
  </si>
  <si>
    <t>HFILTAX0 Incorrect Personal ID field reported.</t>
  </si>
  <si>
    <t>FNABS: Sickness absences compensation entitlement</t>
  </si>
  <si>
    <t>FCRE: documentation update Volet social 2005, forfait social</t>
  </si>
  <si>
    <t>DUCS EDI IRC: Incorrect value in COT 95 / Qualifiers</t>
  </si>
  <si>
    <t>RPLDH3F0: Wrong prorata for field "effectif d'assujettisseme</t>
  </si>
  <si>
    <t>FNABS: Sickness absences compensation entitlement (renewal)</t>
  </si>
  <si>
    <t>V_5F1P_B: non existing MOTDS accepted</t>
  </si>
  <si>
    <t>DUCS EDI: ASSEDIC decl. type 921 and more</t>
  </si>
  <si>
    <t>RPLDATF2: Checkboxes accident "constaté"/"connu" are empty</t>
  </si>
  <si>
    <t>Documentation Correction: P06_REGUL in T5F1C4</t>
  </si>
  <si>
    <t>Documentation of report RPLEPHF0</t>
  </si>
  <si>
    <t>GBSXP: ME OXP offsetting and SXP across EOY</t>
  </si>
  <si>
    <t>Incorrect retirement age check for women employees on IT0069</t>
  </si>
  <si>
    <t>GLTXC feature enhancement and tax calculation changes</t>
  </si>
  <si>
    <t>SWF ME Aggregations for Absences</t>
  </si>
  <si>
    <t>Report RPUUSSG1 excludes indirectly valuated wagetype</t>
  </si>
  <si>
    <t>Incorrect NINO prefix validation in Teacher's Pension Report</t>
  </si>
  <si>
    <t>RPCPENCONG0 report dumps with TSV_TNEW_PAGE_ALLOC error</t>
  </si>
  <si>
    <t>IR56F/G Issue with Back Payment</t>
  </si>
  <si>
    <t>WT /700 Does Not Include ER MPF Contributions With Rule HK6S</t>
  </si>
  <si>
    <t>IR56F Format Update 2010</t>
  </si>
  <si>
    <t>Incorrect Retro for WT/167 with Payroll Schema HK10</t>
  </si>
  <si>
    <t>Incorrect proj. factor for expat. when change in Tax Office</t>
  </si>
  <si>
    <t>Incorrect display of JAMSOSTEK contribution in Form 2 &amp; 2A</t>
  </si>
  <si>
    <t>PY-IE:Correction to the notes 1406597 and 1377240</t>
  </si>
  <si>
    <t>PY-IE:IEPNS error when pay frequency changes for future date</t>
  </si>
  <si>
    <t>PY-IE : Overdeduction of PRSI due to /303 in retro scenario</t>
  </si>
  <si>
    <t>HINCALCO:Aggr. Section80C deductions generated inconsistntly</t>
  </si>
  <si>
    <t>Claims disbursment : Incorrect updation of T7INAE</t>
  </si>
  <si>
    <t>Form 16-Inconsistent acknowledgement no if COCD transfer</t>
  </si>
  <si>
    <t>Restoring payroll behavior after applying SAP Note 1452218</t>
  </si>
  <si>
    <t>Excess Ptax ded in MP state if emp leaving in a future month</t>
  </si>
  <si>
    <t>Budget 2010: New investment category: Section 80CCF</t>
  </si>
  <si>
    <t>Ptax not calculated for Tamil Nadu Panchayats</t>
  </si>
  <si>
    <t>Form 24Q and Form 16 grid displayed inconsistent</t>
  </si>
  <si>
    <t>HR-IT: PY function ITCIG error CIG authorization types 3 &amp; 5</t>
  </si>
  <si>
    <t>HR-IT: ANF values 2010</t>
  </si>
  <si>
    <t>HR-IT: Correction of payroll rule ITT4</t>
  </si>
  <si>
    <t>EhP4: Service Years doubled in Retirement Allowance Calc.</t>
  </si>
  <si>
    <t>RPCEADJ0: Employee Without Y.E.A. is Output</t>
  </si>
  <si>
    <t>KRTAX: Wrong Service Period Calculated for Special Case</t>
  </si>
  <si>
    <t>HKRCPTX0: Load Branches Based on Company Code</t>
  </si>
  <si>
    <t>Korea YEA 2010 Mid-Year Legal Change - Phase I</t>
  </si>
  <si>
    <t>KRSEP:Wrong Average Payment When Run Bonus by Regular Payrol</t>
  </si>
  <si>
    <t>Allow HMXCINF0 period selection by more than one month</t>
  </si>
  <si>
    <t>HR-MX: Infotype 0561 not considering time constraint</t>
  </si>
  <si>
    <t>HR:MX: SDI entries missing after note 1407277.</t>
  </si>
  <si>
    <t>Concurrent Employment - Payroll Mexico</t>
  </si>
  <si>
    <t>HR-MX: HMXCSARPBS extemporary entries with cents difference</t>
  </si>
  <si>
    <t>CP22A form Sec B item 5 - Incorrect joining date</t>
  </si>
  <si>
    <t>GRSUP with Unpaid Leave, Life-Course Withdrawal, Net Bonus</t>
  </si>
  <si>
    <t>Empl. Annual Empl.Tax Statement: PDF differs from SAPScript</t>
  </si>
  <si>
    <t>New Calculation of Annual Salary for Wage Tax Special Pay</t>
  </si>
  <si>
    <t>RPCALCN0: Incorrect Franchise for Social Insurance Laws</t>
  </si>
  <si>
    <t>New statutory minimum wages as of July 1st, 2010</t>
  </si>
  <si>
    <t>30% Rule: Wrong Free Allowance if very small Special Payment</t>
  </si>
  <si>
    <t>RPCALCN0: Dump in function NLATE (Add. Terms of Employment)</t>
  </si>
  <si>
    <t>GRSUP with Unpaid Leave, LC-Withdrawal, Net Bonus (2nd part)</t>
  </si>
  <si>
    <t>Norway ATS Reporting: Correction to few errors</t>
  </si>
  <si>
    <t>AA Register - Corrections to few errors</t>
  </si>
  <si>
    <t>Missing Holiday Allowance calculation in case of termination</t>
  </si>
  <si>
    <t>Incorrect Tax calculation with Municipality 2435</t>
  </si>
  <si>
    <t>Incorrect Currency displayed in Payroll Log for table BT</t>
  </si>
  <si>
    <t>Offcycle bonus - tax calculation incorrect</t>
  </si>
  <si>
    <t>Feature 43RDP is not passed the correct information</t>
  </si>
  <si>
    <t>Rate on termination report incorrect in multidecimal curr</t>
  </si>
  <si>
    <t>PY-NZ: Long service leave entitlement incorrect</t>
  </si>
  <si>
    <t>Adjustment of Checkman errors (PT) (don't release it)</t>
  </si>
  <si>
    <t>RPCAIDP0,RPCIIDP0: Missing report of /111 wage type payments</t>
  </si>
  <si>
    <t>RPCFEEP0: wrong amount reported for IT0057</t>
  </si>
  <si>
    <t>Tax tables may have validity date beginning during the year</t>
  </si>
  <si>
    <t>RPCOVRP0: Title and column names correction</t>
  </si>
  <si>
    <t>Single Report: nomination fields of attachment 0</t>
  </si>
  <si>
    <t>Single Report general corrections version 2</t>
  </si>
  <si>
    <t>HR-PT-PS: Family Allowances with wrong values</t>
  </si>
  <si>
    <t>HR-PT-PS: Legal change for CGA Magnetic File-version 2.1/2.2</t>
  </si>
  <si>
    <t>HR-PT-PS: wrong error message for Receipt Date in IT0896</t>
  </si>
  <si>
    <t>Transporting issue in table view V_T5PPBS9L</t>
  </si>
  <si>
    <t>HR-RU: wrong T7RU9A in in 4-FSS and RSV1 after note 1424969</t>
  </si>
  <si>
    <t>HR-RU: Calculation of SI bases for IN-period</t>
  </si>
  <si>
    <t>HR-RU: rule RUQ1 doesn't generate /405 for negative base</t>
  </si>
  <si>
    <t>HR-RU: 4FSS - several issues in output XML file</t>
  </si>
  <si>
    <t>HR-RU P-4: text correction in Part 2, line 17</t>
  </si>
  <si>
    <t>HR-RU: inconsistent in rule RUO8 and processing class 75</t>
  </si>
  <si>
    <t>HR-RU: Wrong kops comes from previous year</t>
  </si>
  <si>
    <t>Sweden - Garnishment handling for employees</t>
  </si>
  <si>
    <t>RPSADTS0 report gives an error when trying to print PDF form</t>
  </si>
  <si>
    <t>Terminated Employee with SOSCO contr. is not appearing</t>
  </si>
  <si>
    <t>NHI Premium calculation is updated on 09.04.2010</t>
  </si>
  <si>
    <t>TAX: Arizona Resident Tax Withholding Percentage</t>
  </si>
  <si>
    <t>CONS: TAX: Arizona Resident Tax Withholding Percentage</t>
  </si>
  <si>
    <t>REC: Short dump during Reconciliation Report processing.</t>
  </si>
  <si>
    <t>REC: Recon.Rep. with TaxAuthority filter: not all results</t>
  </si>
  <si>
    <t>REC: Incorrect results for custom wagetypes with tax split.</t>
  </si>
  <si>
    <t>Employee Address Missing on W-2 Form in CE Environment</t>
  </si>
  <si>
    <t>S_Develop Authorization</t>
  </si>
  <si>
    <t>HIRE Act: New Form 941 effective second quarter 2010</t>
  </si>
  <si>
    <t>Q2/2010: Functional changes for U.S. Tax Reporter.</t>
  </si>
  <si>
    <t>TAX: Adjustment not taken into account for withholding.</t>
  </si>
  <si>
    <t>TAX: Net payments not taken into account as available gross.</t>
  </si>
  <si>
    <t>TAX: Tax tables missing in input for EXPRT function.</t>
  </si>
  <si>
    <t>HR_PAL_LOG_AND_ALV_DISPLAY background job termination</t>
  </si>
  <si>
    <t>Status Handler: Error when using document type to read hist.</t>
  </si>
  <si>
    <t>Pioneer: Taxreference number change</t>
  </si>
  <si>
    <t>COID Report: Not picking COID threshold</t>
  </si>
  <si>
    <t>IRP5: Key date related enhancement for reading Infotype 0009</t>
  </si>
  <si>
    <t>IRP5 Report - Performance Issue</t>
  </si>
  <si>
    <t>Feature WWSCH set to Y: Occ. Categore OCCAT from T5W15</t>
  </si>
  <si>
    <t>SARS Code 3136 - Validation for Pensioners</t>
  </si>
  <si>
    <t>Announcement 2011: IRP5 Mid Year submission</t>
  </si>
  <si>
    <t>KEY Date field added on COID report (RPCOIDW0)</t>
  </si>
  <si>
    <t>Reprint of IRP5 certificates - RPCTCEW0 (Form WTX3)</t>
  </si>
  <si>
    <t>SAPKE60425</t>
  </si>
  <si>
    <t>IDM: Performance improvement</t>
  </si>
  <si>
    <t>HR LDAP extraction: Termination in backgr (due to error msg)</t>
  </si>
  <si>
    <t>HR LDAP data extraction: Delta handling</t>
  </si>
  <si>
    <t>BI-HR Structural Authorization</t>
  </si>
  <si>
    <t>Extractor 0HR_PY_1: Warning messages instead of error mess.</t>
  </si>
  <si>
    <t>Payroll extractor 0HR_PY_1_CE: In-periods incorrect</t>
  </si>
  <si>
    <t>Extractor 0HR_PY_PP_1 without organizational assignments</t>
  </si>
  <si>
    <t>ESS: Historical values for cost objects missing in F4 help</t>
  </si>
  <si>
    <t>FI-TV-PL</t>
  </si>
  <si>
    <t>Travel Planning</t>
  </si>
  <si>
    <t>Documentation for TA20SWITCH</t>
  </si>
  <si>
    <t>InfoSet query: Incorrect display when date changes III</t>
  </si>
  <si>
    <t>Probleme bei der Berechnung des Darlehenszinsvorteils</t>
  </si>
  <si>
    <t>Arbeitsbescheinigung: Grund für Nichtzahlung bei Kündig.</t>
  </si>
  <si>
    <t>Bescheinigungswesen ATZ: Problem mit Beitragsgruppenwechsel</t>
  </si>
  <si>
    <t>IT0367: Verprobung Abmeldegrund und Beschäftigungsende</t>
  </si>
  <si>
    <t>Korrektur am IT0042, Kinder am Lohnkonto</t>
  </si>
  <si>
    <t>Display of fields 'First payment age' &amp; 'Number of months'</t>
  </si>
  <si>
    <t>Maternity pay: New old-age &amp; survivors' ins. number is added</t>
  </si>
  <si>
    <t>Infotype 0016: Set Default Value for EE/ER Notice Periods</t>
  </si>
  <si>
    <t>Destroying absences for data privacy protection reasons</t>
  </si>
  <si>
    <t>Period calculation: Termination in COUNT_DAYS_OF_DEP_ILLNESS</t>
  </si>
  <si>
    <t>Sick pay supplement, public sector (special case)</t>
  </si>
  <si>
    <t>Table T77TNM_IFPROPS - Upgrade discrepancies</t>
  </si>
  <si>
    <t>BUDGET: an amount can be saved without a cost category</t>
  </si>
  <si>
    <t>The Total Amount does not appear in the SNAPSHOT report</t>
  </si>
  <si>
    <t>Invoice: there is no defaul values for CURRENCY field</t>
  </si>
  <si>
    <t>Free Search Help does not work properly</t>
  </si>
  <si>
    <t>Form 16 on ESS not displayed when configured as PDF</t>
  </si>
  <si>
    <t>RPCRTSJ0:Telephone No Incorrectly Display for Tax Modifier</t>
  </si>
  <si>
    <t>RPLDQLJ1:SAPScript Printing Form Not Output</t>
  </si>
  <si>
    <t>EHP5: RPCEADJ0: Logic Form Name Could Not Change</t>
  </si>
  <si>
    <t>RPCEWGJ1:Org. Information Display Incorrectly</t>
  </si>
  <si>
    <t>Rate Display Incorrectly in Point Calculation Factor Table</t>
  </si>
  <si>
    <t>Correct Modification Group for Screen Control of IT0006</t>
  </si>
  <si>
    <t>Enhancement on Non-taxable Overseas Income</t>
  </si>
  <si>
    <t>Reference Personnel Number: Infotype 0021 not copied</t>
  </si>
  <si>
    <t>Revised Documentation for Payment Reduction (0303) Infotype</t>
  </si>
  <si>
    <t>FlexBenNL:Limits of Abs.Plans adjusted with Part-Time Factor</t>
  </si>
  <si>
    <t>Poortwachter: New Check in Poortwachter Monitor</t>
  </si>
  <si>
    <t>RPTZKMN2: Partial Recovery Notification created on every run</t>
  </si>
  <si>
    <t>Infotype 3210: Description is missing</t>
  </si>
  <si>
    <t>Infotypes 0897, 3200 and 3210: Changes to Screen Structures</t>
  </si>
  <si>
    <t>HR-RU: Form T-3 and checkbox 'Group Established Posts'</t>
  </si>
  <si>
    <t>New XML forms: SZV-6-1, SZV-6-2, ADV-6-2, ADV-6-3 and SPV-1</t>
  </si>
  <si>
    <t>Wrong Search Help for field TSPID in table T7RUPFRULE3</t>
  </si>
  <si>
    <t>HRULPFP5: inadmissible tag in the SZV-6-x XML-files</t>
  </si>
  <si>
    <t>HRULADV62: rounding to roubles</t>
  </si>
  <si>
    <t>HR-RU: XML file generation issue within transliteration step</t>
  </si>
  <si>
    <t>Adobe forms SZV-6-1, SZV-6-2, ADV-6-3</t>
  </si>
  <si>
    <t>HR-RU: short dump during XML file generation</t>
  </si>
  <si>
    <t>Corrections of the SZV-6-1, SZV-6-2, ADV-6-2 XML-packages</t>
  </si>
  <si>
    <t>HRULT530: insufficient length of fields RPOD and RPDB</t>
  </si>
  <si>
    <t>SZV-6-1, ADV-6-3 Adobe forms issues</t>
  </si>
  <si>
    <t>Totals are displayed incompletely in the SZV-6-2 form</t>
  </si>
  <si>
    <t>IT 0210: Value help and UI-class for field Formula</t>
  </si>
  <si>
    <t>FMLA: PTFMLA_DYNP cannot be enhanced by means of include.</t>
  </si>
  <si>
    <t>Background processing of CPS statements</t>
  </si>
  <si>
    <t>Pension equalization payment: Corrections/enhancements 7</t>
  </si>
  <si>
    <t>CPS: Minor corrections (01/2010)</t>
  </si>
  <si>
    <t>PRN: ZE99 tracking ID is not imported</t>
  </si>
  <si>
    <t>Checkman Corrections</t>
  </si>
  <si>
    <t>Runtime error when viewing credit memo document details</t>
  </si>
  <si>
    <t>Unable to create long course schedule with out days off</t>
  </si>
  <si>
    <t>Unable to reserve instructor during time off</t>
  </si>
  <si>
    <t>PP61 Long-term temporary assignments: Save when choosing F3</t>
  </si>
  <si>
    <t>Ad hoc update loses starting value</t>
  </si>
  <si>
    <t>Incorrect vacation provision for inferior vacation amount</t>
  </si>
  <si>
    <t>SICOSS V33.0 - Inform worked days for hourly employees</t>
  </si>
  <si>
    <t>HR-AR: HARCIMPF &amp; HARCF649 missing tax payments</t>
  </si>
  <si>
    <t>Variable Remun. for Vacation with Absence Split</t>
  </si>
  <si>
    <t>Libro Ley subtotal for personnel subarea with company change</t>
  </si>
  <si>
    <t>Wrong quantity of worked days when using technical entry</t>
  </si>
  <si>
    <t>Funcion delimit in V_T7AR94</t>
  </si>
  <si>
    <t>RG 2866/2010 - Income Tax</t>
  </si>
  <si>
    <t>SICOSS V34</t>
  </si>
  <si>
    <t>RPTSWAA0: Unterbrechung der Versicherungspflicht (Zeitraum)</t>
  </si>
  <si>
    <t>PCALZ: Stornosatz mit der alten AG-Steuernummer</t>
  </si>
  <si>
    <t>Checkmanfehler in RPCKTOA0</t>
  </si>
  <si>
    <t>UBahnsteuer Wien: Problem Austritt befreiter DN untermonatig</t>
  </si>
  <si>
    <t>Unicode: Umsetzung NCALE und ABP im Cluster PC bzw. RA</t>
  </si>
  <si>
    <t>Unicode: Inkonsistente Felder in NCALE</t>
  </si>
  <si>
    <t>RRVJ:Die Kosten des Arbeitgebers /700 falsch wegen BMV</t>
  </si>
  <si>
    <t>Bescheinigungswesen: Fehler AMS Lohnbescheinigung</t>
  </si>
  <si>
    <t>Pfändung: Falsche Massenermittlung bei Rückrechnung Vorjahre</t>
  </si>
  <si>
    <t>Nachlieferung</t>
  </si>
  <si>
    <t>PCALZ: UVBG ist falsch initialisiert bei Lohnzettel SV BVA</t>
  </si>
  <si>
    <t>PCALZ: Pensionsbeiträge für Beamten nicht in LZ SV BVA</t>
  </si>
  <si>
    <t>Kinder am Lohnkonto (IT0042 und Programm rpcktoa0)</t>
  </si>
  <si>
    <t>Corrections provided for LSL provision listing.</t>
  </si>
  <si>
    <t>Retro on retro: Avg taxable gross is calculated incorrectly.</t>
  </si>
  <si>
    <t>Tax calculated using method B is incorrect.</t>
  </si>
  <si>
    <t>PIA - Results in payment period are incorrect.</t>
  </si>
  <si>
    <t>QSUEA - OTE and WSE written with incorrect wagetypes in DT</t>
  </si>
  <si>
    <t>Payment summary: Override changes</t>
  </si>
  <si>
    <t>Total for PERNR field as '00000000' in PC00_M13_SUPR</t>
  </si>
  <si>
    <t>Enhancement : Additional fields to infotype 626 records.</t>
  </si>
  <si>
    <t>Incorrect surname on PS for employee whose name changed</t>
  </si>
  <si>
    <t>RESC &amp; Forex are considered as ETP payments(ETP date chngd)</t>
  </si>
  <si>
    <t>rpuresq0</t>
  </si>
  <si>
    <t>Subroutines added to improve report performance</t>
  </si>
  <si>
    <t>Incorrect header for Payment Summary before FY 2010.</t>
  </si>
  <si>
    <t>Negative payments in ATO report</t>
  </si>
  <si>
    <t>Emp's terminated in prvs yrs are reported as errors</t>
  </si>
  <si>
    <t>Payroll simulation in termination organiser fails.</t>
  </si>
  <si>
    <t>Incorrect truncated totals in PS and PS Listing report</t>
  </si>
  <si>
    <t>PS reconcil'n report - amd and LSA type column size too wide</t>
  </si>
  <si>
    <t>CE switch activation for transactions</t>
  </si>
  <si>
    <t>Paging issue on Payment Details tab:Termination workbench</t>
  </si>
  <si>
    <t>Incorrect base annual salary is reported in PIF</t>
  </si>
  <si>
    <t>BFIRE: Incorrect splits in table FIRE</t>
  </si>
  <si>
    <t>Legal Changes for DmfA, Quarter 2 2010</t>
  </si>
  <si>
    <t>DIMONA: NEW version 2010 - 2nd batch of extensions</t>
  </si>
  <si>
    <t>Fixed Cost Bonus not calculated correctly</t>
  </si>
  <si>
    <t>Calculation basis /453 for Flemish Tax Reduction</t>
  </si>
  <si>
    <t>DmfA Update: Employee not found in PID due to changed INSS</t>
  </si>
  <si>
    <t>ACTIVA unemployment allowances - Remunerated Activa hours</t>
  </si>
  <si>
    <t>BALLW: No Activa granted in the first month when rehiring</t>
  </si>
  <si>
    <t>Restructuring reduction: New maximum reference salary values</t>
  </si>
  <si>
    <t>DeCava: Various system corrections and docu. enhancements</t>
  </si>
  <si>
    <t>Infotype Indemnity Payment (3271) - Creation via PA30</t>
  </si>
  <si>
    <t>PY-BE-PS</t>
  </si>
  <si>
    <t>Customer default values for infotype 0016 overwritten</t>
  </si>
  <si>
    <t>DmfAPPL: New worker code 722 created as of 01.01.2010</t>
  </si>
  <si>
    <t>Employer tax subsidy not calculated</t>
  </si>
  <si>
    <t>Portaria No. 1510 - Electronic time clock record</t>
  </si>
  <si>
    <t>PDF for Canada TFR ESS</t>
  </si>
  <si>
    <t>PY-CA-CE</t>
  </si>
  <si>
    <t>Concurrent Employment - Payroll Canada</t>
  </si>
  <si>
    <t>Easy Access menu: Country switch to access CA CE programs</t>
  </si>
  <si>
    <t>No selection text for technical field P_NOSIMU in RPURMPK0</t>
  </si>
  <si>
    <t>Duplicata Modifie does not show for French Forms</t>
  </si>
  <si>
    <t>Adjustment of Checkman errors (CL) (don't release it)</t>
  </si>
  <si>
    <t>Checkman-Errors (DO NOT RELEASE NOTE TO CUSTOMER)</t>
  </si>
  <si>
    <t>SI: Improvements + corr for data exch. with health ins funds</t>
  </si>
  <si>
    <t>ELENA: Improvements and corrections inbound processing</t>
  </si>
  <si>
    <t>SI: Improvements and corrections in inbox processing</t>
  </si>
  <si>
    <t>DEUEV statemnt: Recogntn of accident insrnce special condtns</t>
  </si>
  <si>
    <t>German Data Entry Regulation (UVMG): Corrections VI</t>
  </si>
  <si>
    <t>DEUEV statement: Obsolete form control II</t>
  </si>
  <si>
    <t>ELENA: New version 1.3 of general principles</t>
  </si>
  <si>
    <t>ELENA: Employee group 000 for public sector employees</t>
  </si>
  <si>
    <t>ELENA: Incorrect DBSB for challenged persons</t>
  </si>
  <si>
    <t>ELENA: Free text fields in DBKE have to be empty</t>
  </si>
  <si>
    <t>ELENA: Fehler bei der automatischen Meldungsaufrollung</t>
  </si>
  <si>
    <t>ELENA: Error during the automatic recalculation</t>
  </si>
  <si>
    <t>ELENA: Enhancements IT 0700</t>
  </si>
  <si>
    <t>ELENA: neues Format der Rückmeldedatei</t>
  </si>
  <si>
    <t>ELENA: "Not Notif. Relevant" indicator in IT 0700</t>
  </si>
  <si>
    <t>ELENA: Infotype 0700, subtype DBKE, here: Required fields</t>
  </si>
  <si>
    <t>ELENA: Incorrect creation date in notification</t>
  </si>
  <si>
    <t>ELENA: Corrections for the error checks for DBKE</t>
  </si>
  <si>
    <t>ELENA: Company number of health insurance fund not checked</t>
  </si>
  <si>
    <t>ELENA: Incorrect error message for DBSE</t>
  </si>
  <si>
    <t>ELENA: Incorr notification w/ reason 54 for company pensionr</t>
  </si>
  <si>
    <t>ELENA: Errors when determining the submission reason</t>
  </si>
  <si>
    <t>PY-DE-GR</t>
  </si>
  <si>
    <t>Calc for suppl to maternity pay and reduced hours compensatn</t>
  </si>
  <si>
    <t>Garnishment principle of origin: New claim entry</t>
  </si>
  <si>
    <t>RPCPL2D0: Error when printing the overview again</t>
  </si>
  <si>
    <t>Garn., principle of origin - short dump in gross overpayment</t>
  </si>
  <si>
    <t>RPCPL2D0: Termination due to incorrect delivery</t>
  </si>
  <si>
    <t>PPO reporting: Including the known inactive PPO</t>
  </si>
  <si>
    <t>Prsns voluntarily insurd: Amount of max allowance during RHC</t>
  </si>
  <si>
    <t>Problem when converting health ins funds to SEPA cr transfer</t>
  </si>
  <si>
    <t>SI reporting: Correction for locking of T5D4U</t>
  </si>
  <si>
    <t>PPO contribution survey: Suppressing zero notifications</t>
  </si>
  <si>
    <t>RPUBGDD0 - Special characters are displayed incorrectly (II)</t>
  </si>
  <si>
    <t>Payng offce pr: Incrr HI number for chnge of hlth insur fund</t>
  </si>
  <si>
    <t>March clause for one-time paymt (supplement to Note 1455053)</t>
  </si>
  <si>
    <t>Reduced hours compensation matrix code for payroll list</t>
  </si>
  <si>
    <t>Incorrect limit PI increase in case of illness in February</t>
  </si>
  <si>
    <t>Car regulation for family trips home</t>
  </si>
  <si>
    <t>Employment tax statement: Corrections 08 2010</t>
  </si>
  <si>
    <t>Tax suspension for mid-month tax split II</t>
  </si>
  <si>
    <t>Entitlement condition for one-time payment is incomplete</t>
  </si>
  <si>
    <t>DNeuG: Part 3 corrections for RPLDNEIGD0_UEBF</t>
  </si>
  <si>
    <t>ZfA: Bonus number not ready for input after BAdI check</t>
  </si>
  <si>
    <t>Flat-rate payt 07/2010: Corr. entitlement prerequisites</t>
  </si>
  <si>
    <t>Corrections for structure equalization</t>
  </si>
  <si>
    <t>Structure equalization: Overriding the payment basis</t>
  </si>
  <si>
    <t>Unjustified flat-rate payment for trainees</t>
  </si>
  <si>
    <t>Pension recipient statistics: EF14 for section 14a BeamtVG</t>
  </si>
  <si>
    <t>Incorrect dynamic modification factor for retroactive calc.</t>
  </si>
  <si>
    <t>Retro pension ins: Error w/ personl input help for field PAN</t>
  </si>
  <si>
    <t>Valn of reimbursement sect. 225 para. 2 SGB VI w/ incor date</t>
  </si>
  <si>
    <t>Last day of retro. pension ins. per. missing in retro. calc.</t>
  </si>
  <si>
    <t>Public Services regulatn, state of Bavaria: Phase 1, part 2</t>
  </si>
  <si>
    <t>Pension equalization payment: Old terms in documentation</t>
  </si>
  <si>
    <t>Assessment termination: Entry missing in table T503</t>
  </si>
  <si>
    <t>Specl pymnt Bavaria: Upper limit section 54 paragraph 4 (3)</t>
  </si>
  <si>
    <t>Error message when changing infotype 0326</t>
  </si>
  <si>
    <t>Runtime error when creating infotype 0782 for dependent</t>
  </si>
  <si>
    <t>SpecPayt Bayern: SpecPayt to upper limit accordg to sec. 53</t>
  </si>
  <si>
    <t>Pay scale group search help on "Legal decision" tab page</t>
  </si>
  <si>
    <t>Suspension rule acc.to sec.54 of BeamtVG with sec.55 + 14.5</t>
  </si>
  <si>
    <t>Reassessment after eighth adjustment with incorrect factor</t>
  </si>
  <si>
    <t>Death benefit for dependents is no longer calculated</t>
  </si>
  <si>
    <t>Termination in functn FKTBR for mid-month org assgmnt change</t>
  </si>
  <si>
    <t>Stmnt of earnings for sick pay or child sick pay ver 12/2009</t>
  </si>
  <si>
    <t>Statement of employment section 312 of SGB III,version 03.10</t>
  </si>
  <si>
    <t>Statements corrections 08/2010</t>
  </si>
  <si>
    <t>ECPD function does not clear all splits of /3RA(D) from /3R2</t>
  </si>
  <si>
    <t>Bonification: Method 0041 with a misleading description</t>
  </si>
  <si>
    <t>New Bonifications for Wood Sector</t>
  </si>
  <si>
    <t>IRPF: Previous percentage is not correct for regularization</t>
  </si>
  <si>
    <t>TC:Zero number of days on retroactive calculation for artist</t>
  </si>
  <si>
    <t>Tax Arrears: incorrect compensation for negative values</t>
  </si>
  <si>
    <t>Wage-type /3P9 is greater than monthly maximum for artists.</t>
  </si>
  <si>
    <t>GARN: Off-cycle payment is affecting the deducted value</t>
  </si>
  <si>
    <t>TC: Unpaid absence reports "Error in number of days"</t>
  </si>
  <si>
    <t>Artists: Incorrect segment in fan file for absence 7002</t>
  </si>
  <si>
    <t>Extra payment payslip is not printing - note 1429280</t>
  </si>
  <si>
    <t>DAT segment indicates Incentive Group without bonification</t>
  </si>
  <si>
    <t>Corr. of reduction of bonifications from days of strike</t>
  </si>
  <si>
    <t>Proposed temse file name is missing the extension</t>
  </si>
  <si>
    <t>Method 0003 is missing for contract type 540.</t>
  </si>
  <si>
    <t>Certific@2 - Corrections I</t>
  </si>
  <si>
    <t>TC: EDTCA01 quota is calculated differently than in ESV00</t>
  </si>
  <si>
    <t>TC: Missing Canarian bonification for Overtime</t>
  </si>
  <si>
    <t>AFI: Decide whether to consider FCT segment as mandatory</t>
  </si>
  <si>
    <t>AFI: Automatism is not working for employees with no inf.799</t>
  </si>
  <si>
    <t>Error when calculating daily regulatory basis with off-cycle</t>
  </si>
  <si>
    <t>Company Certificate is displaying the wrong prof. category</t>
  </si>
  <si>
    <t>TC: Difference of decimals in the segment EDTCA11</t>
  </si>
  <si>
    <t>Double days of ERE are being added in the wage-type /3BA</t>
  </si>
  <si>
    <t>CERE: Contribution base is reduced due to a month of 31 days</t>
  </si>
  <si>
    <t>CERE: Layout Correction in Company Certificate for ERE</t>
  </si>
  <si>
    <t>Retrocalculation problems after note 1406830</t>
  </si>
  <si>
    <t>Bonificacion 50% &gt; 45 years old missing for contract 109.</t>
  </si>
  <si>
    <t>TC: Incorrect indicator in case of Extended IT AT/EP</t>
  </si>
  <si>
    <t>Certific@2: New error messages for Response application</t>
  </si>
  <si>
    <t>Certific@2: Corrections II</t>
  </si>
  <si>
    <t>Certific@2: ERE Number is not correct</t>
  </si>
  <si>
    <t>TC: Absenteeism indicator missing for training contracts</t>
  </si>
  <si>
    <t>Bonification in case of Part-time percent. (PTPAR) change</t>
  </si>
  <si>
    <t>Certific@2: Corrections III</t>
  </si>
  <si>
    <t>TC: ERE indicator 'P' instead of 'T' in case of partial ERE</t>
  </si>
  <si>
    <t>Certific@2 - MESSAGE_TYPE_UNKNOWN dump in RPURT2E0</t>
  </si>
  <si>
    <t>TC: CONVT_NO_NUMBER dump when trying to view the tc2 form</t>
  </si>
  <si>
    <t>RD 2010/10: New Bonifications</t>
  </si>
  <si>
    <t>TC: One cent. difference in TC EDTCA50 due to unemployment</t>
  </si>
  <si>
    <t>Bonifications for method 0001 not being distributed properly</t>
  </si>
  <si>
    <t>Certific@2: Corrections IV</t>
  </si>
  <si>
    <t>Calc: Incorrect basis in case of split on the 31st day</t>
  </si>
  <si>
    <t>Retroactive Splits changes in RPCTC0E0</t>
  </si>
  <si>
    <t>New BAdI in RPCTC0E0</t>
  </si>
  <si>
    <t>RPCTC0E0: CD03 with no contribution bases</t>
  </si>
  <si>
    <t>TC: A76 compensation resulting negative values in TC1</t>
  </si>
  <si>
    <t>White collar statistics enhancements and corrections</t>
  </si>
  <si>
    <t>Garnishment calculation for off-cycle correction run</t>
  </si>
  <si>
    <t>Customizing Payroll France: text nodes not found</t>
  </si>
  <si>
    <t>EDI mode in reports RPLASMF3, RPLASAF3 and RPLDMOF0</t>
  </si>
  <si>
    <t>Retro Calculation Enhancement to use Processing Class</t>
  </si>
  <si>
    <t>No automatic SV split in case of change of contribution rate</t>
  </si>
  <si>
    <t>DADS-U retro-compatibility error for structures with amounts</t>
  </si>
  <si>
    <t>Wage type /269 used for two Reductions (Fillon and TEPA)</t>
  </si>
  <si>
    <t>RPLDH3F0: Wrong prorata II</t>
  </si>
  <si>
    <t>PY-FR: Rule FTEP doesn't work in all cases</t>
  </si>
  <si>
    <t>FR-PY RPLAASF1 Retroactive cancellation of a WT</t>
  </si>
  <si>
    <t>DUCS Paper: smartform HR_FR_DUCS_2008A</t>
  </si>
  <si>
    <t>RPLSA4F0: Error with retroactivity-payroll and delimitation</t>
  </si>
  <si>
    <t>RPLDH3F0: spelling error in selection text</t>
  </si>
  <si>
    <t>Transaction PC00_M06_LDUE not in SAP Easy Access</t>
  </si>
  <si>
    <t>T5F5Q: Address missing after F4-Help with "retrict values"</t>
  </si>
  <si>
    <t>DADS-U - Structures S41.G01.02 and S41.G01.03</t>
  </si>
  <si>
    <t>Profit Sharing: Exception CX_SY_ZERODIVIDE</t>
  </si>
  <si>
    <t>Indemnities are used for all garnishment types</t>
  </si>
  <si>
    <t>RPLDMOF0: new legal requirements for addresses</t>
  </si>
  <si>
    <t>Special contracts: Wrong grouping of wage type /303 in FCTR</t>
  </si>
  <si>
    <t>RPLCTRF0 showing differences between infty 0064 and table sv</t>
  </si>
  <si>
    <t>2010 parameters for French payroll - July update</t>
  </si>
  <si>
    <t>DUCS EDI IRC: COT 007, incorrect format in final file</t>
  </si>
  <si>
    <t>DUCS Recovering Unemployment Contribution by URSSAF</t>
  </si>
  <si>
    <t>TEPA error if /121 equal 0</t>
  </si>
  <si>
    <t>Error in F4 help for field P_PCMP in program RPLAASF1</t>
  </si>
  <si>
    <t>PY-FR: Calculation of days in Infotype 0425</t>
  </si>
  <si>
    <t>Documentation for EDI RPLASMF3,RPLASAF3, RPLDATF2</t>
  </si>
  <si>
    <t>FNABS Public sector: incorrect compensation entitlement</t>
  </si>
  <si>
    <t>RPCALCF0: FPSUP IDR not returning the "Zone de résidence"</t>
  </si>
  <si>
    <t>To implement National Identity card in Infotype 0048</t>
  </si>
  <si>
    <t>GBSXP : AVERAGE table contains no SAWE entry</t>
  </si>
  <si>
    <t>Incorrect data reported by Absence Spells report</t>
  </si>
  <si>
    <t>Update Manager: Changes to SL1 and SL2 forms behaviour</t>
  </si>
  <si>
    <t>Changes to tax calculation for ME Late Leavers</t>
  </si>
  <si>
    <t>IT65-Date checks on error messages to handle historical data</t>
  </si>
  <si>
    <t>Incorrect Tax Code in P14 for leavers with late payments</t>
  </si>
  <si>
    <t>P45 leaver report: 'Starter program must be run before P45'</t>
  </si>
  <si>
    <t>Starter report: employee with tax reference change</t>
  </si>
  <si>
    <t>Company Car:Incorrect CO2 emission error in payroll</t>
  </si>
  <si>
    <t>Enhancement to IT0065 and P45 leaver report</t>
  </si>
  <si>
    <t>Dummy note for S11_ERP_ESS_Renovation</t>
  </si>
  <si>
    <t>MPF Refund Cleared in Payroll Function HKMCL</t>
  </si>
  <si>
    <t>IR56E/IR56G Format Update 2010</t>
  </si>
  <si>
    <t>Ireland Test Note</t>
  </si>
  <si>
    <t>PY IE: 2010 Income Levy Annualisation Run</t>
  </si>
  <si>
    <t>HR IE:Short dump in Payroll run in PRSI Week calculation</t>
  </si>
  <si>
    <t>PY-IE: Correction to note 1471792 for weekly leavers 2010</t>
  </si>
  <si>
    <t>Inconsistent exemption calculation for rehired employees</t>
  </si>
  <si>
    <t>HINCALC0:splits getting formed incorrectly for rehiring emp.</t>
  </si>
  <si>
    <t>Exemp.calculated inconsistently for multiple rehired emp.</t>
  </si>
  <si>
    <t>Form 16 for rehired case displays challan detail incorrectly</t>
  </si>
  <si>
    <t>Section 80C total incorrect incase of multiple rehiring</t>
  </si>
  <si>
    <t>Legal Change: Change of Gratuity Limit</t>
  </si>
  <si>
    <t>Inconsistency in Off-cycle Tax calculation after budget 2010</t>
  </si>
  <si>
    <t>ESI- Employer Reference Number length is extended</t>
  </si>
  <si>
    <t>ESS: Form 16 scenario executes with a runtime error</t>
  </si>
  <si>
    <t>Global Employment: Tax not calculated for RI and NORs</t>
  </si>
  <si>
    <t>Inconsistencies in SAP Script display for old Form16</t>
  </si>
  <si>
    <t>Annual display report-Inconsistent in case of off-cycle</t>
  </si>
  <si>
    <t>Jammu &amp; Kashmir PF new changes</t>
  </si>
  <si>
    <t>Declaration on Page 3 of Form16 is displayed inconsistently</t>
  </si>
  <si>
    <t>Form 24Q - Runtime inconsistecy on executing the report</t>
  </si>
  <si>
    <t>Inconsistent Gratuity exemption for leaving after 23.05.2010</t>
  </si>
  <si>
    <t>TDS calculated for income from housing inconsistent</t>
  </si>
  <si>
    <t>HR-IT: Uniemens 9.3</t>
  </si>
  <si>
    <t>HR-IT: 770/2010 Correction Package 2</t>
  </si>
  <si>
    <t>HR-IT: RPISCAI1 - Adding additional parameters for subtypes</t>
  </si>
  <si>
    <t>HR-IT: Correction on rule ITT3</t>
  </si>
  <si>
    <t>HR-IT: Wrong calculation of short events</t>
  </si>
  <si>
    <t>RPCEADJ0:Field SPINC shall not display when no SPDED value</t>
  </si>
  <si>
    <t>Leaving Date Not Correct on Payslip</t>
  </si>
  <si>
    <t>Business Configuration Set for Corporate Pension Solution</t>
  </si>
  <si>
    <t>IT0140: Problems on Unemployment Ins. Deduction</t>
  </si>
  <si>
    <t>Benefit Wage Type is Not Cumulated Correctly in Retro Calc.</t>
  </si>
  <si>
    <t>Unable to Read Infotype SI Premium Data Subtype EE's pens.</t>
  </si>
  <si>
    <t>RPCSIEJ0: Text Displayed Overlapped</t>
  </si>
  <si>
    <t>IT0559: Non-Taxable Amount Not Calculated Correctly</t>
  </si>
  <si>
    <t>PY-JP-RP-TX</t>
  </si>
  <si>
    <t>Tax Statement</t>
  </si>
  <si>
    <t>ABAP list of RPCEADJ0: IFWOD, SPINC display incorrectly</t>
  </si>
  <si>
    <t>Layout Description Incorrect for Component KANJI and KANAN</t>
  </si>
  <si>
    <t>PY-JP-SI</t>
  </si>
  <si>
    <t>Social Insurance Grade Evaluation</t>
  </si>
  <si>
    <t>RPCSIGJ0:No. of Geppen Cand. is Incorrect for Non-Tokyo Rule</t>
  </si>
  <si>
    <t>Separation Tax Deferring Posting Issue</t>
  </si>
  <si>
    <t>Totals on Separation Receipt are Missing After Note 1473213</t>
  </si>
  <si>
    <t>HKRSEPR0: Multiple Employees Run Causes Incorrect Result</t>
  </si>
  <si>
    <t>Korea YEA 2010 Mid-Year Legal Change - Phase II</t>
  </si>
  <si>
    <t>Error in Calculating Service Period</t>
  </si>
  <si>
    <t>Reversal Payments MX</t>
  </si>
  <si>
    <t>HR-MX: Fonacot on Termination</t>
  </si>
  <si>
    <t>HR-MX: FONACOT on terminations performance improvement</t>
  </si>
  <si>
    <t>HR-MX: SDI comparison with Minimal Wage of Geographical area</t>
  </si>
  <si>
    <t>Absence days in Christmas Bonus on HMXCAGU0 in Batch mode</t>
  </si>
  <si>
    <t>Performance in selection of loans class in function MXPBS</t>
  </si>
  <si>
    <t>IT0015:Boradband Fee not generating excess wage type /396</t>
  </si>
  <si>
    <t>NLSPR: Adjustment of Transitional Rule in Life-Course-Saving</t>
  </si>
  <si>
    <t>Jaaropgave WN: Change in splitting Annual Tax statement</t>
  </si>
  <si>
    <t>FlexBenNL: Automatic Settlement Upon Leaving</t>
  </si>
  <si>
    <t>FlexBenNL: PY-Function reservation for CDP</t>
  </si>
  <si>
    <t>Reimbursement: Issues with Max Date, Hoilday Allowance</t>
  </si>
  <si>
    <t>New NAV Form IA 08-30.01 for Reimbursement Claims</t>
  </si>
  <si>
    <t>Incorrect Pay-Scale Level with change in Seniority</t>
  </si>
  <si>
    <t>Overtime report: Incorrect output when run for multiple EEs</t>
  </si>
  <si>
    <t>Grunnbeløp: G-amount for year 2010</t>
  </si>
  <si>
    <t>Changes in Half Tax Calculation for month of December</t>
  </si>
  <si>
    <t>Few Scenarios in SPK Report</t>
  </si>
  <si>
    <t>Timeout in remittance rep, EMS not selecting on Payroll Area</t>
  </si>
  <si>
    <t>Terminations New Zealand is throwing short dump</t>
  </si>
  <si>
    <t>Public Holidays incorrectly paid on termination</t>
  </si>
  <si>
    <t>Infotype 309 and 313:Not picking default values from feature</t>
  </si>
  <si>
    <t>PY-PH: HDMF contribution rate changes 2010.</t>
  </si>
  <si>
    <t>RPCSSRP0: new declaration for each reference period</t>
  </si>
  <si>
    <t>Single Report: XML structure change for non-worked hours tag</t>
  </si>
  <si>
    <t>Single Report: absences reading for attachment E</t>
  </si>
  <si>
    <t>Missing description for values 40 and 41 of eval. class 12</t>
  </si>
  <si>
    <t>Single Report: invalid format of field n_destacamentos</t>
  </si>
  <si>
    <t>Single Report: reporting of establishments with no employees</t>
  </si>
  <si>
    <t>Single Report: hiring date for attachmen A after 31.10</t>
  </si>
  <si>
    <t>Single Report: employee amounts reading with recalculation</t>
  </si>
  <si>
    <t>Single Report: reporting of half hours in field PNT</t>
  </si>
  <si>
    <t>Single Report: fire at January 1st not reported in "anexo B"</t>
  </si>
  <si>
    <t>Single Report: promotion date based on infotype 0008</t>
  </si>
  <si>
    <t>Single Report: absences read for October amount differences</t>
  </si>
  <si>
    <t>Single Report: non-remunerated absences in thechnical log</t>
  </si>
  <si>
    <t>Single Report: processing of pensioners</t>
  </si>
  <si>
    <t>Single Report: recalculated absences hours of attachment 0</t>
  </si>
  <si>
    <t>Single Report: disability levels classification</t>
  </si>
  <si>
    <t>Single Report: absent employees counting in attachment A</t>
  </si>
  <si>
    <t>Single Report: rouding of October suplementar hours</t>
  </si>
  <si>
    <t>Single Report: average nº of employees in attachment 0</t>
  </si>
  <si>
    <t>Single Report enhancements</t>
  </si>
  <si>
    <t>Single Report: conversion of accents in employees' names</t>
  </si>
  <si>
    <t>Single Report: rehiring reporting with company change</t>
  </si>
  <si>
    <t>RPCSSRP0: list output with wrong beneficiary details</t>
  </si>
  <si>
    <t>ADSE - Montlhy Deduction over Christmas Bonus and Vacation</t>
  </si>
  <si>
    <t>HR-PT-PS: ADSE Register when Payroll is "Released for Corr."</t>
  </si>
  <si>
    <t>HR-PT-PS: Family Allowances - wrong age group classification</t>
  </si>
  <si>
    <t>HCM PT PS: IT 0896 (ADSE) - Message Type changing</t>
  </si>
  <si>
    <t>HR-PT: ADSE overview screen correction</t>
  </si>
  <si>
    <t>HR-RU: Doubled advance in regular run if APER is splitted</t>
  </si>
  <si>
    <t>HR-RU: 4-FSS wrong Number of SICK if absence deleted in past</t>
  </si>
  <si>
    <t>HR-RU: Dump ASSIGN_LENGTH_0 in RSV-1 or 4-FSS report</t>
  </si>
  <si>
    <t>HRULNDFL: usage of tax code 311 instead of 313 from 2010</t>
  </si>
  <si>
    <t>HR-RU: wrong message 'No payroll data' for new hired EE</t>
  </si>
  <si>
    <t>HR-RU: 4FSS table 3 wrong amounts in total column</t>
  </si>
  <si>
    <t>Form T-60 (T-61) with reference pernrs</t>
  </si>
  <si>
    <t>RPIABSS0_NEW: New Business check and ALV User Layout added</t>
  </si>
  <si>
    <t>Corrections to Swedish One-off tax calculation</t>
  </si>
  <si>
    <t>ATS: Column 31 not displayed in the ALV output summary</t>
  </si>
  <si>
    <t>RPIABSS0_NEW Issues with overlapping continues sickness</t>
  </si>
  <si>
    <t>RPLSPPS2 reports incorrect LO event in case of retro</t>
  </si>
  <si>
    <t>RPLLASS0, Some fields not reported in the output</t>
  </si>
  <si>
    <t>Foreign Worker Levy rate change</t>
  </si>
  <si>
    <t>Legal Change : Changes to CPF Contribution Rates 2010</t>
  </si>
  <si>
    <t>Cabinet CV Report : not working with office word 2007</t>
  </si>
  <si>
    <t>TW: Correct table entries in no decimal place system</t>
  </si>
  <si>
    <t>TAX: USTAX wrongly updates the Work Days field in WPBP.</t>
  </si>
  <si>
    <t>Cannot display documentation for IMG activities.</t>
  </si>
  <si>
    <t>PAY: Sum of Good Money field causes Payroll Driver dump.</t>
  </si>
  <si>
    <t>PY-US-IE</t>
  </si>
  <si>
    <t>Interface to External Payroll Systems</t>
  </si>
  <si>
    <t>OTMU - Adding segment for Infotype 234 (Addtnl Withholding)</t>
  </si>
  <si>
    <t>GARN: Incorrect deduction for inactive employees.</t>
  </si>
  <si>
    <t>Form 941: Bug fixes after HIRE Act implementation</t>
  </si>
  <si>
    <t>Wrong value in field PRWG in SUI form for VT</t>
  </si>
  <si>
    <t>TR: Issues with magnetic media for UT SUI reporting</t>
  </si>
  <si>
    <t>TAX:WTA override for inactive employee: Entry in TAX missing</t>
  </si>
  <si>
    <t>City of Wilmington DE01 no longer allows percent letter</t>
  </si>
  <si>
    <t>TAX: Arizona Resident Voluntary Withholding</t>
  </si>
  <si>
    <t>TAX: Payroll fails for employees in states w/o withholding.</t>
  </si>
  <si>
    <t>TAX:Payroll fails for resident/non-res.override in NAMC-run.</t>
  </si>
  <si>
    <t>PAY: Incorrect in/outflow amounts when changing company code</t>
  </si>
  <si>
    <t>Medical Aid 2011 / SARS codes Validations</t>
  </si>
  <si>
    <t>Incorrect Processing Class 75 for WT/146 and WT/158</t>
  </si>
  <si>
    <t>Infotype 1633 Position and Job views changed to include OFO</t>
  </si>
  <si>
    <t>XX-SER-GEN</t>
  </si>
  <si>
    <t>Please use note 1343157 for finding the right component</t>
  </si>
  <si>
    <t>Unnecessary comments in ABAP objects</t>
  </si>
  <si>
    <t>SAPKE60426</t>
  </si>
  <si>
    <t>Runtime for extractors 0HR_PT_1, 0HR_PT_2, and 0HR_PT_3</t>
  </si>
  <si>
    <t>MSS: Object selection while launching ITS</t>
  </si>
  <si>
    <t>EP interface: Preselectn of travel requests and travel plans</t>
  </si>
  <si>
    <t>EU VAT</t>
  </si>
  <si>
    <t>MVK Vorbelegung Datum Beginn Beitragszahlung nicht korrekt</t>
  </si>
  <si>
    <t>DeCava: No object ID allowed in IT 3270 when CE is enabled</t>
  </si>
  <si>
    <t>Infoype 3270 - Hiding of field NACE code not possible</t>
  </si>
  <si>
    <t>IT0424 Automatic pre-filling of data in case of prolongation</t>
  </si>
  <si>
    <t>Quota Mgmt:T77TNM_QU table doesn't consider all key fields</t>
  </si>
  <si>
    <t>IT1686: Missing checks during INSERT action</t>
  </si>
  <si>
    <t>COPY action does not work for Infotype 1681</t>
  </si>
  <si>
    <t>TNM: UI corrections in the assignment report</t>
  </si>
  <si>
    <t>1681 records remain after changing the Catalog Assignment</t>
  </si>
  <si>
    <t>Change Document tracking not possible for TNM infotypes</t>
  </si>
  <si>
    <t>TNM: Short names for objects visible in ALV grid</t>
  </si>
  <si>
    <t>Issue with enhancement of subcreen in Infotype 0077</t>
  </si>
  <si>
    <t>HJPUBP_PNTASN:Retrieve Fiscal Year First Month Incorrectly</t>
  </si>
  <si>
    <t>note for linc&amp;VAN project</t>
  </si>
  <si>
    <t>RPTZKMN2: UWV Recovery message created on every run</t>
  </si>
  <si>
    <t>RPTZKMN2: Unnecessary entries for Batch Input Folder created</t>
  </si>
  <si>
    <t>IT0854: IBAN generation does not work, when IBAN is required</t>
  </si>
  <si>
    <t>IT0854: Bank data is not filled from entered IBAN</t>
  </si>
  <si>
    <t>HR-RU: Report HRULAVP3_2004 and wage types with cntr1 split</t>
  </si>
  <si>
    <t>Absence is not shown in T-13 if attendance with ALP exists</t>
  </si>
  <si>
    <t>Sums in ADV-6-3 are cut thyself if rounding is on</t>
  </si>
  <si>
    <t>ADV-1, ADV-2, ADV-3: fired employees processing</t>
  </si>
  <si>
    <t>HRULPFP5: wrong reporting organization period</t>
  </si>
  <si>
    <t>HRULADV62: sorting processed packages inside the XML</t>
  </si>
  <si>
    <t>HR-RU: Low perormance of report HRULSTAT</t>
  </si>
  <si>
    <t>Empty tag &lt;NomerVpacke&gt; in the XML forms ADV-1, ADV-2, ADV-3</t>
  </si>
  <si>
    <t>The SPV-1 reporting period</t>
  </si>
  <si>
    <t>A missing second higher education in the form T-2</t>
  </si>
  <si>
    <t>Forms DSV-1 and DSV-3 in the background mode</t>
  </si>
  <si>
    <t>Missing EHP5 switches processing in the HRULT2_2004</t>
  </si>
  <si>
    <t>HRULPFP5: deactivating the Adobe form printing</t>
  </si>
  <si>
    <t>Memory consumption in report HRULSTAT</t>
  </si>
  <si>
    <t>PF CH NrP: House bank ID does not exist for company code</t>
  </si>
  <si>
    <t>Correction to the translation of PDF sample forms</t>
  </si>
  <si>
    <t>IT3230: Selection of postings with the same posting number</t>
  </si>
  <si>
    <t>PF CH NrP: Payment method missing for transaction 827 in DME</t>
  </si>
  <si>
    <t>PK CH NrP: Same transaction number for each posting in DME</t>
  </si>
  <si>
    <t>Versorgungsausgleich: Korrekturen / Erweiterungen 8</t>
  </si>
  <si>
    <t>RBM: Corrections/enhancements MZ01 (9/2010)</t>
  </si>
  <si>
    <t>RBM: Nachträgliche Anzeige von ZE99-Dateien</t>
  </si>
  <si>
    <t>RBM: Subsequent display of ZE99 files - Supplement</t>
  </si>
  <si>
    <t>RBM: Layouts der Ausgabeliste INBOUND/OUTBOUND sichern</t>
  </si>
  <si>
    <t>Unable to view participant notes from ALV.</t>
  </si>
  <si>
    <t>LSO &amp; TEM: Course/Event status incorrectly displayed</t>
  </si>
  <si>
    <t>PP61 ad hoc: Previous day indicator</t>
  </si>
  <si>
    <t>PP61: Changes to the lock logic</t>
  </si>
  <si>
    <t>PP61: Sortierung des Bedarfsabgleichs</t>
  </si>
  <si>
    <t>Zeitumbuchung verhindert Bedarfszuordnung (Bereitschaft)</t>
  </si>
  <si>
    <t>PP61 ad hoc: Supplement to Note 1471287</t>
  </si>
  <si>
    <t>PP61: Program termination during ad hoc update</t>
  </si>
  <si>
    <t>Not generating ART contribution fixed amount</t>
  </si>
  <si>
    <t>HR-AR: Decree 1694/2009 - ART Licenses</t>
  </si>
  <si>
    <t>Error messages for Social Insurance in Provisions in AJUS</t>
  </si>
  <si>
    <t>Error in variable remuneration related to vacations</t>
  </si>
  <si>
    <t>HR-AR: Decree 1694/2009 - Monthly employee SAC incorrect</t>
  </si>
  <si>
    <t>HR-AR: CONVT_NO_NUMBER short dump on CHECK_PREVIOUS_IT2001</t>
  </si>
  <si>
    <t>SICOSS V34 - New situations hardcoded implemented</t>
  </si>
  <si>
    <t>HR-AR: Not all absences get valuated for ART (MT75 and MT70)</t>
  </si>
  <si>
    <t>HR-AR: ART calculation for journalized employees incorrect</t>
  </si>
  <si>
    <t>Form 649 - ARCIMP with wrong values from wage type /478</t>
  </si>
  <si>
    <t>HR-AR: Decree 1694/2009 - ART Licenses - Documentation</t>
  </si>
  <si>
    <t>SICOSS report is not showing the right number of relatives</t>
  </si>
  <si>
    <t>SICOSS V33.0 - Customizable Fields - Documentation</t>
  </si>
  <si>
    <t>Absence type '07' not being considered for ART payments</t>
  </si>
  <si>
    <t>Incorrect SAC provision for hourly employees</t>
  </si>
  <si>
    <t>SICOSS V34 - New review situations - Documentation</t>
  </si>
  <si>
    <t>Fixed tax - retro over retro generates incorrect tax.</t>
  </si>
  <si>
    <t>ECI validation fails for financial year 2009</t>
  </si>
  <si>
    <t>Tax on Termination payments : override incorrect.</t>
  </si>
  <si>
    <t>QADVI: Advance pay function call for CE is incorrect</t>
  </si>
  <si>
    <t>Overtime not reported in ABS report if overtime hrs &lt; 1</t>
  </si>
  <si>
    <t>Dimona: New version 2010 - Infotype 0735 extensions</t>
  </si>
  <si>
    <t>DIMONA: NEW version 2010 - 3rd batch of extensions</t>
  </si>
  <si>
    <t>DeCava: Deletion of obsolete objects in release ECC 6.0</t>
  </si>
  <si>
    <t>DIMONA: NEW version 2010 - 4th batch of extensions</t>
  </si>
  <si>
    <t>Dimona: New version 2010 - Infotype 0735 corrections</t>
  </si>
  <si>
    <t>DIMONA - 2010 - Prevention of Duplicates &amp; B2A Corrections</t>
  </si>
  <si>
    <t>Split indicators missing for Holiday Pay Wagetypes</t>
  </si>
  <si>
    <t>Dimona: New version 2010 - Infotype 0735 extensions II</t>
  </si>
  <si>
    <t>Payroll /BFEVL: Occupation counter not reset every year</t>
  </si>
  <si>
    <t>Default values of user exit in infotpye 3271 overwritten</t>
  </si>
  <si>
    <t>Function BSV00: /332 not correctly adjusted if no /30S</t>
  </si>
  <si>
    <t>Dimona 2010 - IMG and docu review, and other corrections</t>
  </si>
  <si>
    <t>BELCOTAX: Preparation for Next Year (2011)</t>
  </si>
  <si>
    <t>Incorrect XML labels in Legal Changes for DmfA, Qtr 2 2010</t>
  </si>
  <si>
    <t>Wrong currency displayed in infotype 3270</t>
  </si>
  <si>
    <t>DeCava: Basis and rate interchanged in /3C1, /3CA and /3CB</t>
  </si>
  <si>
    <t>SEFIP: Movement code in record 32 is not correct (N2 and N3)</t>
  </si>
  <si>
    <t>Portaria 1510 - Problem with report HBRTMSH0</t>
  </si>
  <si>
    <t>GRSUP with an APZNR split causes amounts to double</t>
  </si>
  <si>
    <t>Unecessary RL-2 amendments being generated for pre 2009 year</t>
  </si>
  <si>
    <t>PY-CL: Pension Plan Institutions Mapping</t>
  </si>
  <si>
    <t>PY-CL: HCLCPRVD0 - Previred Report general corrections</t>
  </si>
  <si>
    <t>PY-CL: Wrong error message in Income Certificate Report</t>
  </si>
  <si>
    <t>PY-CL: Wrong number of hours in HCLCINE0 report</t>
  </si>
  <si>
    <t>PY-CL: New limits for Pension Plan Old Regimen</t>
  </si>
  <si>
    <t>PY-CL: Standard customizing for Reliquidation</t>
  </si>
  <si>
    <t>CDTA/CDTB:Bypass Address Check</t>
  </si>
  <si>
    <t>ELENA: Current improvements and corrections</t>
  </si>
  <si>
    <t>SV: Korrekturen GKV-Kommunikationsserver</t>
  </si>
  <si>
    <t>LSTB: Missing entries in T596M for collecting data</t>
  </si>
  <si>
    <t>SV: E-Mail-Eingang bei Rücksetzung des Dateizählers durch KK</t>
  </si>
  <si>
    <t>DEUEV: Reversal and new notification of 54 notifications</t>
  </si>
  <si>
    <t>DEUEV(miner): Error message for reason 55 after leaving</t>
  </si>
  <si>
    <t>DEUEV:Corrections based on system check 2010</t>
  </si>
  <si>
    <t>DEUEV: Runtime error RPCD3TD0 after Note 1473529</t>
  </si>
  <si>
    <t>DEUEV (UVMG): Corrections VII</t>
  </si>
  <si>
    <t>ELENA: Grund 00 bei einem Abrechnungssystemwechsel</t>
  </si>
  <si>
    <t>ELENA: Runtime improvement for the creation of notifications</t>
  </si>
  <si>
    <t>ELENA: No carryforward from inactive to active periods</t>
  </si>
  <si>
    <t>ELENA: Rejection due to error checks DBKE272 and DBKE291</t>
  </si>
  <si>
    <t>ELENA: Not possible to restrict size of notification file</t>
  </si>
  <si>
    <t>ELENA: Error when transferring DSVV data records</t>
  </si>
  <si>
    <t>ELENA: Sending persnnl area or persnnl subarea for reversal</t>
  </si>
  <si>
    <t>Infotyp 0700: Fehlermeldungen bereits vor Eingabebild</t>
  </si>
  <si>
    <t>ELENA:Fehlende alte Betriebsnummer (BBNRALT) führt zu Fehler</t>
  </si>
  <si>
    <t>Remuneration statement: Negative semiretirement increases</t>
  </si>
  <si>
    <t>Coding of wage types for consulting note</t>
  </si>
  <si>
    <t>Warning msg in function DBG V0BG causes payroll termination</t>
  </si>
  <si>
    <t>SI reporting: Corrections to administrator lists (3)</t>
  </si>
  <si>
    <t>Runtime improvement for report RPUSVMD0_FLAG</t>
  </si>
  <si>
    <t>RHC: Wage type /64Q, incorr guaranteed net amnt for SI-liab</t>
  </si>
  <si>
    <t>RPCKULD3:SI reimbursement: Capping planned and actual remun.</t>
  </si>
  <si>
    <t>Kur während Kurzarbeit</t>
  </si>
  <si>
    <t>ELSTER II - adjustments RPUTXED0 and RPUTXCD0</t>
  </si>
  <si>
    <t>RPCTXLD1 adjustments</t>
  </si>
  <si>
    <t>Estimation of annual earned income for 30 days after leaving</t>
  </si>
  <si>
    <t>Changes in IT 0012 using dynamic action</t>
  </si>
  <si>
    <t>Gross overpayment/enhancements</t>
  </si>
  <si>
    <t>ZfA: Verbesserungen Dokumentation</t>
  </si>
  <si>
    <t>Classification of pay scale groups</t>
  </si>
  <si>
    <t>ZfA: PC download does not work in the case of Linux or UNIX</t>
  </si>
  <si>
    <t>Runtime error "No entry in table T5DPBS1C" in infotype 0509</t>
  </si>
  <si>
    <t>RPIPSR00: Incorr batch input sess for public sect employees</t>
  </si>
  <si>
    <t>RPSPSTD0: Corrections for EF17 and EF26</t>
  </si>
  <si>
    <t>Funktion FKTBR ermittelt negative Tageszahlen</t>
  </si>
  <si>
    <t>Check for the minimal income threshold cannot be overridden</t>
  </si>
  <si>
    <t>Unterscheidung West/Ost bei Renten nicht möglich</t>
  </si>
  <si>
    <t>Payroll cluster RPCALCD0 is no longer written</t>
  </si>
  <si>
    <t>Public Services regulatn, state of Bavaria: Phase 2, part 1</t>
  </si>
  <si>
    <t>ZV-relevante Splitts und ehemalige BAT-I-Grenze</t>
  </si>
  <si>
    <t>Bescheinigungswesen mit interactive Forms: Nachtrag 3</t>
  </si>
  <si>
    <t>Statement of second. income, sec. 313 SGB III, version 03.10</t>
  </si>
  <si>
    <t>Einkommensbescheinigung § 58 SGB II (ALG II) Version 04.2010</t>
  </si>
  <si>
    <t>Problems on IGA's log when copying some payments of IT0062</t>
  </si>
  <si>
    <t>Bonifications: Correction protection 'ES28' '00000002'</t>
  </si>
  <si>
    <t>TC: Contributions for researchers with training contracts</t>
  </si>
  <si>
    <t>Problems printing street field in the Deductions Certificate</t>
  </si>
  <si>
    <t>CALC: Bonification for maternity is not being calculated</t>
  </si>
  <si>
    <t>Wrong calculated percentage due to amount of previous years</t>
  </si>
  <si>
    <t>Problems in Deduction Certificate when changing Legal Person</t>
  </si>
  <si>
    <t>Contract Printing - new forms RDL 10/2010</t>
  </si>
  <si>
    <t>Wrong employee data is being considered reading IRPF tax</t>
  </si>
  <si>
    <t>Delt@: Incorrect CNAE text</t>
  </si>
  <si>
    <t>Certific@2: Incorrect bases for artists</t>
  </si>
  <si>
    <t>Dummy note for ACC corrections</t>
  </si>
  <si>
    <t>AFI: Field P0799-ACCAF is read-only on creating infotype</t>
  </si>
  <si>
    <t>AFI: New value for 'Rehired female employee' in PS0799-MREIN</t>
  </si>
  <si>
    <t>Garnishment code correction</t>
  </si>
  <si>
    <t>Avoiding negative settlement basis for employment tax (IRPF)</t>
  </si>
  <si>
    <t>Incorrect bonification distribution for part-time employee</t>
  </si>
  <si>
    <t>Problems when displaying results of 190 through flat list</t>
  </si>
  <si>
    <t>Contract Printing - new forms 2010</t>
  </si>
  <si>
    <t>Wrong data is being displayed on model 216 of Emp.Tax report</t>
  </si>
  <si>
    <t>Legal Change Blue collar statistics 2010 HFISTBC0</t>
  </si>
  <si>
    <t>Legal Change White collar Statistics 2010 HFISTWC0</t>
  </si>
  <si>
    <t>HFILSEA0 Incorrect amount reported in off-cycle pay results</t>
  </si>
  <si>
    <t>PY-FR DADSU Prevoyance and Structure S45.G05.2</t>
  </si>
  <si>
    <t>PY-FR - RPLAASF1: Wrong reason 82</t>
  </si>
  <si>
    <t>Absence Data Overview report RPLABSG0_ABSENCE_OVERVIEW</t>
  </si>
  <si>
    <t>TPS report does not change Salary Scale Codes</t>
  </si>
  <si>
    <t>School Work Force 2010 Annual Census Reporting</t>
  </si>
  <si>
    <t>Issue with area menus for IYMV reports</t>
  </si>
  <si>
    <t>HK: Dummy for checkman correction about form ess_abap</t>
  </si>
  <si>
    <t>IR56 PDF Related Views Update</t>
  </si>
  <si>
    <t>Incorrect ORSO Contribution in Retro Period with Off-cycle B</t>
  </si>
  <si>
    <t>IR56B Format Update 2010</t>
  </si>
  <si>
    <t>Dummy note for S11_ERP_ESS_Renovation-Downport to EHP5</t>
  </si>
  <si>
    <t>PY IE: Pension related Deduction</t>
  </si>
  <si>
    <t>Legal Change: New Version(6) of P35L for XML submission</t>
  </si>
  <si>
    <t>PY-IE:P45 displays results even if payroll is not run</t>
  </si>
  <si>
    <t>PY-IE : New Health plan types for VHI</t>
  </si>
  <si>
    <t>Form 16 Page3 - Upload file inconsistency</t>
  </si>
  <si>
    <t>HINCF24Q:Type of deductor is printed incorrectly on Form 27A</t>
  </si>
  <si>
    <t>HINCF160: Total Tax deposited inconsistent for txt upload</t>
  </si>
  <si>
    <t>PF Form 5-Inconsistent in case of go-live</t>
  </si>
  <si>
    <t>Form24Q gives dump if IT0185 subtypes are maintained as char</t>
  </si>
  <si>
    <t>Form24Q displays inconsistent result for TAN based reporting</t>
  </si>
  <si>
    <t>Long term Infrastructure Bonds inconsistentcy in payroll</t>
  </si>
  <si>
    <t>INPS: New ESS Service - Income Tax Projection Statement</t>
  </si>
  <si>
    <t>HR-IT: TFR Corrections: TFR1 var. case and comp. up to 50 EE</t>
  </si>
  <si>
    <t>HR-IT: UniEmens 9.4</t>
  </si>
  <si>
    <t>HR-IT EHP5: Entratel negative amounts handling</t>
  </si>
  <si>
    <t>HR-IT: 730 2010 V.2</t>
  </si>
  <si>
    <t>HR-IT: 770/2010 Correction Package 3</t>
  </si>
  <si>
    <t>HR-IT: ANF 2010 - Error in calc. for periods before 2007</t>
  </si>
  <si>
    <t>HR-IT: Missing fields MESER/DUSAT on V_T5ITW5 - release 604</t>
  </si>
  <si>
    <t>HR-IT: F24 CBI file - wrong number of records count</t>
  </si>
  <si>
    <t>LC2010 Tax System Revision Phase I: Payroll Part</t>
  </si>
  <si>
    <t>PBD Calculation and Hourly Paid Leave Rounding Incorrect</t>
  </si>
  <si>
    <t>Nursing Insurance Deducted Incorrectly</t>
  </si>
  <si>
    <t>Labour Insurance not calculated correctly in retro cases</t>
  </si>
  <si>
    <t>Wrong results for accumulation cumulations (type 'C')</t>
  </si>
  <si>
    <t>Korea YEA 2010 Mid-Year Legal Change - Phase III</t>
  </si>
  <si>
    <t>Revise the Designated Allowance Legal Change</t>
  </si>
  <si>
    <t>Separation Receipt 2010 &amp; Tax Deferring Deposit Order Change</t>
  </si>
  <si>
    <t>HKRCALC0:Separation income tax calcultating incorrect</t>
  </si>
  <si>
    <t>Enhance Business Place Address on YEA Receipt</t>
  </si>
  <si>
    <t>2010LR: Former Representative Name for Past Tax Forms</t>
  </si>
  <si>
    <t>HKRSEPR0: Filter Payroll Result without Table KRSP1</t>
  </si>
  <si>
    <t>MXGAR doesn't carry over pending amount if aligmony is fixed</t>
  </si>
  <si>
    <t>HR-MX: Off-cycle payroll should not generate subsidy</t>
  </si>
  <si>
    <t>Wrong results for bimonthly cumulations (type 'B')</t>
  </si>
  <si>
    <t>HR-MX: HMXCSARPBS generates wrong "Modification" entries.</t>
  </si>
  <si>
    <t>PY-MY:EE Name length 45 char, SOCSO 8A, 8B &amp; Borang A issues</t>
  </si>
  <si>
    <t>Incorrect ERC calculation in retro periods for EE with UTL1</t>
  </si>
  <si>
    <t>Reimbursement - Issue with partial absences, unpaid absences</t>
  </si>
  <si>
    <t>EhP6 developments</t>
  </si>
  <si>
    <t>HNZUHCU0 : Straight download of NZHPI details</t>
  </si>
  <si>
    <t>Incorrect tax calculation on correction/offcycle termination</t>
  </si>
  <si>
    <t>Legal Changes for the Tax Year 2010/11</t>
  </si>
  <si>
    <t>Employee Pay Details Report enhanced for Backround execution</t>
  </si>
  <si>
    <t>Legal Change 2010-11 : GST is increasing from 12.5% to 15%</t>
  </si>
  <si>
    <t>PY-PH: Issue with the report HPHRSBR0 ouput format.</t>
  </si>
  <si>
    <t>Single Report: documentation changes</t>
  </si>
  <si>
    <t>Single Report: coding improvements</t>
  </si>
  <si>
    <t>HR-PT-PS: Family Allowances - Death Allowance</t>
  </si>
  <si>
    <t>Remuneration Guide: reporting of new citizen card ID</t>
  </si>
  <si>
    <t>Table RUAVE in case of vacation offcycle for future next</t>
  </si>
  <si>
    <t>HR-RU: wrong value of field NATIO in report HRULICO0</t>
  </si>
  <si>
    <t>HR-RU: Form T-61, columns 10-19 are not correct</t>
  </si>
  <si>
    <t>HR-RU: P0003-rrdat is changing during IT0049 creation</t>
  </si>
  <si>
    <t>RUFUP wrong AB if quota fraction has more than 2 decimals</t>
  </si>
  <si>
    <t>HR-RU: RUAVE field SPPE2 destroy other payments by average</t>
  </si>
  <si>
    <t>HR-RU: RUOC1 two fields not transferring from OC0 -&gt; C1</t>
  </si>
  <si>
    <t>HR-RU: HRULSICK incorrectly process splitted payroll results</t>
  </si>
  <si>
    <t>HR-RU: Off-cycle abends with GETWA_NOT_ASSIGNED in RUAVE</t>
  </si>
  <si>
    <t>RPSSFDS0 report incorrectly calculates No. of employees</t>
  </si>
  <si>
    <t>RPCALCS0 Extra taxes not calculated correctly in WPBP splits</t>
  </si>
  <si>
    <t>CPF report : CPF employer's reference number</t>
  </si>
  <si>
    <t>Payroll Annual Display Report - Alternate currency</t>
  </si>
  <si>
    <t>Correction note to 1485245 : Cpf rate changes Sep 2010</t>
  </si>
  <si>
    <t>Correction to note 1485245</t>
  </si>
  <si>
    <t>Correction to note 1461066</t>
  </si>
  <si>
    <t>ESS IR8S : Refund claims on excess CPF</t>
  </si>
  <si>
    <t>Correction to CPF rates Sep 2010 ( PUblic sector only )</t>
  </si>
  <si>
    <t>Incorrect Tax Certificate Generated for Resident Yearly</t>
  </si>
  <si>
    <t>HTWLIM00: Cannot Generate Medium File Without LI Adjustment</t>
  </si>
  <si>
    <t>TW: NHI grades update 2010</t>
  </si>
  <si>
    <t>PCR TWSV incorrectly transfer /561 from LRT to RT</t>
  </si>
  <si>
    <t>USCLM:Inconsistency in payroll run for multiple wage entries</t>
  </si>
  <si>
    <t>CE: Wrong Employee Identification Number sent to BSI.</t>
  </si>
  <si>
    <t>US-PS: IT0697 entry help is not filtered by MOLGA.</t>
  </si>
  <si>
    <t>Functionality Reduction in the Payroll Reconciliation Report</t>
  </si>
  <si>
    <t>TR: Incorrect exempt HIRE Act amount in form 941</t>
  </si>
  <si>
    <t>TR: SUI ME MMREF - EE counting</t>
  </si>
  <si>
    <t>TR: Iowa SUI: New Layout Effective Quarter 2/2010 (Rel.600+)</t>
  </si>
  <si>
    <t>Employees with no wages in Oklahoma SUI file</t>
  </si>
  <si>
    <t>TAX: Payroll fails for employees with exemption indicator.</t>
  </si>
  <si>
    <t>Change of legal person (JUPER) in IT0399 (ISLR)</t>
  </si>
  <si>
    <t>Problems during profit share payment and termination</t>
  </si>
  <si>
    <t>Problems in the personal group for indenizations in HLACTRM0</t>
  </si>
  <si>
    <t>Medical Aid / IRP5 related issues after Note 1481819</t>
  </si>
  <si>
    <t>4030 Donation code - Payroll Giving</t>
  </si>
  <si>
    <t>CATS extractor: Reset delta event</t>
  </si>
  <si>
    <t>Prüfung Tabellennamen in RFC-Bausteinen</t>
  </si>
  <si>
    <t>Enhancement category for the Structure</t>
  </si>
  <si>
    <t>Checkman</t>
  </si>
  <si>
    <t>HCM-IDM Integration job failure: Dump in pernr selection</t>
  </si>
  <si>
    <t>DIMONA: Error loading Receipt file ( report RPUDIRB0 )</t>
  </si>
  <si>
    <t>No check on field Wagetype (P3270-ALLGA) in IT3270</t>
  </si>
  <si>
    <t>DeCava: Wage type details added to infotypes 3270 &amp; 3271</t>
  </si>
  <si>
    <t>Einlesereport Gemeindecodes (BFS) Schweiz</t>
  </si>
  <si>
    <t>Incorrect license plate no. and DEUEV key for country Korea</t>
  </si>
  <si>
    <t>Corrections for destroying absences (October 2010)</t>
  </si>
  <si>
    <t>IBAN/SEPA (France): Impossible to update Infotype 0272</t>
  </si>
  <si>
    <t>Invoice does not allow record cost for a P booked in an ET</t>
  </si>
  <si>
    <t>Decimal notation forces a dump in the TNM snapshot report</t>
  </si>
  <si>
    <t>Budget Infotype does not have field TECVM available</t>
  </si>
  <si>
    <t>Wrong amount displayed in section 'C' on form HR_TNMFR_2483</t>
  </si>
  <si>
    <t>2483: Wages of excluded CDD contract are summed up in G17</t>
  </si>
  <si>
    <t>Incorrect description for constant TNM_VCOC in V_T5F5P</t>
  </si>
  <si>
    <t>Edit description (IT1002) for a TN object</t>
  </si>
  <si>
    <t>IT0088-BEGDA can not be changed before the Actual Start Date</t>
  </si>
  <si>
    <t>LC2010: Layout of the Employment Insurance Forms Change</t>
  </si>
  <si>
    <t>IT0021-Invalid birth date on overview display</t>
  </si>
  <si>
    <t>Infotype 0021 NL: Error on overview Part 2</t>
  </si>
  <si>
    <t>T-53: Adobe form layout issues</t>
  </si>
  <si>
    <t>UI BADI for infotype 2001 (screen 2033)</t>
  </si>
  <si>
    <t>Wrong processing of currency with 3 decimals in the form T-2</t>
  </si>
  <si>
    <t>HR-RU: form 4FSS doesn't contain split parts 3 with NSP&amp;PZ</t>
  </si>
  <si>
    <t>Exception condition "INVALID_DYNPRONAME" raised</t>
  </si>
  <si>
    <t>Form P-4: incorrect working hours calculation</t>
  </si>
  <si>
    <t>Off-Cycle selection programs with the "Postselection" mode</t>
  </si>
  <si>
    <t>Empty tag &lt;Kolichestvo&gt; in the SZV-4-1 XML-form</t>
  </si>
  <si>
    <t>SZV-4-1, SZV-4-2 - Offcycle is not activated</t>
  </si>
  <si>
    <t>SZV-6-1, SZV-6-2 - XML correctional form</t>
  </si>
  <si>
    <t>T7RUP0:Error Occurs When Copying or Deleting Personn Subarea</t>
  </si>
  <si>
    <t>Needless reading of Basic Pay infotype in Personnel Orders</t>
  </si>
  <si>
    <t>Non-recurring payt: IBAN not saved in recipient data catalog</t>
  </si>
  <si>
    <t>Correction to the translation of PDF sample forms, part 2</t>
  </si>
  <si>
    <t>Error in log for payroll function DDC</t>
  </si>
  <si>
    <t>Missing secundary indexes T5NKD and T5NKS</t>
  </si>
  <si>
    <t>PE-PR</t>
  </si>
  <si>
    <t>Training and Event Preparation</t>
  </si>
  <si>
    <t>User hard coded in the TEM application</t>
  </si>
  <si>
    <t>PE-RPL</t>
  </si>
  <si>
    <t>Room Reservations Management</t>
  </si>
  <si>
    <t>PP30: Messages in room reservation contains only last name</t>
  </si>
  <si>
    <t>PP61: Long-term temporary assignments: HR name format</t>
  </si>
  <si>
    <t>PP6C: Target plan cannot be undone</t>
  </si>
  <si>
    <t>PP61: Structural authorizations in display mode</t>
  </si>
  <si>
    <t>PP6i: Incorrect organisational unit</t>
  </si>
  <si>
    <t>PP61: 2nd supplement to Note 1471287 (row for hourly bals.)</t>
  </si>
  <si>
    <t>PP61: Employee selection for time statement list</t>
  </si>
  <si>
    <t>Persönlicher Einsatzplan: Fehlende Stundenangaben</t>
  </si>
  <si>
    <t>Social Insurance retrocalculation for Part-Time employees</t>
  </si>
  <si>
    <t>HARCSIG0 is using selection variant hardcoded</t>
  </si>
  <si>
    <t>SICOSS - Incorrect maternity rem. after customizable fields</t>
  </si>
  <si>
    <t>Incorrect value for wage type /417 for dimissed employee</t>
  </si>
  <si>
    <t>General Resolution 651/2010 - SIJP Employee Withholding</t>
  </si>
  <si>
    <t>Incorrect ART amount when employee has /003 and /004</t>
  </si>
  <si>
    <t>SICOSS shows wrong review situations when more than 3 sit.</t>
  </si>
  <si>
    <t>HR-AR: ART Wage Type /AW5 gets doubled in some periods</t>
  </si>
  <si>
    <t>SICOSS V34 (part 2) - New field in temse layout</t>
  </si>
  <si>
    <t>SICOSS shows duplicate number of relatives</t>
  </si>
  <si>
    <t>SICOSS - Res. 36/09 reports different maternity leave</t>
  </si>
  <si>
    <t>HR-AR: Missing texts on Infoset /SAPQUERY/HR_AR_PA_01</t>
  </si>
  <si>
    <t>Ausgabe Buchungsdifferenz pro Person und Periode</t>
  </si>
  <si>
    <t>SZ während begünstigter Auslandstätigkeit und Jahressechstel</t>
  </si>
  <si>
    <t>PCALZ: SV Beitragszeitraum bei SZ ohne allgemeine BGL</t>
  </si>
  <si>
    <t>RPCBETA1: Freigrenze wird falsch angewendet</t>
  </si>
  <si>
    <t>Ermittlung der HBG und der rechnerischen SV-Tage</t>
  </si>
  <si>
    <t>Nachlieferung: Zahlungen bei Ende des Dienstverhältnisses</t>
  </si>
  <si>
    <t>RPCGWBA2: Datenträger wird nicht mehr erstellt</t>
  </si>
  <si>
    <t>RPTGENA0: Abweichender Beginn der Generierung per BADI</t>
  </si>
  <si>
    <t>AV-Staffelung bei UE und Wiedereintritt im Folgemonat</t>
  </si>
  <si>
    <t>Fehlende Umsetzung der SV-Beitragsgruppen bei Vorständen</t>
  </si>
  <si>
    <t>rptgena0 - Dump bei Aufruf ohne BAdI Implementierung</t>
  </si>
  <si>
    <t>AV-Staffelung Kündigungsentschädigung fehlerhaft</t>
  </si>
  <si>
    <t>Lohnzettel bei Kündigungsentschädigung und Vergleichszahlung</t>
  </si>
  <si>
    <t>PCALZ: Titel nicht gefüllt wenn Titel2 vorhanden ist</t>
  </si>
  <si>
    <t>Pendlerpauschale bei KUE, UE und Vergleich</t>
  </si>
  <si>
    <t>PCALZ: Kein Lohnzettel bei Wiedereintritt mit Status Ruhend</t>
  </si>
  <si>
    <t>Zahlung nach Austritt: Subschema ARV2 nicht ausgeliefert</t>
  </si>
  <si>
    <t>IT0527:  Vorschlagswerte für Urlaubskontingent</t>
  </si>
  <si>
    <t>Corrections provided for Term Org issue with IT0416.</t>
  </si>
  <si>
    <t>Incorrect DTPS and ETP payments in Term Org WorkBench.</t>
  </si>
  <si>
    <t>Function QLVPR incorrectly includes expired quotas.</t>
  </si>
  <si>
    <t>ABS Reporting model Wagetypes being incorrectly added to net</t>
  </si>
  <si>
    <t>RPLSPRQ0 ignores Address subtype maintained in feature ADDRS</t>
  </si>
  <si>
    <t>RPLSUMQ0/RPLSUMQ0_CE Output list is not aligned correctly</t>
  </si>
  <si>
    <t>Payment summary radio button text missing in selection scree</t>
  </si>
  <si>
    <t>Changed Notice date is ignored when same as Termination date</t>
  </si>
  <si>
    <t>Func AUTLS: LSL Tax splits not equal to total LSL amount.</t>
  </si>
  <si>
    <t>DIMONA: NEW version 2010 - Report corrections &amp; enhancements</t>
  </si>
  <si>
    <t>DeCava: Deletion of obsolete wage type /A0A</t>
  </si>
  <si>
    <t>Dimona: New version 2010 - Forecast Date &amp; Master data read</t>
  </si>
  <si>
    <t>DIMONA: Error loading Confirmation file ( report RPUDICB0 )</t>
  </si>
  <si>
    <t>Dimona: New version 2010 - Infotype 0735 extensions III</t>
  </si>
  <si>
    <t>DeCava: ER CI Cp. Contribution /3CB calculation (age &lt;59)</t>
  </si>
  <si>
    <t>Dimona: New version 2010 - Preparation &amp; Dimona OUT changes</t>
  </si>
  <si>
    <t>Payroll stops in case of split infotype 3270 records</t>
  </si>
  <si>
    <t>DeCavaA - Calculation rule B053 for worker code 879</t>
  </si>
  <si>
    <t>Dimona: New version 2010 - B2A &amp; Status Handler enhancements</t>
  </si>
  <si>
    <t>DeCava/DmfA: Fields not filled with not applicable values</t>
  </si>
  <si>
    <t>Dimona: New version 2010 - Employee with several declarats.</t>
  </si>
  <si>
    <t>Dimona: New version 2010 - CW36 corrections</t>
  </si>
  <si>
    <t>Dimona: New version 2010 - Changes release 2010/3 (01.Oct.)</t>
  </si>
  <si>
    <t>Dimona 2010: Generation &amp; B2A navigation corrections</t>
  </si>
  <si>
    <t>Dimona 2010: Notification - Changes release 2010/3</t>
  </si>
  <si>
    <t>DeCava: No min. contrbtn for new early retirees (non-profit)</t>
  </si>
  <si>
    <t>Dimona 2010: Upgrade report, RPCDIUB0, corrections</t>
  </si>
  <si>
    <t>Dimona 2010: Enhancements and corrections</t>
  </si>
  <si>
    <t>Dimona: New version 2010 - Infotype 0735 value help "Status"</t>
  </si>
  <si>
    <t>Infotype 3271 - Check on fields AGTYP/RECON not necessary</t>
  </si>
  <si>
    <t>No Employer Tax Subsidy calculated when no SVEVL available</t>
  </si>
  <si>
    <t>Dimona 2010: Generation order processing Update + In</t>
  </si>
  <si>
    <t>Dimona 2010: Preparation messages and B2A if several senders</t>
  </si>
  <si>
    <t>Dimona 2010: Preparation and Generation checks enhancements</t>
  </si>
  <si>
    <t>BFIRE: Wrong processing when leaving at the end of quarter</t>
  </si>
  <si>
    <t>Dimona: Preparation with duplicated detection corrections</t>
  </si>
  <si>
    <t>Dimona 2010: Upload of Receipt File from version 20102</t>
  </si>
  <si>
    <t>Dimona: Preparation and read of Dimona history</t>
  </si>
  <si>
    <t>Dimona 2010 - Preparation and double management</t>
  </si>
  <si>
    <t>DIRF and Tax Income Declaration enhancements</t>
  </si>
  <si>
    <t>BRGAR: Wrong IRRF basis on Christmas Bonus</t>
  </si>
  <si>
    <t>MANAD: Group SS08 is not being considered in the report</t>
  </si>
  <si>
    <t>Portaria 1510 - Wrong Data - ACJEF</t>
  </si>
  <si>
    <t>MANAD: Performance improve on file's download</t>
  </si>
  <si>
    <t>DARF: Company change with payment in the next month</t>
  </si>
  <si>
    <t>BRISS: Wrong provision retrocalculation</t>
  </si>
  <si>
    <t>Portaria 1510 - AFDT - Forming the correct pairs of workday</t>
  </si>
  <si>
    <t>TAX : Over deduction of CPP in some scenarios</t>
  </si>
  <si>
    <t>TAX : CPP/EI not frozen in some cross year retros</t>
  </si>
  <si>
    <t>TAX: YTD Values do not show up on Tax Calculations</t>
  </si>
  <si>
    <t>Pre-Delivery of customizing for YE10</t>
  </si>
  <si>
    <t>TAX : Changes to bonus calculation</t>
  </si>
  <si>
    <t>YE09: RL2 'Case A : régime non agréé' text shifted</t>
  </si>
  <si>
    <t>T4 Amendments generated unnecessarily</t>
  </si>
  <si>
    <t>PD7A: Incorrect number of total employees in report output</t>
  </si>
  <si>
    <t>Cancelled slips for Releve 1 and Releve 2</t>
  </si>
  <si>
    <t>Dely of central registry for family-rel. bonuses as of 2011</t>
  </si>
  <si>
    <t>QST: Delivery canton of Vaud EMP-ACI</t>
  </si>
  <si>
    <t>PY-CH: Reports RPLQSTC1 and RPLASCMC are obsolete</t>
  </si>
  <si>
    <t>PY-CL: Wage Type Statement report</t>
  </si>
  <si>
    <t>PY-CL: Medical leaves evaluation for Social Insurance</t>
  </si>
  <si>
    <t>PY-CL: Original amount in Legal Reports</t>
  </si>
  <si>
    <t>PY-CL: Renaming Heavy Work wage types</t>
  </si>
  <si>
    <t>PY-CL: Wrong entries for AFC in Previred report</t>
  </si>
  <si>
    <t>PY-CL: Field length changes in Previred report</t>
  </si>
  <si>
    <t>PY-CL: Wrong regimen for absent employees in Previred report</t>
  </si>
  <si>
    <t>PY-CL: Additional correction for note 1503253</t>
  </si>
  <si>
    <t>PY-CL: Wrong currency for Isapre contributions in HCLCPRVD0</t>
  </si>
  <si>
    <t>PY-CL: Wrong entries for Mutual in Previred report</t>
  </si>
  <si>
    <t>Dummy Note for CN EhP6 Project</t>
  </si>
  <si>
    <t>EHP6: HCM China payroll enhancement</t>
  </si>
  <si>
    <t>DUMMY Note for EHP 6 Project China Corporate Pension</t>
  </si>
  <si>
    <t>Missing Wage type /557 ( Cash Payment ) for CN</t>
  </si>
  <si>
    <t>Limitation Check for Severance Payment( DRQ 2987114/2010 )</t>
  </si>
  <si>
    <t>SI: Improvements and corrections to SHI comm. server</t>
  </si>
  <si>
    <t>SI: Correction: Sorting e-mail inbox</t>
  </si>
  <si>
    <t>LStB: Supplement to Note 1499653 - "Missing entries..."</t>
  </si>
  <si>
    <t>SI: Invalid Customizing - Correction for e-mail inbox</t>
  </si>
  <si>
    <t>Salary conversion of positive amounts only</t>
  </si>
  <si>
    <t>SI: Improvements/corrections for GKV communications server</t>
  </si>
  <si>
    <t>SI: Adjustments and improvements for SI communication</t>
  </si>
  <si>
    <t>DEUEV: New reports for creating files and displaying notifs.</t>
  </si>
  <si>
    <t>Using statutry hlth insrnce communctn srvr for DEUEV ntfctns</t>
  </si>
  <si>
    <t>Runtime error in report RPCDRHD0_RVNUM</t>
  </si>
  <si>
    <t>ELENA: DSVV notifications only if MVDS notif. is created</t>
  </si>
  <si>
    <t>ELENA: Reason 10 for start of employment and system switch</t>
  </si>
  <si>
    <t>ELENA: Corrections for reporting working time</t>
  </si>
  <si>
    <t>ELENA: No notification w/ reason 54 w/ total gross amnt zero</t>
  </si>
  <si>
    <t>ELENA: Special characters in DBAG and DBAB</t>
  </si>
  <si>
    <t>ELENA and immediate notifications: Deleting notifications</t>
  </si>
  <si>
    <t>ELENA: Error in log output of DSVV notifications</t>
  </si>
  <si>
    <t>ELENA: Notification with reason 54 w/o payments in DBEN</t>
  </si>
  <si>
    <t>ELENA: Missing SI contributions for disruptive events</t>
  </si>
  <si>
    <t>ELENA: New training directly after training</t>
  </si>
  <si>
    <t>ELENA: No period of notice or incorrect payroll period</t>
  </si>
  <si>
    <t>Infotype 0700: Validation for checkboxes</t>
  </si>
  <si>
    <t>ELENA: Error when absences overlap</t>
  </si>
  <si>
    <t>ELENA: No change to working time in case of semiretirement</t>
  </si>
  <si>
    <t>ELENA: No reversal when changing name at birth</t>
  </si>
  <si>
    <t>ELENA: No DBAS after a leaving (reason 54)</t>
  </si>
  <si>
    <t>ELENA: No termintn date for trmintn Law or Collctve Agreemnt</t>
  </si>
  <si>
    <t>Cumulation missing for total gross amount and net amount</t>
  </si>
  <si>
    <t>Garnishment by princip. of origin: Loans displayed as repaid</t>
  </si>
  <si>
    <t>Enhancement: Check of membership no. of accident ins. instit</t>
  </si>
  <si>
    <t>SI reporting: Corrections for distributed reporting</t>
  </si>
  <si>
    <t>Concurrent employment for persons w/ private hlth insurance</t>
  </si>
  <si>
    <t>Error for early retiree with professionals pension scheme</t>
  </si>
  <si>
    <t>Correction: Separate contribution statements for MMEI</t>
  </si>
  <si>
    <t>RPCKULD3: RHC payroll list: Display error in header data</t>
  </si>
  <si>
    <t>Semiretirement Simulation: Input help for personnel number</t>
  </si>
  <si>
    <t>Elster II - adjustments RPUTXED0 and RPUTXCD0 October 2010</t>
  </si>
  <si>
    <t>ELSTER II - further adjustments to RPUTXED0 and RPUTXCD0</t>
  </si>
  <si>
    <t>ETStmt: Change 09 2010</t>
  </si>
  <si>
    <t>Elster II - RPUTXCD0, reading response file fails</t>
  </si>
  <si>
    <t>Adjustment of report RPIJSTD0 for fiscal year chg. 2010/2011</t>
  </si>
  <si>
    <t>Elster II - Query for tax ID: Address data</t>
  </si>
  <si>
    <t>Elster II - adjustments RPUTXED0 and RPUTXCD0 November 2010</t>
  </si>
  <si>
    <t>Ausgleichsbetrag MuschG § 11: Vorbereitungshinweis</t>
  </si>
  <si>
    <t>RPIPSR00: Incorr. batch input sess. for public sect empl. II</t>
  </si>
  <si>
    <t>RPSPSTD0: Signature field EF17, public sector employee</t>
  </si>
  <si>
    <t>ZfA: "Child unknown" due to spec. characters in master data</t>
  </si>
  <si>
    <t>GOP: Garnishment information and repayment processing</t>
  </si>
  <si>
    <t>ZfA: ZK01 not assigned despite success message</t>
  </si>
  <si>
    <t>RPCRSVD0 - Error during simulation payroll</t>
  </si>
  <si>
    <t>RPSVEOD0: Incorrect signature in EF34, EF35 w/ retirement</t>
  </si>
  <si>
    <t>Public Services regulatn, state of Bavaria: Phase 2, part 2</t>
  </si>
  <si>
    <t>Maintenance payment: Various errors</t>
  </si>
  <si>
    <t>Fehler bei Dynamisierung Kürzung § 57 BeamtVG und Urteil</t>
  </si>
  <si>
    <t>Specl pymnt Bavaria: Upper limit section 54 paragraph 4 (4)</t>
  </si>
  <si>
    <t>Pension equalization payment 2010 (II)</t>
  </si>
  <si>
    <t>Termination in notice creatn: Overflow of sequence number(3)</t>
  </si>
  <si>
    <t>VBL: Exempt scientists and inflow after employee has left</t>
  </si>
  <si>
    <t>Unnecessary warning message for insurance feature 49</t>
  </si>
  <si>
    <t>Dump when creating IT51 for VBL with unknown birth date</t>
  </si>
  <si>
    <t>Infotype 21 is missing for birth of child</t>
  </si>
  <si>
    <t>AFI: EXC Segment incorrectly displayed through ALV</t>
  </si>
  <si>
    <t>TC2 Abreviado: Output is not generated with TemSe file</t>
  </si>
  <si>
    <t>TC: Complementary declaration does not report active days</t>
  </si>
  <si>
    <t>TC: Not compensating complementaries</t>
  </si>
  <si>
    <t>Artists: Vnds with collision not working properly</t>
  </si>
  <si>
    <t>TC: Incorrect negative complementary reporting bonification</t>
  </si>
  <si>
    <t>IRPF: Payroll rejection when processing non-residents taxes</t>
  </si>
  <si>
    <t>Problems in prorate calculation of non-recurring payments</t>
  </si>
  <si>
    <t>RPCTC0E0 reporting bonifications with settlement class 01</t>
  </si>
  <si>
    <t>Certific@2: Error for proc. employees on return XML from ERE</t>
  </si>
  <si>
    <t>TC: Incorrect segment for canarian bonification</t>
  </si>
  <si>
    <t>TC: Incorrect segment (ETDTT91) in a negative complementary</t>
  </si>
  <si>
    <t>Retroactivity issues with notes 1457333 and 1440116</t>
  </si>
  <si>
    <t>Delt@ RATSB: Invalid XML file for blocked employee</t>
  </si>
  <si>
    <t>TC: Incorrect compensation with canarian bonification</t>
  </si>
  <si>
    <t>Contract Printing: INEM Form HR_ES_COINEM_PE_210 issues</t>
  </si>
  <si>
    <t>AFI: Fields 'Replacements and substitutions' not suggested.</t>
  </si>
  <si>
    <t>Certific@2: Length for surname greater than 20 characters</t>
  </si>
  <si>
    <t>RDL 2010/10: RED 2010/07 and RED 2010/09</t>
  </si>
  <si>
    <t>New BAdI for merge bank transfers</t>
  </si>
  <si>
    <t>Change of FERED for the same bonification method</t>
  </si>
  <si>
    <t>TC: Incorrect number of worked days in case of maternity</t>
  </si>
  <si>
    <t>FDI: Incorrect number of worked days in case of VND</t>
  </si>
  <si>
    <t>TC: Incorrect number of days in complementaries</t>
  </si>
  <si>
    <t>PY-ES: Documentation improvements for Payroll Spain</t>
  </si>
  <si>
    <t>Note 1404086 generating problems - Strike and bonifications</t>
  </si>
  <si>
    <t>AFI: RPCAFIE0 rejecting employee</t>
  </si>
  <si>
    <t>TC: Error in retroactive calculation of bonification</t>
  </si>
  <si>
    <t>CALC: Error in quota calculation of training contract</t>
  </si>
  <si>
    <t>FRA: FAB segment with ASA movement getting wrong date</t>
  </si>
  <si>
    <t>CALC: Incorrect basis for daily employee with 31st day split</t>
  </si>
  <si>
    <t>RPCTC0E0 performance problems with ERE after note 1484796</t>
  </si>
  <si>
    <t>HFILCST0 does not recognize Implemented BADI</t>
  </si>
  <si>
    <t>HFILTUM0 Off cycle payroll results processed more than once</t>
  </si>
  <si>
    <t>Payroll creates split in ST table for Off-Cycle Workbench</t>
  </si>
  <si>
    <t>Annual Tax Statement legal changes 2010</t>
  </si>
  <si>
    <t>Error on /269 and /B69 due to SV splits in retro runs</t>
  </si>
  <si>
    <t>DADS-U contrôle: redesign</t>
  </si>
  <si>
    <t>DADS-U version V08R10 (including FAQ)</t>
  </si>
  <si>
    <t>FR-PY: RPLAASF1 - Retroactive cancellation of a wagetype II</t>
  </si>
  <si>
    <t>Changes in the IJSS calculation as of December 1, 2010</t>
  </si>
  <si>
    <t>S45 'portabilité' contributions in the last active period</t>
  </si>
  <si>
    <t>Update of form HR_FR_AAS_2000B (ASSEDIC declaration)</t>
  </si>
  <si>
    <t>New T5F1H operation to store in the contribution rate field</t>
  </si>
  <si>
    <t>RPLSA4F0: Error with retro-payroll and delimit. (version 2)</t>
  </si>
  <si>
    <t>DADS-U Prévoyance: Additional fields in feature "FPREV"</t>
  </si>
  <si>
    <t>RPLASAF3 : Wrong net amount for premiums contributions/CRDS</t>
  </si>
  <si>
    <t>Short dump BCD_BADDATA for isolated amounts</t>
  </si>
  <si>
    <t>DUCS EDI: COT 131 Formating</t>
  </si>
  <si>
    <t>Typographical error in text symbol S03 of program RPLASMF3</t>
  </si>
  <si>
    <t>Short dump BCD_BADDATA for isolated amounts (2)</t>
  </si>
  <si>
    <t>Source code quality improvements in HR_P06I_START_PROG</t>
  </si>
  <si>
    <t>Deleting Obsolete Structure and Function Groups</t>
  </si>
  <si>
    <t>AWE check error: AVERAGE table contains no MAWE entry</t>
  </si>
  <si>
    <t>Incorrect OxP generation for Bank Holiday</t>
  </si>
  <si>
    <t>Correction to Note 1460536</t>
  </si>
  <si>
    <t>TPS : Incorrect excluded days in RPUTPSG0</t>
  </si>
  <si>
    <t>National Fraud Initiative (NFI)</t>
  </si>
  <si>
    <t>IRMark is incorrect</t>
  </si>
  <si>
    <t>P45:issue with Data Take On records and negative tax</t>
  </si>
  <si>
    <t>Incorrect Arrears during Retro of Benefits HK</t>
  </si>
  <si>
    <t>Enable MPF Proration with Contribution Base PCL04 = 6</t>
  </si>
  <si>
    <t>Annual Tax Report:Values missing in 'Nomor Urut' of eSPT-ALV</t>
  </si>
  <si>
    <t>Ee VPF contribution is getting doubled on payroll execution</t>
  </si>
  <si>
    <t>HINCF160:Form 16 results are not displayed consistently</t>
  </si>
  <si>
    <t>TAX projection related changes</t>
  </si>
  <si>
    <t>HR-IT: ICPRV - Corrections</t>
  </si>
  <si>
    <t>HR-IT TFR 2010</t>
  </si>
  <si>
    <t>RPCEADJ0 &amp; RPCPRTJ0:Non-Resident Check Logic Change</t>
  </si>
  <si>
    <t>HI specific Wage Types Not Generated Correctly</t>
  </si>
  <si>
    <t>RPCNRPJ0 PDF Format Incorrect</t>
  </si>
  <si>
    <t>PRCEADJ0: Display for Annual Income exceeds 20 Million</t>
  </si>
  <si>
    <t>Switch checks for EHP4 new features for Japan</t>
  </si>
  <si>
    <t>Report HKRCPTX0: Incorrect Amount Output</t>
  </si>
  <si>
    <t>Korea YEA 2010 Mid-Year Legal Change - Additional Phase</t>
  </si>
  <si>
    <t>No Value Output in Split Fields on 2010 YEA Receipt</t>
  </si>
  <si>
    <t>HR-MX: SAPSQL_ARRAY_INSERT_DUPREC on INSERT_IT0372</t>
  </si>
  <si>
    <t>HMXCSARPBS: WKDAY incorrect for RCV Extemporaneo file</t>
  </si>
  <si>
    <t>Reversal Payments MX - Documentation</t>
  </si>
  <si>
    <t>HR-MX: Temse File for re-hired employees in SUA</t>
  </si>
  <si>
    <t>HR-MX: MXTRM and retrocalculation protection.</t>
  </si>
  <si>
    <t>MY Specific PDF forms</t>
  </si>
  <si>
    <t>TP1 and TP3 form: Incorrect amounts and alignment issues</t>
  </si>
  <si>
    <t>IT0547:Perquisites/Gifts reporting in EA form Section G</t>
  </si>
  <si>
    <t>Infotype 0021 - Rel/Child dropdown for screen 2414</t>
  </si>
  <si>
    <t>Borang E:Incorrect employee count on page 2 section A</t>
  </si>
  <si>
    <t>P0897: Settlement of more than 12 goals improved</t>
  </si>
  <si>
    <t>Customizing to start the new December Half tax calculation</t>
  </si>
  <si>
    <t>Reimbursement - changes for Reimbursement Form NAV 08-30.01</t>
  </si>
  <si>
    <t>Norway Reimbursement - Materntiy absence and retro</t>
  </si>
  <si>
    <t>Maintenance View V_T5VPC - Disable delete and insert</t>
  </si>
  <si>
    <t>SPK Report: Issues September 2010</t>
  </si>
  <si>
    <t>SPK Delete Report - Issue with deleting one Employee</t>
  </si>
  <si>
    <t>Total of ESCT deductions does not match with payroll results</t>
  </si>
  <si>
    <t>WT/C07 having incorrect value on using multidecimal currency</t>
  </si>
  <si>
    <t>Legal Change 2010-11 : TXLOW decreased from 12.5% to 10.5%</t>
  </si>
  <si>
    <t>EMS (IR348) not reporting employee in exception report</t>
  </si>
  <si>
    <t>Leave Accrual Calculations - Seniority not considered</t>
  </si>
  <si>
    <t>HNZCTR10 not creating IT0015 record for public holiday</t>
  </si>
  <si>
    <t>Accrual on termination is getting calculated incorrectly</t>
  </si>
  <si>
    <t>PY-PH: SSS EDI report (Tax group change in previous periods)</t>
  </si>
  <si>
    <t>SIADAP: Bulk Processing in Homologation Status</t>
  </si>
  <si>
    <t>HCM PT-PS: Additional roles for SIADAP appraisal process</t>
  </si>
  <si>
    <t>SIADAP: Received points may be negative</t>
  </si>
  <si>
    <t>SIADAP: Different values per companies in feature PTSIU</t>
  </si>
  <si>
    <t>Generic customizing table for PD Infotypes</t>
  </si>
  <si>
    <t>SIADAP: Issues in Appraisals Generation report log</t>
  </si>
  <si>
    <t>SIADAP: Points not saved in Infotype 3218</t>
  </si>
  <si>
    <t>PT-PS: SIADAP documentation for additional roles</t>
  </si>
  <si>
    <t>SIADAP: Dates validation in SIADAP process</t>
  </si>
  <si>
    <t>SIADAP: BAdI HR_PT_SIADAP_SETS_PS in Bulk Processing report</t>
  </si>
  <si>
    <t>SIADAP: End of support for BSP pages Print and Mission</t>
  </si>
  <si>
    <t>HR-RU: CL_HRPAYRU_PLTAXRUN raises 'No Payroll' if 0121 exist</t>
  </si>
  <si>
    <t>HR-RU: Error in payroll rule RUK1 after note 1495811</t>
  </si>
  <si>
    <t>HR-RU:some DAQ fields are not fulfilled after note 1489280</t>
  </si>
  <si>
    <t>HR-RU: No average base adjustment after Off-cycle run</t>
  </si>
  <si>
    <t>HR-RU: Regional and Northern percent for absence payments</t>
  </si>
  <si>
    <t>HRUU0267: Off-cycle payroll payment date in backgound mode</t>
  </si>
  <si>
    <t>HR-RU: Calculate average adjustment in off-cycle</t>
  </si>
  <si>
    <t>Processing of Payroll Data with different Period Parameter</t>
  </si>
  <si>
    <t>RPCKU1S0 Item 60 not reported sometimes</t>
  </si>
  <si>
    <t>RPTOVTS0 Check on Restored hours based on Overtime hours</t>
  </si>
  <si>
    <t>ATS: Determine the highest other benefit for item 65</t>
  </si>
  <si>
    <t>One-off tax not calculated correctly.</t>
  </si>
  <si>
    <t>PY-SE-PS</t>
  </si>
  <si>
    <t>Public sector (Sweden)</t>
  </si>
  <si>
    <t>RPCKU1S0_CE: Creation of new include for form routines</t>
  </si>
  <si>
    <t>SG Specific PDF forms for ESS Renovation</t>
  </si>
  <si>
    <t>SG Payroll : CPF shortfall in termination month</t>
  </si>
  <si>
    <t>IR8A : Appendix 8B for Additional ir8a form</t>
  </si>
  <si>
    <t>CPF rates Sep 2010 : Private sector (full rate type)</t>
  </si>
  <si>
    <t>IR8A : re-print authorization, IR8S : NPVP+NPC not reported</t>
  </si>
  <si>
    <t>IR8A/IR8S/IR21 : Length of email of authorized person</t>
  </si>
  <si>
    <t>PY-SG: Legal change for constant LIMVC w.e.f. 01.01.2010</t>
  </si>
  <si>
    <t>SG Payroll : Correction to Note 1499540</t>
  </si>
  <si>
    <t>CPF rates Sep 2010 : Public sector (full rate type)</t>
  </si>
  <si>
    <t>SG:PS: AW medisave factor incorrect incase of offcycle run</t>
  </si>
  <si>
    <t>PY:SG-PS: Medisave OW Base re-calculation.</t>
  </si>
  <si>
    <t>Signature space in 50 Bis(Window:'SIGN') form increased</t>
  </si>
  <si>
    <t>Tax year incorrect in Form PIT91 when logon language is Thai</t>
  </si>
  <si>
    <t>Alignment corrections of Form ITF1A</t>
  </si>
  <si>
    <t>Correction of Social Security Summary form</t>
  </si>
  <si>
    <t>Alignment corrections of Form PIT91</t>
  </si>
  <si>
    <t>Corrections of Social Security Detail Form</t>
  </si>
  <si>
    <t>Alignment corrections of Form ITF1</t>
  </si>
  <si>
    <t>NHI could not be generated when valid from next month</t>
  </si>
  <si>
    <t>BSI TaxFactory 9.0 - Phase I</t>
  </si>
  <si>
    <t>BSI 8.0 Cyclic P: Year-to-Date Gross Wages</t>
  </si>
  <si>
    <t>GRN: Wrong Garn. calculation during multiple pernr process.</t>
  </si>
  <si>
    <t>PY-US-TR: Correction of total deposits in form 941</t>
  </si>
  <si>
    <t>TR: SUI Arkansas Out of State wages are not correct</t>
  </si>
  <si>
    <t>TR: Total amount for Schedule B is not correct</t>
  </si>
  <si>
    <t>TR: Employee Wages Report New York prints zero wages</t>
  </si>
  <si>
    <t>Year End 2010 Phase I for U.S. Tax Reporter</t>
  </si>
  <si>
    <t>Q3/2010: Functional changes for U.S. Tax Reporter.</t>
  </si>
  <si>
    <t>PY-US-TR: Negative unemployment taxable wages for</t>
  </si>
  <si>
    <t>PY-US-TR: Incorrect Transit District wages on SUI OR PDF</t>
  </si>
  <si>
    <t>PY-US-TR: SUI IL PDF form missing Total Wages on line 11</t>
  </si>
  <si>
    <t>TAX: Taxable wages double in retroactive payroll run.</t>
  </si>
  <si>
    <t>TAX: Credit for tax type 82 in South Dakota</t>
  </si>
  <si>
    <t>Status Handler &amp; TemSe Viewer Corrections</t>
  </si>
  <si>
    <t>2011 Medical Aid Calculation for Employee over 65 years Age</t>
  </si>
  <si>
    <t>IRP5 - Validation / Reprint / Print form text / ITS 0009</t>
  </si>
  <si>
    <t>4030 Donations Enhancement and IRP5 enhancement</t>
  </si>
  <si>
    <t>LABEL for IRP5 download (Electronic File)</t>
  </si>
  <si>
    <t>SAPKE60427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</si>
</sst>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5450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RowHeight="15"/>
  <cols>
    <col min="1" max="1" width="13.140625" customWidth="1"/>
    <col min="2" max="2" width="15.28515625" bestFit="1" customWidth="1"/>
    <col min="3" max="3" width="43.85546875" bestFit="1" customWidth="1"/>
    <col min="4" max="4" width="12.85546875" bestFit="1" customWidth="1"/>
    <col min="5" max="5" width="12.42578125" bestFit="1" customWidth="1"/>
    <col min="6" max="6" width="65.28515625" bestFit="1" customWidth="1"/>
  </cols>
  <sheetData>
    <row r="1" spans="1:6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>
      <c r="A2" t="s">
        <v>547</v>
      </c>
      <c r="B2" t="s">
        <v>5</v>
      </c>
      <c r="C2" t="s">
        <v>6</v>
      </c>
    </row>
    <row r="3" spans="1:6">
      <c r="A3" t="s">
        <v>547</v>
      </c>
      <c r="B3" t="s">
        <v>7</v>
      </c>
      <c r="C3" t="s">
        <v>8</v>
      </c>
    </row>
    <row r="4" spans="1:6">
      <c r="A4" t="s">
        <v>547</v>
      </c>
      <c r="B4" t="s">
        <v>9</v>
      </c>
      <c r="C4" t="s">
        <v>10</v>
      </c>
      <c r="D4" t="str">
        <f>HYPERLINK("http://service.sap.com/sap/support/notes/1356526","1356526")</f>
        <v>1356526</v>
      </c>
      <c r="F4" t="s">
        <v>11</v>
      </c>
    </row>
    <row r="5" spans="1:6">
      <c r="A5" t="s">
        <v>547</v>
      </c>
      <c r="B5" t="s">
        <v>12</v>
      </c>
      <c r="C5" t="s">
        <v>13</v>
      </c>
    </row>
    <row r="6" spans="1:6">
      <c r="A6" t="s">
        <v>547</v>
      </c>
      <c r="B6" t="s">
        <v>14</v>
      </c>
      <c r="C6" t="s">
        <v>15</v>
      </c>
    </row>
    <row r="7" spans="1:6">
      <c r="A7" t="s">
        <v>547</v>
      </c>
      <c r="B7" t="s">
        <v>16</v>
      </c>
      <c r="C7" t="s">
        <v>17</v>
      </c>
      <c r="D7" t="str">
        <f>HYPERLINK("http://service.sap.com/sap/support/notes/1390887","1390887")</f>
        <v>1390887</v>
      </c>
      <c r="F7" t="s">
        <v>18</v>
      </c>
    </row>
    <row r="8" spans="1:6">
      <c r="A8" t="s">
        <v>547</v>
      </c>
      <c r="B8" t="s">
        <v>19</v>
      </c>
      <c r="C8" t="s">
        <v>20</v>
      </c>
    </row>
    <row r="9" spans="1:6">
      <c r="A9" t="s">
        <v>547</v>
      </c>
      <c r="B9" t="s">
        <v>21</v>
      </c>
      <c r="C9" t="s">
        <v>22</v>
      </c>
    </row>
    <row r="10" spans="1:6">
      <c r="A10" t="s">
        <v>547</v>
      </c>
      <c r="B10" t="s">
        <v>23</v>
      </c>
      <c r="C10" t="s">
        <v>24</v>
      </c>
    </row>
    <row r="11" spans="1:6">
      <c r="A11" t="s">
        <v>547</v>
      </c>
      <c r="B11" t="s">
        <v>25</v>
      </c>
      <c r="C11" t="s">
        <v>26</v>
      </c>
      <c r="D11" t="str">
        <f>HYPERLINK("http://service.sap.com/sap/support/notes/799161","799161")</f>
        <v>799161</v>
      </c>
      <c r="F11" t="s">
        <v>27</v>
      </c>
    </row>
    <row r="12" spans="1:6">
      <c r="A12" t="s">
        <v>547</v>
      </c>
      <c r="B12" t="s">
        <v>25</v>
      </c>
      <c r="C12" t="s">
        <v>26</v>
      </c>
      <c r="D12" t="str">
        <f>HYPERLINK("http://service.sap.com/sap/support/notes/1396722","1396722")</f>
        <v>1396722</v>
      </c>
      <c r="F12" t="s">
        <v>28</v>
      </c>
    </row>
    <row r="13" spans="1:6">
      <c r="A13" t="s">
        <v>547</v>
      </c>
      <c r="B13" t="s">
        <v>29</v>
      </c>
      <c r="C13" t="s">
        <v>30</v>
      </c>
    </row>
    <row r="14" spans="1:6">
      <c r="A14" t="s">
        <v>547</v>
      </c>
      <c r="B14" t="s">
        <v>31</v>
      </c>
      <c r="C14" t="s">
        <v>32</v>
      </c>
    </row>
    <row r="15" spans="1:6">
      <c r="A15" t="s">
        <v>547</v>
      </c>
      <c r="B15" t="s">
        <v>33</v>
      </c>
      <c r="C15" t="s">
        <v>34</v>
      </c>
      <c r="D15" t="str">
        <f>HYPERLINK("http://service.sap.com/sap/support/notes/1284280","1284280")</f>
        <v>1284280</v>
      </c>
      <c r="F15" t="s">
        <v>35</v>
      </c>
    </row>
    <row r="16" spans="1:6">
      <c r="A16" t="s">
        <v>547</v>
      </c>
      <c r="B16" t="s">
        <v>33</v>
      </c>
      <c r="C16" t="s">
        <v>34</v>
      </c>
      <c r="D16" t="str">
        <f>HYPERLINK("http://service.sap.com/sap/support/notes/1391970","1391970")</f>
        <v>1391970</v>
      </c>
      <c r="F16" t="s">
        <v>36</v>
      </c>
    </row>
    <row r="17" spans="1:6">
      <c r="A17" t="s">
        <v>547</v>
      </c>
      <c r="B17" t="s">
        <v>37</v>
      </c>
      <c r="C17" t="s">
        <v>17</v>
      </c>
    </row>
    <row r="18" spans="1:6">
      <c r="A18" t="s">
        <v>547</v>
      </c>
      <c r="B18" t="s">
        <v>38</v>
      </c>
      <c r="C18" t="s">
        <v>39</v>
      </c>
      <c r="D18" t="str">
        <f>HYPERLINK("http://service.sap.com/sap/support/notes/1395154","1395154")</f>
        <v>1395154</v>
      </c>
      <c r="F18" t="s">
        <v>40</v>
      </c>
    </row>
    <row r="19" spans="1:6">
      <c r="A19" t="s">
        <v>547</v>
      </c>
      <c r="B19" t="s">
        <v>41</v>
      </c>
      <c r="C19" t="s">
        <v>42</v>
      </c>
      <c r="D19" t="str">
        <f>HYPERLINK("http://service.sap.com/sap/support/notes/1398014","1398014")</f>
        <v>1398014</v>
      </c>
      <c r="F19" t="s">
        <v>43</v>
      </c>
    </row>
    <row r="20" spans="1:6">
      <c r="A20" t="s">
        <v>547</v>
      </c>
      <c r="B20" t="s">
        <v>44</v>
      </c>
      <c r="C20" t="s">
        <v>45</v>
      </c>
    </row>
    <row r="21" spans="1:6">
      <c r="A21" t="s">
        <v>547</v>
      </c>
      <c r="B21" t="s">
        <v>46</v>
      </c>
      <c r="C21" t="s">
        <v>47</v>
      </c>
      <c r="D21" t="str">
        <f>HYPERLINK("http://service.sap.com/sap/support/notes/1041427","1041427")</f>
        <v>1041427</v>
      </c>
      <c r="F21" t="s">
        <v>48</v>
      </c>
    </row>
    <row r="22" spans="1:6">
      <c r="A22" t="s">
        <v>547</v>
      </c>
      <c r="B22" t="s">
        <v>49</v>
      </c>
      <c r="C22" t="s">
        <v>50</v>
      </c>
      <c r="D22" t="str">
        <f>HYPERLINK("http://service.sap.com/sap/support/notes/1362517","1362517")</f>
        <v>1362517</v>
      </c>
      <c r="F22" t="s">
        <v>51</v>
      </c>
    </row>
    <row r="23" spans="1:6">
      <c r="A23" t="s">
        <v>547</v>
      </c>
      <c r="B23" t="s">
        <v>49</v>
      </c>
      <c r="C23" t="s">
        <v>50</v>
      </c>
      <c r="D23" t="str">
        <f>HYPERLINK("http://service.sap.com/sap/support/notes/1370429","1370429")</f>
        <v>1370429</v>
      </c>
      <c r="F23" t="s">
        <v>52</v>
      </c>
    </row>
    <row r="24" spans="1:6">
      <c r="A24" t="s">
        <v>547</v>
      </c>
      <c r="B24" t="s">
        <v>49</v>
      </c>
      <c r="C24" t="s">
        <v>50</v>
      </c>
      <c r="D24" t="str">
        <f>HYPERLINK("http://service.sap.com/sap/support/notes/1387762","1387762")</f>
        <v>1387762</v>
      </c>
      <c r="F24" t="s">
        <v>53</v>
      </c>
    </row>
    <row r="25" spans="1:6">
      <c r="A25" t="s">
        <v>547</v>
      </c>
      <c r="B25" t="s">
        <v>49</v>
      </c>
      <c r="C25" t="s">
        <v>50</v>
      </c>
      <c r="D25" t="str">
        <f>HYPERLINK("http://service.sap.com/sap/support/notes/1388725","1388725")</f>
        <v>1388725</v>
      </c>
      <c r="F25" t="s">
        <v>54</v>
      </c>
    </row>
    <row r="26" spans="1:6">
      <c r="A26" t="s">
        <v>547</v>
      </c>
      <c r="B26" t="s">
        <v>49</v>
      </c>
      <c r="C26" t="s">
        <v>50</v>
      </c>
      <c r="D26" t="str">
        <f>HYPERLINK("http://service.sap.com/sap/support/notes/1393129","1393129")</f>
        <v>1393129</v>
      </c>
      <c r="F26" t="s">
        <v>55</v>
      </c>
    </row>
    <row r="27" spans="1:6">
      <c r="A27" t="s">
        <v>547</v>
      </c>
      <c r="B27" t="s">
        <v>49</v>
      </c>
      <c r="C27" t="s">
        <v>50</v>
      </c>
      <c r="D27" t="str">
        <f>HYPERLINK("http://service.sap.com/sap/support/notes/1393150","1393150")</f>
        <v>1393150</v>
      </c>
      <c r="F27" t="s">
        <v>56</v>
      </c>
    </row>
    <row r="28" spans="1:6">
      <c r="A28" t="s">
        <v>547</v>
      </c>
      <c r="B28" t="s">
        <v>49</v>
      </c>
      <c r="C28" t="s">
        <v>50</v>
      </c>
      <c r="D28" t="str">
        <f>HYPERLINK("http://service.sap.com/sap/support/notes/1393758","1393758")</f>
        <v>1393758</v>
      </c>
      <c r="F28" t="s">
        <v>57</v>
      </c>
    </row>
    <row r="29" spans="1:6">
      <c r="A29" t="s">
        <v>547</v>
      </c>
      <c r="B29" t="s">
        <v>49</v>
      </c>
      <c r="C29" t="s">
        <v>50</v>
      </c>
      <c r="D29" t="str">
        <f>HYPERLINK("http://service.sap.com/sap/support/notes/1394948","1394948")</f>
        <v>1394948</v>
      </c>
      <c r="F29" t="s">
        <v>58</v>
      </c>
    </row>
    <row r="30" spans="1:6">
      <c r="A30" t="s">
        <v>547</v>
      </c>
      <c r="B30" t="s">
        <v>59</v>
      </c>
      <c r="C30" t="s">
        <v>60</v>
      </c>
      <c r="D30" t="str">
        <f>HYPERLINK("http://service.sap.com/sap/support/notes/1390986","1390986")</f>
        <v>1390986</v>
      </c>
      <c r="F30" t="s">
        <v>61</v>
      </c>
    </row>
    <row r="31" spans="1:6">
      <c r="A31" t="s">
        <v>547</v>
      </c>
      <c r="B31" t="s">
        <v>62</v>
      </c>
      <c r="C31" t="s">
        <v>63</v>
      </c>
      <c r="D31" t="str">
        <f>HYPERLINK("http://service.sap.com/sap/support/notes/1389356","1389356")</f>
        <v>1389356</v>
      </c>
      <c r="F31" t="s">
        <v>64</v>
      </c>
    </row>
    <row r="32" spans="1:6">
      <c r="A32" t="s">
        <v>547</v>
      </c>
      <c r="B32" t="s">
        <v>65</v>
      </c>
      <c r="C32" t="s">
        <v>66</v>
      </c>
      <c r="D32" t="str">
        <f>HYPERLINK("http://service.sap.com/sap/support/notes/1394762","1394762")</f>
        <v>1394762</v>
      </c>
      <c r="F32" t="s">
        <v>67</v>
      </c>
    </row>
    <row r="33" spans="1:6">
      <c r="A33" t="s">
        <v>547</v>
      </c>
      <c r="B33" t="s">
        <v>68</v>
      </c>
      <c r="C33" t="s">
        <v>69</v>
      </c>
      <c r="D33" t="str">
        <f>HYPERLINK("http://service.sap.com/sap/support/notes/1395086","1395086")</f>
        <v>1395086</v>
      </c>
      <c r="F33" t="s">
        <v>70</v>
      </c>
    </row>
    <row r="34" spans="1:6">
      <c r="A34" t="s">
        <v>547</v>
      </c>
      <c r="B34" t="s">
        <v>71</v>
      </c>
      <c r="C34" t="s">
        <v>72</v>
      </c>
      <c r="D34" t="str">
        <f>HYPERLINK("http://service.sap.com/sap/support/notes/1391463","1391463")</f>
        <v>1391463</v>
      </c>
      <c r="F34" t="s">
        <v>73</v>
      </c>
    </row>
    <row r="35" spans="1:6">
      <c r="A35" t="s">
        <v>547</v>
      </c>
      <c r="B35" t="s">
        <v>71</v>
      </c>
      <c r="C35" t="s">
        <v>72</v>
      </c>
      <c r="D35" t="str">
        <f>HYPERLINK("http://service.sap.com/sap/support/notes/1393856","1393856")</f>
        <v>1393856</v>
      </c>
      <c r="F35" t="s">
        <v>74</v>
      </c>
    </row>
    <row r="36" spans="1:6">
      <c r="A36" t="s">
        <v>547</v>
      </c>
      <c r="B36" t="s">
        <v>75</v>
      </c>
      <c r="C36" t="s">
        <v>76</v>
      </c>
      <c r="D36" t="str">
        <f>HYPERLINK("http://service.sap.com/sap/support/notes/700094","700094")</f>
        <v>700094</v>
      </c>
      <c r="F36" t="s">
        <v>77</v>
      </c>
    </row>
    <row r="37" spans="1:6">
      <c r="A37" t="s">
        <v>547</v>
      </c>
      <c r="B37" t="s">
        <v>75</v>
      </c>
      <c r="C37" t="s">
        <v>76</v>
      </c>
      <c r="D37" t="str">
        <f>HYPERLINK("http://service.sap.com/sap/support/notes/1399189","1399189")</f>
        <v>1399189</v>
      </c>
      <c r="F37" t="s">
        <v>78</v>
      </c>
    </row>
    <row r="38" spans="1:6">
      <c r="A38" t="s">
        <v>547</v>
      </c>
      <c r="B38" t="s">
        <v>79</v>
      </c>
      <c r="C38" t="s">
        <v>80</v>
      </c>
      <c r="D38" t="str">
        <f>HYPERLINK("http://service.sap.com/sap/support/notes/1375693","1375693")</f>
        <v>1375693</v>
      </c>
      <c r="F38" t="s">
        <v>81</v>
      </c>
    </row>
    <row r="39" spans="1:6">
      <c r="A39" t="s">
        <v>547</v>
      </c>
      <c r="B39" t="s">
        <v>79</v>
      </c>
      <c r="C39" t="s">
        <v>80</v>
      </c>
      <c r="D39" t="str">
        <f>HYPERLINK("http://service.sap.com/sap/support/notes/1390523","1390523")</f>
        <v>1390523</v>
      </c>
      <c r="F39" t="s">
        <v>82</v>
      </c>
    </row>
    <row r="40" spans="1:6">
      <c r="A40" t="s">
        <v>547</v>
      </c>
      <c r="B40" t="s">
        <v>79</v>
      </c>
      <c r="C40" t="s">
        <v>80</v>
      </c>
      <c r="D40" t="str">
        <f>HYPERLINK("http://service.sap.com/sap/support/notes/1390978","1390978")</f>
        <v>1390978</v>
      </c>
      <c r="F40" t="s">
        <v>83</v>
      </c>
    </row>
    <row r="41" spans="1:6">
      <c r="A41" t="s">
        <v>547</v>
      </c>
      <c r="B41" t="s">
        <v>79</v>
      </c>
      <c r="C41" t="s">
        <v>80</v>
      </c>
      <c r="D41" t="str">
        <f>HYPERLINK("http://service.sap.com/sap/support/notes/1396810","1396810")</f>
        <v>1396810</v>
      </c>
      <c r="F41" t="s">
        <v>84</v>
      </c>
    </row>
    <row r="42" spans="1:6">
      <c r="A42" t="s">
        <v>547</v>
      </c>
      <c r="B42" t="s">
        <v>79</v>
      </c>
      <c r="C42" t="s">
        <v>80</v>
      </c>
      <c r="D42" t="str">
        <f>HYPERLINK("http://service.sap.com/sap/support/notes/1397733","1397733")</f>
        <v>1397733</v>
      </c>
      <c r="F42" t="s">
        <v>85</v>
      </c>
    </row>
    <row r="43" spans="1:6">
      <c r="A43" t="s">
        <v>547</v>
      </c>
      <c r="B43" t="s">
        <v>86</v>
      </c>
      <c r="C43" t="s">
        <v>87</v>
      </c>
      <c r="D43" t="str">
        <f>HYPERLINK("http://service.sap.com/sap/support/notes/1396242","1396242")</f>
        <v>1396242</v>
      </c>
      <c r="F43" t="s">
        <v>88</v>
      </c>
    </row>
    <row r="44" spans="1:6">
      <c r="A44" t="s">
        <v>547</v>
      </c>
      <c r="B44" t="s">
        <v>89</v>
      </c>
      <c r="C44" t="s">
        <v>90</v>
      </c>
      <c r="D44" t="str">
        <f>HYPERLINK("http://service.sap.com/sap/support/notes/1382511","1382511")</f>
        <v>1382511</v>
      </c>
      <c r="F44" t="s">
        <v>91</v>
      </c>
    </row>
    <row r="45" spans="1:6">
      <c r="A45" t="s">
        <v>547</v>
      </c>
      <c r="B45" t="s">
        <v>92</v>
      </c>
      <c r="C45" t="s">
        <v>93</v>
      </c>
      <c r="D45" t="str">
        <f>HYPERLINK("http://service.sap.com/sap/support/notes/1363640","1363640")</f>
        <v>1363640</v>
      </c>
      <c r="F45" t="s">
        <v>94</v>
      </c>
    </row>
    <row r="46" spans="1:6">
      <c r="A46" t="s">
        <v>547</v>
      </c>
      <c r="B46" t="s">
        <v>92</v>
      </c>
      <c r="C46" t="s">
        <v>93</v>
      </c>
      <c r="D46" t="str">
        <f>HYPERLINK("http://service.sap.com/sap/support/notes/1374712","1374712")</f>
        <v>1374712</v>
      </c>
      <c r="F46" t="s">
        <v>95</v>
      </c>
    </row>
    <row r="47" spans="1:6">
      <c r="A47" t="s">
        <v>547</v>
      </c>
      <c r="B47" t="s">
        <v>92</v>
      </c>
      <c r="C47" t="s">
        <v>93</v>
      </c>
      <c r="D47" t="str">
        <f>HYPERLINK("http://service.sap.com/sap/support/notes/1391538","1391538")</f>
        <v>1391538</v>
      </c>
      <c r="F47" t="s">
        <v>96</v>
      </c>
    </row>
    <row r="48" spans="1:6">
      <c r="A48" t="s">
        <v>547</v>
      </c>
      <c r="B48" t="s">
        <v>92</v>
      </c>
      <c r="C48" t="s">
        <v>93</v>
      </c>
      <c r="D48" t="str">
        <f>HYPERLINK("http://service.sap.com/sap/support/notes/1392234","1392234")</f>
        <v>1392234</v>
      </c>
      <c r="F48" t="s">
        <v>97</v>
      </c>
    </row>
    <row r="49" spans="1:6">
      <c r="A49" t="s">
        <v>547</v>
      </c>
      <c r="B49" t="s">
        <v>92</v>
      </c>
      <c r="C49" t="s">
        <v>93</v>
      </c>
      <c r="D49" t="str">
        <f>HYPERLINK("http://service.sap.com/sap/support/notes/1398580","1398580")</f>
        <v>1398580</v>
      </c>
      <c r="F49" t="s">
        <v>98</v>
      </c>
    </row>
    <row r="50" spans="1:6">
      <c r="A50" t="s">
        <v>547</v>
      </c>
      <c r="B50" t="s">
        <v>99</v>
      </c>
      <c r="C50" t="s">
        <v>100</v>
      </c>
      <c r="D50" t="str">
        <f>HYPERLINK("http://service.sap.com/sap/support/notes/1230698","1230698")</f>
        <v>1230698</v>
      </c>
      <c r="F50" t="s">
        <v>101</v>
      </c>
    </row>
    <row r="51" spans="1:6">
      <c r="A51" t="s">
        <v>547</v>
      </c>
      <c r="B51" t="s">
        <v>99</v>
      </c>
      <c r="C51" t="s">
        <v>100</v>
      </c>
      <c r="D51" t="str">
        <f>HYPERLINK("http://service.sap.com/sap/support/notes/1314728","1314728")</f>
        <v>1314728</v>
      </c>
      <c r="F51" t="s">
        <v>102</v>
      </c>
    </row>
    <row r="52" spans="1:6">
      <c r="A52" t="s">
        <v>547</v>
      </c>
      <c r="B52" t="s">
        <v>99</v>
      </c>
      <c r="C52" t="s">
        <v>100</v>
      </c>
      <c r="D52" t="str">
        <f>HYPERLINK("http://service.sap.com/sap/support/notes/1375018","1375018")</f>
        <v>1375018</v>
      </c>
      <c r="F52" t="s">
        <v>103</v>
      </c>
    </row>
    <row r="53" spans="1:6">
      <c r="A53" t="s">
        <v>547</v>
      </c>
      <c r="B53" t="s">
        <v>99</v>
      </c>
      <c r="C53" t="s">
        <v>100</v>
      </c>
      <c r="D53" t="str">
        <f>HYPERLINK("http://service.sap.com/sap/support/notes/1390860","1390860")</f>
        <v>1390860</v>
      </c>
      <c r="F53" t="s">
        <v>104</v>
      </c>
    </row>
    <row r="54" spans="1:6">
      <c r="A54" t="s">
        <v>547</v>
      </c>
      <c r="B54" t="s">
        <v>99</v>
      </c>
      <c r="C54" t="s">
        <v>100</v>
      </c>
      <c r="D54" t="str">
        <f>HYPERLINK("http://service.sap.com/sap/support/notes/1394897","1394897")</f>
        <v>1394897</v>
      </c>
      <c r="F54" t="s">
        <v>105</v>
      </c>
    </row>
    <row r="55" spans="1:6">
      <c r="A55" t="s">
        <v>547</v>
      </c>
      <c r="B55" t="s">
        <v>99</v>
      </c>
      <c r="C55" t="s">
        <v>100</v>
      </c>
      <c r="D55" t="str">
        <f>HYPERLINK("http://service.sap.com/sap/support/notes/1394957","1394957")</f>
        <v>1394957</v>
      </c>
      <c r="F55" t="s">
        <v>106</v>
      </c>
    </row>
    <row r="56" spans="1:6">
      <c r="A56" t="s">
        <v>547</v>
      </c>
      <c r="B56" t="s">
        <v>99</v>
      </c>
      <c r="C56" t="s">
        <v>100</v>
      </c>
      <c r="D56" t="str">
        <f>HYPERLINK("http://service.sap.com/sap/support/notes/1395596","1395596")</f>
        <v>1395596</v>
      </c>
      <c r="F56" t="s">
        <v>107</v>
      </c>
    </row>
    <row r="57" spans="1:6">
      <c r="A57" t="s">
        <v>547</v>
      </c>
      <c r="B57" t="s">
        <v>99</v>
      </c>
      <c r="C57" t="s">
        <v>100</v>
      </c>
      <c r="D57" t="str">
        <f>HYPERLINK("http://service.sap.com/sap/support/notes/1395910","1395910")</f>
        <v>1395910</v>
      </c>
      <c r="F57" t="s">
        <v>108</v>
      </c>
    </row>
    <row r="58" spans="1:6">
      <c r="A58" t="s">
        <v>547</v>
      </c>
      <c r="B58" t="s">
        <v>109</v>
      </c>
      <c r="C58" t="s">
        <v>110</v>
      </c>
      <c r="D58" t="str">
        <f>HYPERLINK("http://service.sap.com/sap/support/notes/1373157","1373157")</f>
        <v>1373157</v>
      </c>
      <c r="F58" t="s">
        <v>111</v>
      </c>
    </row>
    <row r="59" spans="1:6">
      <c r="A59" t="s">
        <v>547</v>
      </c>
      <c r="B59" t="s">
        <v>109</v>
      </c>
      <c r="C59" t="s">
        <v>110</v>
      </c>
      <c r="D59" t="str">
        <f>HYPERLINK("http://service.sap.com/sap/support/notes/1394817","1394817")</f>
        <v>1394817</v>
      </c>
      <c r="F59" t="s">
        <v>112</v>
      </c>
    </row>
    <row r="60" spans="1:6">
      <c r="A60" t="s">
        <v>547</v>
      </c>
      <c r="B60" t="s">
        <v>113</v>
      </c>
      <c r="C60" t="s">
        <v>114</v>
      </c>
      <c r="D60" t="str">
        <f>HYPERLINK("http://service.sap.com/sap/support/notes/1393405","1393405")</f>
        <v>1393405</v>
      </c>
      <c r="F60" t="s">
        <v>115</v>
      </c>
    </row>
    <row r="61" spans="1:6">
      <c r="A61" t="s">
        <v>547</v>
      </c>
      <c r="B61" t="s">
        <v>116</v>
      </c>
      <c r="C61" t="s">
        <v>117</v>
      </c>
      <c r="D61" t="str">
        <f>HYPERLINK("http://service.sap.com/sap/support/notes/1385554","1385554")</f>
        <v>1385554</v>
      </c>
      <c r="F61" t="s">
        <v>118</v>
      </c>
    </row>
    <row r="62" spans="1:6">
      <c r="A62" t="s">
        <v>547</v>
      </c>
      <c r="B62" t="s">
        <v>116</v>
      </c>
      <c r="C62" t="s">
        <v>117</v>
      </c>
      <c r="D62" t="str">
        <f>HYPERLINK("http://service.sap.com/sap/support/notes/1388091","1388091")</f>
        <v>1388091</v>
      </c>
      <c r="F62" t="s">
        <v>119</v>
      </c>
    </row>
    <row r="63" spans="1:6">
      <c r="A63" t="s">
        <v>547</v>
      </c>
      <c r="B63" t="s">
        <v>116</v>
      </c>
      <c r="C63" t="s">
        <v>117</v>
      </c>
      <c r="D63" t="str">
        <f>HYPERLINK("http://service.sap.com/sap/support/notes/1391001","1391001")</f>
        <v>1391001</v>
      </c>
      <c r="F63" t="s">
        <v>120</v>
      </c>
    </row>
    <row r="64" spans="1:6">
      <c r="A64" t="s">
        <v>547</v>
      </c>
      <c r="B64" t="s">
        <v>116</v>
      </c>
      <c r="C64" t="s">
        <v>117</v>
      </c>
      <c r="D64" t="str">
        <f>HYPERLINK("http://service.sap.com/sap/support/notes/1395721","1395721")</f>
        <v>1395721</v>
      </c>
      <c r="F64" t="s">
        <v>121</v>
      </c>
    </row>
    <row r="65" spans="1:6">
      <c r="A65" t="s">
        <v>547</v>
      </c>
      <c r="B65" t="s">
        <v>122</v>
      </c>
      <c r="C65" t="s">
        <v>123</v>
      </c>
      <c r="D65" t="str">
        <f>HYPERLINK("http://service.sap.com/sap/support/notes/1389455","1389455")</f>
        <v>1389455</v>
      </c>
      <c r="F65" t="s">
        <v>124</v>
      </c>
    </row>
    <row r="66" spans="1:6">
      <c r="A66" t="s">
        <v>547</v>
      </c>
      <c r="B66" t="s">
        <v>125</v>
      </c>
      <c r="C66" t="s">
        <v>126</v>
      </c>
      <c r="D66" t="str">
        <f>HYPERLINK("http://service.sap.com/sap/support/notes/1008585","1008585")</f>
        <v>1008585</v>
      </c>
      <c r="F66" t="s">
        <v>127</v>
      </c>
    </row>
    <row r="67" spans="1:6">
      <c r="A67" t="s">
        <v>547</v>
      </c>
      <c r="B67" t="s">
        <v>128</v>
      </c>
      <c r="C67" t="s">
        <v>129</v>
      </c>
    </row>
    <row r="68" spans="1:6">
      <c r="A68" t="s">
        <v>547</v>
      </c>
      <c r="B68" t="s">
        <v>130</v>
      </c>
      <c r="C68" t="s">
        <v>131</v>
      </c>
      <c r="D68" t="str">
        <f>HYPERLINK("http://service.sap.com/sap/support/notes/1372822","1372822")</f>
        <v>1372822</v>
      </c>
      <c r="F68" t="s">
        <v>132</v>
      </c>
    </row>
    <row r="69" spans="1:6">
      <c r="A69" t="s">
        <v>547</v>
      </c>
      <c r="B69" t="s">
        <v>130</v>
      </c>
      <c r="C69" t="s">
        <v>131</v>
      </c>
      <c r="D69" t="str">
        <f>HYPERLINK("http://service.sap.com/sap/support/notes/1385777","1385777")</f>
        <v>1385777</v>
      </c>
      <c r="F69" t="s">
        <v>133</v>
      </c>
    </row>
    <row r="70" spans="1:6">
      <c r="A70" t="s">
        <v>547</v>
      </c>
      <c r="B70" t="s">
        <v>134</v>
      </c>
      <c r="C70" t="s">
        <v>135</v>
      </c>
      <c r="D70" t="str">
        <f>HYPERLINK("http://service.sap.com/sap/support/notes/1391188","1391188")</f>
        <v>1391188</v>
      </c>
      <c r="F70" t="s">
        <v>136</v>
      </c>
    </row>
    <row r="71" spans="1:6">
      <c r="A71" t="s">
        <v>547</v>
      </c>
      <c r="B71" t="s">
        <v>137</v>
      </c>
      <c r="C71" t="s">
        <v>138</v>
      </c>
    </row>
    <row r="72" spans="1:6">
      <c r="A72" t="s">
        <v>547</v>
      </c>
      <c r="B72" t="s">
        <v>139</v>
      </c>
      <c r="C72" t="s">
        <v>140</v>
      </c>
    </row>
    <row r="73" spans="1:6">
      <c r="A73" t="s">
        <v>547</v>
      </c>
      <c r="B73" t="s">
        <v>141</v>
      </c>
      <c r="C73" t="s">
        <v>142</v>
      </c>
    </row>
    <row r="74" spans="1:6">
      <c r="A74" t="s">
        <v>547</v>
      </c>
      <c r="B74" t="s">
        <v>143</v>
      </c>
      <c r="C74" t="s">
        <v>144</v>
      </c>
      <c r="D74" t="str">
        <f>HYPERLINK("http://service.sap.com/sap/support/notes/1383284","1383284")</f>
        <v>1383284</v>
      </c>
      <c r="F74" t="s">
        <v>145</v>
      </c>
    </row>
    <row r="75" spans="1:6">
      <c r="A75" t="s">
        <v>547</v>
      </c>
      <c r="B75" t="s">
        <v>146</v>
      </c>
      <c r="C75" t="s">
        <v>147</v>
      </c>
    </row>
    <row r="76" spans="1:6">
      <c r="A76" t="s">
        <v>547</v>
      </c>
      <c r="B76" t="s">
        <v>148</v>
      </c>
      <c r="C76" t="s">
        <v>149</v>
      </c>
      <c r="D76" t="str">
        <f>HYPERLINK("http://service.sap.com/sap/support/notes/1360069","1360069")</f>
        <v>1360069</v>
      </c>
      <c r="F76" t="s">
        <v>150</v>
      </c>
    </row>
    <row r="77" spans="1:6">
      <c r="A77" t="s">
        <v>547</v>
      </c>
      <c r="B77" t="s">
        <v>148</v>
      </c>
      <c r="C77" t="s">
        <v>149</v>
      </c>
      <c r="D77" t="str">
        <f>HYPERLINK("http://service.sap.com/sap/support/notes/1393086","1393086")</f>
        <v>1393086</v>
      </c>
      <c r="F77" t="s">
        <v>151</v>
      </c>
    </row>
    <row r="78" spans="1:6">
      <c r="A78" t="s">
        <v>547</v>
      </c>
      <c r="B78" t="s">
        <v>148</v>
      </c>
      <c r="C78" t="s">
        <v>149</v>
      </c>
      <c r="D78" t="str">
        <f>HYPERLINK("http://service.sap.com/sap/support/notes/1397079","1397079")</f>
        <v>1397079</v>
      </c>
      <c r="F78" t="s">
        <v>152</v>
      </c>
    </row>
    <row r="79" spans="1:6">
      <c r="A79" t="s">
        <v>547</v>
      </c>
      <c r="B79" t="s">
        <v>148</v>
      </c>
      <c r="C79" t="s">
        <v>149</v>
      </c>
      <c r="D79" t="str">
        <f>HYPERLINK("http://service.sap.com/sap/support/notes/1398889","1398889")</f>
        <v>1398889</v>
      </c>
      <c r="F79" t="s">
        <v>153</v>
      </c>
    </row>
    <row r="80" spans="1:6">
      <c r="A80" t="s">
        <v>547</v>
      </c>
      <c r="B80" t="s">
        <v>154</v>
      </c>
      <c r="C80" t="s">
        <v>155</v>
      </c>
      <c r="D80" t="str">
        <f>HYPERLINK("http://service.sap.com/sap/support/notes/1391164","1391164")</f>
        <v>1391164</v>
      </c>
      <c r="F80" t="s">
        <v>156</v>
      </c>
    </row>
    <row r="81" spans="1:6">
      <c r="A81" t="s">
        <v>547</v>
      </c>
      <c r="B81" t="s">
        <v>154</v>
      </c>
      <c r="C81" t="s">
        <v>155</v>
      </c>
      <c r="D81" t="str">
        <f>HYPERLINK("http://service.sap.com/sap/support/notes/1392804","1392804")</f>
        <v>1392804</v>
      </c>
      <c r="F81" t="s">
        <v>157</v>
      </c>
    </row>
    <row r="82" spans="1:6">
      <c r="A82" t="s">
        <v>547</v>
      </c>
      <c r="B82" t="s">
        <v>158</v>
      </c>
      <c r="C82" t="s">
        <v>159</v>
      </c>
    </row>
    <row r="83" spans="1:6">
      <c r="A83" t="s">
        <v>547</v>
      </c>
      <c r="B83" t="s">
        <v>160</v>
      </c>
      <c r="C83" t="s">
        <v>47</v>
      </c>
      <c r="D83" t="str">
        <f>HYPERLINK("http://service.sap.com/sap/support/notes/1338117","1338117")</f>
        <v>1338117</v>
      </c>
      <c r="F83" t="s">
        <v>161</v>
      </c>
    </row>
    <row r="84" spans="1:6">
      <c r="A84" t="s">
        <v>547</v>
      </c>
      <c r="B84" t="s">
        <v>160</v>
      </c>
      <c r="C84" t="s">
        <v>47</v>
      </c>
      <c r="D84" t="str">
        <f>HYPERLINK("http://service.sap.com/sap/support/notes/1387733","1387733")</f>
        <v>1387733</v>
      </c>
      <c r="F84" t="s">
        <v>162</v>
      </c>
    </row>
    <row r="85" spans="1:6">
      <c r="A85" t="s">
        <v>547</v>
      </c>
      <c r="B85" t="s">
        <v>160</v>
      </c>
      <c r="C85" t="s">
        <v>47</v>
      </c>
      <c r="D85" t="str">
        <f>HYPERLINK("http://service.sap.com/sap/support/notes/1390632","1390632")</f>
        <v>1390632</v>
      </c>
      <c r="F85" t="s">
        <v>163</v>
      </c>
    </row>
    <row r="86" spans="1:6">
      <c r="A86" t="s">
        <v>547</v>
      </c>
      <c r="B86" t="s">
        <v>160</v>
      </c>
      <c r="C86" t="s">
        <v>47</v>
      </c>
      <c r="D86" t="str">
        <f>HYPERLINK("http://service.sap.com/sap/support/notes/1390726","1390726")</f>
        <v>1390726</v>
      </c>
      <c r="F86" t="s">
        <v>164</v>
      </c>
    </row>
    <row r="87" spans="1:6">
      <c r="A87" t="s">
        <v>547</v>
      </c>
      <c r="B87" t="s">
        <v>160</v>
      </c>
      <c r="C87" t="s">
        <v>47</v>
      </c>
      <c r="D87" t="str">
        <f>HYPERLINK("http://service.sap.com/sap/support/notes/1396681","1396681")</f>
        <v>1396681</v>
      </c>
      <c r="F87" t="s">
        <v>165</v>
      </c>
    </row>
    <row r="88" spans="1:6">
      <c r="A88" t="s">
        <v>547</v>
      </c>
      <c r="B88" t="s">
        <v>166</v>
      </c>
      <c r="C88" t="s">
        <v>50</v>
      </c>
      <c r="D88" t="str">
        <f>HYPERLINK("http://service.sap.com/sap/support/notes/1322016","1322016")</f>
        <v>1322016</v>
      </c>
      <c r="F88" t="s">
        <v>167</v>
      </c>
    </row>
    <row r="89" spans="1:6">
      <c r="A89" t="s">
        <v>547</v>
      </c>
      <c r="B89" t="s">
        <v>166</v>
      </c>
      <c r="C89" t="s">
        <v>50</v>
      </c>
      <c r="D89" t="str">
        <f>HYPERLINK("http://service.sap.com/sap/support/notes/1323251","1323251")</f>
        <v>1323251</v>
      </c>
      <c r="F89" t="s">
        <v>168</v>
      </c>
    </row>
    <row r="90" spans="1:6">
      <c r="A90" t="s">
        <v>547</v>
      </c>
      <c r="B90" t="s">
        <v>166</v>
      </c>
      <c r="C90" t="s">
        <v>50</v>
      </c>
      <c r="D90" t="str">
        <f>HYPERLINK("http://service.sap.com/sap/support/notes/1384514","1384514")</f>
        <v>1384514</v>
      </c>
      <c r="F90" t="s">
        <v>169</v>
      </c>
    </row>
    <row r="91" spans="1:6">
      <c r="A91" t="s">
        <v>547</v>
      </c>
      <c r="B91" t="s">
        <v>166</v>
      </c>
      <c r="C91" t="s">
        <v>50</v>
      </c>
      <c r="D91" t="str">
        <f>HYPERLINK("http://service.sap.com/sap/support/notes/1392576","1392576")</f>
        <v>1392576</v>
      </c>
      <c r="F91" t="s">
        <v>170</v>
      </c>
    </row>
    <row r="92" spans="1:6">
      <c r="A92" t="s">
        <v>547</v>
      </c>
      <c r="B92" t="s">
        <v>166</v>
      </c>
      <c r="C92" t="s">
        <v>50</v>
      </c>
      <c r="D92" t="str">
        <f>HYPERLINK("http://service.sap.com/sap/support/notes/1392874","1392874")</f>
        <v>1392874</v>
      </c>
      <c r="F92" t="s">
        <v>171</v>
      </c>
    </row>
    <row r="93" spans="1:6">
      <c r="A93" t="s">
        <v>547</v>
      </c>
      <c r="B93" t="s">
        <v>166</v>
      </c>
      <c r="C93" t="s">
        <v>50</v>
      </c>
      <c r="D93" t="str">
        <f>HYPERLINK("http://service.sap.com/sap/support/notes/1395696","1395696")</f>
        <v>1395696</v>
      </c>
      <c r="F93" t="s">
        <v>172</v>
      </c>
    </row>
    <row r="94" spans="1:6">
      <c r="A94" t="s">
        <v>547</v>
      </c>
      <c r="B94" t="s">
        <v>166</v>
      </c>
      <c r="C94" t="s">
        <v>50</v>
      </c>
      <c r="D94" t="str">
        <f>HYPERLINK("http://service.sap.com/sap/support/notes/1397414","1397414")</f>
        <v>1397414</v>
      </c>
      <c r="F94" t="s">
        <v>173</v>
      </c>
    </row>
    <row r="95" spans="1:6">
      <c r="A95" t="s">
        <v>547</v>
      </c>
      <c r="B95" t="s">
        <v>174</v>
      </c>
      <c r="C95" t="s">
        <v>175</v>
      </c>
      <c r="D95" t="str">
        <f>HYPERLINK("http://service.sap.com/sap/support/notes/815445","815445")</f>
        <v>815445</v>
      </c>
      <c r="F95" t="s">
        <v>176</v>
      </c>
    </row>
    <row r="96" spans="1:6">
      <c r="A96" t="s">
        <v>547</v>
      </c>
      <c r="B96" t="s">
        <v>174</v>
      </c>
      <c r="C96" t="s">
        <v>175</v>
      </c>
      <c r="D96" t="str">
        <f>HYPERLINK("http://service.sap.com/sap/support/notes/1310477","1310477")</f>
        <v>1310477</v>
      </c>
      <c r="F96" t="s">
        <v>177</v>
      </c>
    </row>
    <row r="97" spans="1:6">
      <c r="A97" t="s">
        <v>547</v>
      </c>
      <c r="B97" t="s">
        <v>174</v>
      </c>
      <c r="C97" t="s">
        <v>175</v>
      </c>
      <c r="D97" t="str">
        <f>HYPERLINK("http://service.sap.com/sap/support/notes/1385304","1385304")</f>
        <v>1385304</v>
      </c>
      <c r="F97" t="s">
        <v>178</v>
      </c>
    </row>
    <row r="98" spans="1:6">
      <c r="A98" t="s">
        <v>547</v>
      </c>
      <c r="B98" t="s">
        <v>174</v>
      </c>
      <c r="C98" t="s">
        <v>175</v>
      </c>
      <c r="D98" t="str">
        <f>HYPERLINK("http://service.sap.com/sap/support/notes/1392007","1392007")</f>
        <v>1392007</v>
      </c>
      <c r="F98" t="s">
        <v>179</v>
      </c>
    </row>
    <row r="99" spans="1:6">
      <c r="A99" t="s">
        <v>547</v>
      </c>
      <c r="B99" t="s">
        <v>174</v>
      </c>
      <c r="C99" t="s">
        <v>175</v>
      </c>
      <c r="D99" t="str">
        <f>HYPERLINK("http://service.sap.com/sap/support/notes/1393832","1393832")</f>
        <v>1393832</v>
      </c>
      <c r="F99" t="s">
        <v>180</v>
      </c>
    </row>
    <row r="100" spans="1:6">
      <c r="A100" t="s">
        <v>547</v>
      </c>
      <c r="B100" t="s">
        <v>174</v>
      </c>
      <c r="C100" t="s">
        <v>175</v>
      </c>
      <c r="D100" t="str">
        <f>HYPERLINK("http://service.sap.com/sap/support/notes/1393931","1393931")</f>
        <v>1393931</v>
      </c>
      <c r="F100" t="s">
        <v>181</v>
      </c>
    </row>
    <row r="101" spans="1:6">
      <c r="A101" t="s">
        <v>547</v>
      </c>
      <c r="B101" t="s">
        <v>174</v>
      </c>
      <c r="C101" t="s">
        <v>175</v>
      </c>
      <c r="D101" t="str">
        <f>HYPERLINK("http://service.sap.com/sap/support/notes/1394025","1394025")</f>
        <v>1394025</v>
      </c>
      <c r="F101" t="s">
        <v>182</v>
      </c>
    </row>
    <row r="102" spans="1:6">
      <c r="A102" t="s">
        <v>547</v>
      </c>
      <c r="B102" t="s">
        <v>174</v>
      </c>
      <c r="C102" t="s">
        <v>175</v>
      </c>
      <c r="D102" t="str">
        <f>HYPERLINK("http://service.sap.com/sap/support/notes/1394301","1394301")</f>
        <v>1394301</v>
      </c>
      <c r="F102" t="s">
        <v>183</v>
      </c>
    </row>
    <row r="103" spans="1:6">
      <c r="A103" t="s">
        <v>547</v>
      </c>
      <c r="B103" t="s">
        <v>174</v>
      </c>
      <c r="C103" t="s">
        <v>175</v>
      </c>
      <c r="D103" t="str">
        <f>HYPERLINK("http://service.sap.com/sap/support/notes/1397342","1397342")</f>
        <v>1397342</v>
      </c>
      <c r="F103" t="s">
        <v>184</v>
      </c>
    </row>
    <row r="104" spans="1:6">
      <c r="A104" t="s">
        <v>547</v>
      </c>
      <c r="B104" t="s">
        <v>185</v>
      </c>
      <c r="C104" t="s">
        <v>186</v>
      </c>
      <c r="D104" t="str">
        <f>HYPERLINK("http://service.sap.com/sap/support/notes/1352622","1352622")</f>
        <v>1352622</v>
      </c>
      <c r="F104" t="s">
        <v>187</v>
      </c>
    </row>
    <row r="105" spans="1:6">
      <c r="A105" t="s">
        <v>547</v>
      </c>
      <c r="B105" t="s">
        <v>188</v>
      </c>
      <c r="C105" t="s">
        <v>189</v>
      </c>
      <c r="D105" t="str">
        <f>HYPERLINK("http://service.sap.com/sap/support/notes/1378003","1378003")</f>
        <v>1378003</v>
      </c>
      <c r="F105" t="s">
        <v>190</v>
      </c>
    </row>
    <row r="106" spans="1:6">
      <c r="A106" t="s">
        <v>547</v>
      </c>
      <c r="B106" t="s">
        <v>188</v>
      </c>
      <c r="C106" t="s">
        <v>189</v>
      </c>
      <c r="D106" t="str">
        <f>HYPERLINK("http://service.sap.com/sap/support/notes/1381709","1381709")</f>
        <v>1381709</v>
      </c>
      <c r="F106" t="s">
        <v>191</v>
      </c>
    </row>
    <row r="107" spans="1:6">
      <c r="A107" t="s">
        <v>547</v>
      </c>
      <c r="B107" t="s">
        <v>192</v>
      </c>
      <c r="C107" t="s">
        <v>60</v>
      </c>
      <c r="D107" t="str">
        <f>HYPERLINK("http://service.sap.com/sap/support/notes/1389276","1389276")</f>
        <v>1389276</v>
      </c>
      <c r="F107" t="s">
        <v>193</v>
      </c>
    </row>
    <row r="108" spans="1:6">
      <c r="A108" t="s">
        <v>547</v>
      </c>
      <c r="B108" t="s">
        <v>192</v>
      </c>
      <c r="C108" t="s">
        <v>60</v>
      </c>
      <c r="D108" t="str">
        <f>HYPERLINK("http://service.sap.com/sap/support/notes/1391142","1391142")</f>
        <v>1391142</v>
      </c>
      <c r="F108" t="s">
        <v>194</v>
      </c>
    </row>
    <row r="109" spans="1:6">
      <c r="A109" t="s">
        <v>547</v>
      </c>
      <c r="B109" t="s">
        <v>192</v>
      </c>
      <c r="C109" t="s">
        <v>60</v>
      </c>
      <c r="D109" t="str">
        <f>HYPERLINK("http://service.sap.com/sap/support/notes/1391922","1391922")</f>
        <v>1391922</v>
      </c>
      <c r="F109" t="s">
        <v>195</v>
      </c>
    </row>
    <row r="110" spans="1:6">
      <c r="A110" t="s">
        <v>547</v>
      </c>
      <c r="B110" t="s">
        <v>192</v>
      </c>
      <c r="C110" t="s">
        <v>60</v>
      </c>
      <c r="D110" t="str">
        <f>HYPERLINK("http://service.sap.com/sap/support/notes/1392073","1392073")</f>
        <v>1392073</v>
      </c>
      <c r="F110" t="s">
        <v>196</v>
      </c>
    </row>
    <row r="111" spans="1:6">
      <c r="A111" t="s">
        <v>547</v>
      </c>
      <c r="B111" t="s">
        <v>197</v>
      </c>
      <c r="C111" t="s">
        <v>63</v>
      </c>
      <c r="D111" t="str">
        <f>HYPERLINK("http://service.sap.com/sap/support/notes/1060819","1060819")</f>
        <v>1060819</v>
      </c>
      <c r="F111" t="s">
        <v>198</v>
      </c>
    </row>
    <row r="112" spans="1:6">
      <c r="A112" t="s">
        <v>547</v>
      </c>
      <c r="B112" t="s">
        <v>197</v>
      </c>
      <c r="C112" t="s">
        <v>63</v>
      </c>
      <c r="D112" t="str">
        <f>HYPERLINK("http://service.sap.com/sap/support/notes/1262125","1262125")</f>
        <v>1262125</v>
      </c>
      <c r="F112" t="s">
        <v>199</v>
      </c>
    </row>
    <row r="113" spans="1:6">
      <c r="A113" t="s">
        <v>547</v>
      </c>
      <c r="B113" t="s">
        <v>197</v>
      </c>
      <c r="C113" t="s">
        <v>63</v>
      </c>
      <c r="D113" t="str">
        <f>HYPERLINK("http://service.sap.com/sap/support/notes/1350711","1350711")</f>
        <v>1350711</v>
      </c>
      <c r="F113" t="s">
        <v>200</v>
      </c>
    </row>
    <row r="114" spans="1:6">
      <c r="A114" t="s">
        <v>547</v>
      </c>
      <c r="B114" t="s">
        <v>197</v>
      </c>
      <c r="C114" t="s">
        <v>63</v>
      </c>
      <c r="D114" t="str">
        <f>HYPERLINK("http://service.sap.com/sap/support/notes/1384879","1384879")</f>
        <v>1384879</v>
      </c>
      <c r="F114" t="s">
        <v>201</v>
      </c>
    </row>
    <row r="115" spans="1:6">
      <c r="A115" t="s">
        <v>547</v>
      </c>
      <c r="B115" t="s">
        <v>197</v>
      </c>
      <c r="C115" t="s">
        <v>63</v>
      </c>
      <c r="D115" t="str">
        <f>HYPERLINK("http://service.sap.com/sap/support/notes/1391802","1391802")</f>
        <v>1391802</v>
      </c>
      <c r="F115" t="s">
        <v>202</v>
      </c>
    </row>
    <row r="116" spans="1:6">
      <c r="A116" t="s">
        <v>547</v>
      </c>
      <c r="B116" t="s">
        <v>197</v>
      </c>
      <c r="C116" t="s">
        <v>63</v>
      </c>
      <c r="D116" t="str">
        <f>HYPERLINK("http://service.sap.com/sap/support/notes/1393274","1393274")</f>
        <v>1393274</v>
      </c>
      <c r="F116" t="s">
        <v>203</v>
      </c>
    </row>
    <row r="117" spans="1:6">
      <c r="A117" t="s">
        <v>547</v>
      </c>
      <c r="B117" t="s">
        <v>204</v>
      </c>
      <c r="C117" t="s">
        <v>205</v>
      </c>
      <c r="D117" t="str">
        <f>HYPERLINK("http://service.sap.com/sap/support/notes/612934","612934")</f>
        <v>612934</v>
      </c>
      <c r="F117" t="s">
        <v>206</v>
      </c>
    </row>
    <row r="118" spans="1:6">
      <c r="A118" t="s">
        <v>547</v>
      </c>
      <c r="B118" t="s">
        <v>207</v>
      </c>
      <c r="C118" t="s">
        <v>208</v>
      </c>
      <c r="D118" t="str">
        <f>HYPERLINK("http://service.sap.com/sap/support/notes/1387235","1387235")</f>
        <v>1387235</v>
      </c>
      <c r="F118" t="s">
        <v>209</v>
      </c>
    </row>
    <row r="119" spans="1:6">
      <c r="A119" t="s">
        <v>547</v>
      </c>
      <c r="B119" t="s">
        <v>207</v>
      </c>
      <c r="C119" t="s">
        <v>208</v>
      </c>
      <c r="D119" t="str">
        <f>HYPERLINK("http://service.sap.com/sap/support/notes/1398335","1398335")</f>
        <v>1398335</v>
      </c>
      <c r="F119" t="s">
        <v>210</v>
      </c>
    </row>
    <row r="120" spans="1:6">
      <c r="A120" t="s">
        <v>547</v>
      </c>
      <c r="B120" t="s">
        <v>211</v>
      </c>
      <c r="C120" t="s">
        <v>212</v>
      </c>
      <c r="D120" t="str">
        <f>HYPERLINK("http://service.sap.com/sap/support/notes/1133224","1133224")</f>
        <v>1133224</v>
      </c>
      <c r="F120" t="s">
        <v>213</v>
      </c>
    </row>
    <row r="121" spans="1:6">
      <c r="A121" t="s">
        <v>547</v>
      </c>
      <c r="B121" t="s">
        <v>211</v>
      </c>
      <c r="C121" t="s">
        <v>212</v>
      </c>
      <c r="D121" t="str">
        <f>HYPERLINK("http://service.sap.com/sap/support/notes/1375160","1375160")</f>
        <v>1375160</v>
      </c>
      <c r="F121" t="s">
        <v>214</v>
      </c>
    </row>
    <row r="122" spans="1:6">
      <c r="A122" t="s">
        <v>547</v>
      </c>
      <c r="B122" t="s">
        <v>211</v>
      </c>
      <c r="C122" t="s">
        <v>212</v>
      </c>
      <c r="D122" t="str">
        <f>HYPERLINK("http://service.sap.com/sap/support/notes/1382565","1382565")</f>
        <v>1382565</v>
      </c>
      <c r="F122" t="s">
        <v>215</v>
      </c>
    </row>
    <row r="123" spans="1:6">
      <c r="A123" t="s">
        <v>547</v>
      </c>
      <c r="B123" t="s">
        <v>211</v>
      </c>
      <c r="C123" t="s">
        <v>212</v>
      </c>
      <c r="D123" t="str">
        <f>HYPERLINK("http://service.sap.com/sap/support/notes/1392582","1392582")</f>
        <v>1392582</v>
      </c>
      <c r="F123" t="s">
        <v>216</v>
      </c>
    </row>
    <row r="124" spans="1:6">
      <c r="A124" t="s">
        <v>547</v>
      </c>
      <c r="B124" t="s">
        <v>211</v>
      </c>
      <c r="C124" t="s">
        <v>212</v>
      </c>
      <c r="D124" t="str">
        <f>HYPERLINK("http://service.sap.com/sap/support/notes/1397958","1397958")</f>
        <v>1397958</v>
      </c>
      <c r="F124" t="s">
        <v>217</v>
      </c>
    </row>
    <row r="125" spans="1:6">
      <c r="A125" t="s">
        <v>547</v>
      </c>
      <c r="B125" t="s">
        <v>218</v>
      </c>
      <c r="C125" t="s">
        <v>219</v>
      </c>
      <c r="D125" t="str">
        <f>HYPERLINK("http://service.sap.com/sap/support/notes/1278793","1278793")</f>
        <v>1278793</v>
      </c>
      <c r="F125" t="s">
        <v>220</v>
      </c>
    </row>
    <row r="126" spans="1:6">
      <c r="A126" t="s">
        <v>547</v>
      </c>
      <c r="B126" t="s">
        <v>218</v>
      </c>
      <c r="C126" t="s">
        <v>219</v>
      </c>
      <c r="D126" t="str">
        <f>HYPERLINK("http://service.sap.com/sap/support/notes/1392228","1392228")</f>
        <v>1392228</v>
      </c>
      <c r="F126" t="s">
        <v>221</v>
      </c>
    </row>
    <row r="127" spans="1:6">
      <c r="A127" t="s">
        <v>547</v>
      </c>
      <c r="B127" t="s">
        <v>218</v>
      </c>
      <c r="C127" t="s">
        <v>219</v>
      </c>
      <c r="D127" t="str">
        <f>HYPERLINK("http://service.sap.com/sap/support/notes/1399461","1399461")</f>
        <v>1399461</v>
      </c>
      <c r="F127" t="s">
        <v>222</v>
      </c>
    </row>
    <row r="128" spans="1:6">
      <c r="A128" t="s">
        <v>547</v>
      </c>
      <c r="B128" t="s">
        <v>218</v>
      </c>
      <c r="C128" t="s">
        <v>219</v>
      </c>
      <c r="D128" t="str">
        <f>HYPERLINK("http://service.sap.com/sap/support/notes/1399462","1399462")</f>
        <v>1399462</v>
      </c>
      <c r="F128" t="s">
        <v>223</v>
      </c>
    </row>
    <row r="129" spans="1:6">
      <c r="A129" t="s">
        <v>547</v>
      </c>
      <c r="B129" t="s">
        <v>218</v>
      </c>
      <c r="C129" t="s">
        <v>219</v>
      </c>
      <c r="D129" t="str">
        <f>HYPERLINK("http://service.sap.com/sap/support/notes/1399533","1399533")</f>
        <v>1399533</v>
      </c>
      <c r="F129" t="s">
        <v>224</v>
      </c>
    </row>
    <row r="130" spans="1:6">
      <c r="A130" t="s">
        <v>547</v>
      </c>
      <c r="B130" t="s">
        <v>225</v>
      </c>
      <c r="C130" t="s">
        <v>66</v>
      </c>
      <c r="D130" t="str">
        <f>HYPERLINK("http://service.sap.com/sap/support/notes/1382544","1382544")</f>
        <v>1382544</v>
      </c>
      <c r="F130" t="s">
        <v>226</v>
      </c>
    </row>
    <row r="131" spans="1:6">
      <c r="A131" t="s">
        <v>547</v>
      </c>
      <c r="B131" t="s">
        <v>225</v>
      </c>
      <c r="C131" t="s">
        <v>66</v>
      </c>
      <c r="D131" t="str">
        <f>HYPERLINK("http://service.sap.com/sap/support/notes/1389930","1389930")</f>
        <v>1389930</v>
      </c>
      <c r="F131" t="s">
        <v>227</v>
      </c>
    </row>
    <row r="132" spans="1:6">
      <c r="A132" t="s">
        <v>547</v>
      </c>
      <c r="B132" t="s">
        <v>228</v>
      </c>
      <c r="C132" t="s">
        <v>69</v>
      </c>
      <c r="D132" t="str">
        <f>HYPERLINK("http://service.sap.com/sap/support/notes/1392033","1392033")</f>
        <v>1392033</v>
      </c>
      <c r="F132" t="s">
        <v>229</v>
      </c>
    </row>
    <row r="133" spans="1:6">
      <c r="A133" t="s">
        <v>547</v>
      </c>
      <c r="B133" t="s">
        <v>230</v>
      </c>
      <c r="C133" t="s">
        <v>231</v>
      </c>
      <c r="D133" t="str">
        <f>HYPERLINK("http://service.sap.com/sap/support/notes/1390197","1390197")</f>
        <v>1390197</v>
      </c>
      <c r="F133" t="s">
        <v>232</v>
      </c>
    </row>
    <row r="134" spans="1:6">
      <c r="A134" t="s">
        <v>547</v>
      </c>
      <c r="B134" t="s">
        <v>233</v>
      </c>
      <c r="C134" t="s">
        <v>234</v>
      </c>
    </row>
    <row r="135" spans="1:6">
      <c r="A135" t="s">
        <v>547</v>
      </c>
      <c r="B135" t="s">
        <v>235</v>
      </c>
      <c r="C135" t="s">
        <v>236</v>
      </c>
      <c r="D135" t="str">
        <f>HYPERLINK("http://service.sap.com/sap/support/notes/1392055","1392055")</f>
        <v>1392055</v>
      </c>
      <c r="F135" t="s">
        <v>237</v>
      </c>
    </row>
    <row r="136" spans="1:6">
      <c r="A136" t="s">
        <v>547</v>
      </c>
      <c r="B136" t="s">
        <v>238</v>
      </c>
      <c r="C136" t="s">
        <v>239</v>
      </c>
    </row>
    <row r="137" spans="1:6">
      <c r="A137" t="s">
        <v>547</v>
      </c>
      <c r="B137" t="s">
        <v>240</v>
      </c>
      <c r="C137" t="s">
        <v>241</v>
      </c>
      <c r="D137" t="str">
        <f>HYPERLINK("http://service.sap.com/sap/support/notes/1377202","1377202")</f>
        <v>1377202</v>
      </c>
      <c r="F137" t="s">
        <v>242</v>
      </c>
    </row>
    <row r="138" spans="1:6">
      <c r="A138" t="s">
        <v>547</v>
      </c>
      <c r="B138" t="s">
        <v>240</v>
      </c>
      <c r="C138" t="s">
        <v>241</v>
      </c>
      <c r="D138" t="str">
        <f>HYPERLINK("http://service.sap.com/sap/support/notes/1394519","1394519")</f>
        <v>1394519</v>
      </c>
      <c r="F138" t="s">
        <v>243</v>
      </c>
    </row>
    <row r="139" spans="1:6">
      <c r="A139" t="s">
        <v>547</v>
      </c>
      <c r="B139" t="s">
        <v>244</v>
      </c>
      <c r="C139" t="s">
        <v>245</v>
      </c>
      <c r="D139" t="str">
        <f>HYPERLINK("http://service.sap.com/sap/support/notes/1390342","1390342")</f>
        <v>1390342</v>
      </c>
      <c r="F139" t="s">
        <v>246</v>
      </c>
    </row>
    <row r="140" spans="1:6">
      <c r="A140" t="s">
        <v>547</v>
      </c>
      <c r="B140" t="s">
        <v>244</v>
      </c>
      <c r="C140" t="s">
        <v>245</v>
      </c>
      <c r="D140" t="str">
        <f>HYPERLINK("http://service.sap.com/sap/support/notes/1390943","1390943")</f>
        <v>1390943</v>
      </c>
      <c r="F140" t="s">
        <v>247</v>
      </c>
    </row>
    <row r="141" spans="1:6">
      <c r="A141" t="s">
        <v>547</v>
      </c>
      <c r="B141" t="s">
        <v>244</v>
      </c>
      <c r="C141" t="s">
        <v>245</v>
      </c>
      <c r="D141" t="str">
        <f>HYPERLINK("http://service.sap.com/sap/support/notes/1396534","1396534")</f>
        <v>1396534</v>
      </c>
      <c r="F141" t="s">
        <v>248</v>
      </c>
    </row>
    <row r="142" spans="1:6">
      <c r="A142" t="s">
        <v>547</v>
      </c>
      <c r="B142" t="s">
        <v>249</v>
      </c>
      <c r="C142" t="s">
        <v>250</v>
      </c>
      <c r="D142" t="str">
        <f>HYPERLINK("http://service.sap.com/sap/support/notes/1391964","1391964")</f>
        <v>1391964</v>
      </c>
      <c r="F142" t="s">
        <v>251</v>
      </c>
    </row>
    <row r="143" spans="1:6">
      <c r="A143" t="s">
        <v>547</v>
      </c>
      <c r="B143" t="s">
        <v>249</v>
      </c>
      <c r="C143" t="s">
        <v>250</v>
      </c>
      <c r="D143" t="str">
        <f>HYPERLINK("http://service.sap.com/sap/support/notes/1392598","1392598")</f>
        <v>1392598</v>
      </c>
      <c r="F143" t="s">
        <v>252</v>
      </c>
    </row>
    <row r="144" spans="1:6">
      <c r="A144" t="s">
        <v>547</v>
      </c>
      <c r="B144" t="s">
        <v>249</v>
      </c>
      <c r="C144" t="s">
        <v>250</v>
      </c>
      <c r="D144" t="str">
        <f>HYPERLINK("http://service.sap.com/sap/support/notes/1396308","1396308")</f>
        <v>1396308</v>
      </c>
      <c r="F144" t="s">
        <v>253</v>
      </c>
    </row>
    <row r="145" spans="1:6">
      <c r="A145" t="s">
        <v>547</v>
      </c>
      <c r="B145" t="s">
        <v>254</v>
      </c>
      <c r="C145" t="s">
        <v>255</v>
      </c>
      <c r="D145" t="str">
        <f>HYPERLINK("http://service.sap.com/sap/support/notes/1391223","1391223")</f>
        <v>1391223</v>
      </c>
      <c r="F145" t="s">
        <v>256</v>
      </c>
    </row>
    <row r="146" spans="1:6">
      <c r="A146" t="s">
        <v>547</v>
      </c>
      <c r="B146" t="s">
        <v>254</v>
      </c>
      <c r="C146" t="s">
        <v>255</v>
      </c>
      <c r="D146" t="str">
        <f>HYPERLINK("http://service.sap.com/sap/support/notes/1396494","1396494")</f>
        <v>1396494</v>
      </c>
      <c r="F146" t="s">
        <v>257</v>
      </c>
    </row>
    <row r="147" spans="1:6">
      <c r="A147" t="s">
        <v>547</v>
      </c>
      <c r="B147" t="s">
        <v>258</v>
      </c>
      <c r="C147" t="s">
        <v>189</v>
      </c>
      <c r="D147" t="str">
        <f>HYPERLINK("http://service.sap.com/sap/support/notes/1359916","1359916")</f>
        <v>1359916</v>
      </c>
      <c r="F147" t="s">
        <v>259</v>
      </c>
    </row>
    <row r="148" spans="1:6">
      <c r="A148" t="s">
        <v>547</v>
      </c>
      <c r="B148" t="s">
        <v>258</v>
      </c>
      <c r="C148" t="s">
        <v>189</v>
      </c>
      <c r="D148" t="str">
        <f>HYPERLINK("http://service.sap.com/sap/support/notes/1380826","1380826")</f>
        <v>1380826</v>
      </c>
      <c r="F148" t="s">
        <v>260</v>
      </c>
    </row>
    <row r="149" spans="1:6">
      <c r="A149" t="s">
        <v>547</v>
      </c>
      <c r="B149" t="s">
        <v>258</v>
      </c>
      <c r="C149" t="s">
        <v>189</v>
      </c>
      <c r="D149" t="str">
        <f>HYPERLINK("http://service.sap.com/sap/support/notes/1382267","1382267")</f>
        <v>1382267</v>
      </c>
      <c r="F149" t="s">
        <v>261</v>
      </c>
    </row>
    <row r="150" spans="1:6">
      <c r="A150" t="s">
        <v>547</v>
      </c>
      <c r="B150" t="s">
        <v>258</v>
      </c>
      <c r="C150" t="s">
        <v>189</v>
      </c>
      <c r="D150" t="str">
        <f>HYPERLINK("http://service.sap.com/sap/support/notes/1388119","1388119")</f>
        <v>1388119</v>
      </c>
      <c r="F150" t="s">
        <v>262</v>
      </c>
    </row>
    <row r="151" spans="1:6">
      <c r="A151" t="s">
        <v>547</v>
      </c>
      <c r="B151" t="s">
        <v>258</v>
      </c>
      <c r="C151" t="s">
        <v>189</v>
      </c>
      <c r="D151" t="str">
        <f>HYPERLINK("http://service.sap.com/sap/support/notes/1388952","1388952")</f>
        <v>1388952</v>
      </c>
      <c r="F151" t="s">
        <v>263</v>
      </c>
    </row>
    <row r="152" spans="1:6">
      <c r="A152" t="s">
        <v>547</v>
      </c>
      <c r="B152" t="s">
        <v>258</v>
      </c>
      <c r="C152" t="s">
        <v>189</v>
      </c>
      <c r="D152" t="str">
        <f>HYPERLINK("http://service.sap.com/sap/support/notes/1389617","1389617")</f>
        <v>1389617</v>
      </c>
      <c r="F152" t="s">
        <v>264</v>
      </c>
    </row>
    <row r="153" spans="1:6">
      <c r="A153" t="s">
        <v>547</v>
      </c>
      <c r="B153" t="s">
        <v>258</v>
      </c>
      <c r="C153" t="s">
        <v>189</v>
      </c>
      <c r="D153" t="str">
        <f>HYPERLINK("http://service.sap.com/sap/support/notes/1391611","1391611")</f>
        <v>1391611</v>
      </c>
      <c r="F153" t="s">
        <v>265</v>
      </c>
    </row>
    <row r="154" spans="1:6">
      <c r="A154" t="s">
        <v>547</v>
      </c>
      <c r="B154" t="s">
        <v>258</v>
      </c>
      <c r="C154" t="s">
        <v>189</v>
      </c>
      <c r="D154" t="str">
        <f>HYPERLINK("http://service.sap.com/sap/support/notes/1392457","1392457")</f>
        <v>1392457</v>
      </c>
      <c r="F154" t="s">
        <v>266</v>
      </c>
    </row>
    <row r="155" spans="1:6">
      <c r="A155" t="s">
        <v>547</v>
      </c>
      <c r="B155" t="s">
        <v>258</v>
      </c>
      <c r="C155" t="s">
        <v>189</v>
      </c>
      <c r="D155" t="str">
        <f>HYPERLINK("http://service.sap.com/sap/support/notes/1395943","1395943")</f>
        <v>1395943</v>
      </c>
      <c r="F155" t="s">
        <v>267</v>
      </c>
    </row>
    <row r="156" spans="1:6">
      <c r="A156" t="s">
        <v>547</v>
      </c>
      <c r="B156" t="s">
        <v>258</v>
      </c>
      <c r="C156" t="s">
        <v>189</v>
      </c>
      <c r="D156" t="str">
        <f>HYPERLINK("http://service.sap.com/sap/support/notes/1396072","1396072")</f>
        <v>1396072</v>
      </c>
      <c r="F156" t="s">
        <v>268</v>
      </c>
    </row>
    <row r="157" spans="1:6">
      <c r="A157" t="s">
        <v>547</v>
      </c>
      <c r="B157" t="s">
        <v>258</v>
      </c>
      <c r="C157" t="s">
        <v>189</v>
      </c>
      <c r="D157" t="str">
        <f>HYPERLINK("http://service.sap.com/sap/support/notes/1396843","1396843")</f>
        <v>1396843</v>
      </c>
      <c r="F157" t="s">
        <v>269</v>
      </c>
    </row>
    <row r="158" spans="1:6">
      <c r="A158" t="s">
        <v>547</v>
      </c>
      <c r="B158" t="s">
        <v>258</v>
      </c>
      <c r="C158" t="s">
        <v>189</v>
      </c>
      <c r="D158" t="str">
        <f>HYPERLINK("http://service.sap.com/sap/support/notes/1397161","1397161")</f>
        <v>1397161</v>
      </c>
      <c r="F158" t="s">
        <v>270</v>
      </c>
    </row>
    <row r="159" spans="1:6">
      <c r="A159" t="s">
        <v>547</v>
      </c>
      <c r="B159" t="s">
        <v>258</v>
      </c>
      <c r="C159" t="s">
        <v>189</v>
      </c>
      <c r="D159" t="str">
        <f>HYPERLINK("http://service.sap.com/sap/support/notes/1399048","1399048")</f>
        <v>1399048</v>
      </c>
      <c r="F159" t="s">
        <v>271</v>
      </c>
    </row>
    <row r="160" spans="1:6">
      <c r="A160" t="s">
        <v>547</v>
      </c>
      <c r="B160" t="s">
        <v>258</v>
      </c>
      <c r="C160" t="s">
        <v>189</v>
      </c>
      <c r="D160" t="str">
        <f>HYPERLINK("http://service.sap.com/sap/support/notes/1399126","1399126")</f>
        <v>1399126</v>
      </c>
      <c r="F160" t="s">
        <v>272</v>
      </c>
    </row>
    <row r="161" spans="1:6">
      <c r="A161" t="s">
        <v>547</v>
      </c>
      <c r="B161" t="s">
        <v>273</v>
      </c>
      <c r="C161" t="s">
        <v>274</v>
      </c>
      <c r="D161" t="str">
        <f>HYPERLINK("http://service.sap.com/sap/support/notes/1388817","1388817")</f>
        <v>1388817</v>
      </c>
      <c r="F161" t="s">
        <v>275</v>
      </c>
    </row>
    <row r="162" spans="1:6">
      <c r="A162" t="s">
        <v>547</v>
      </c>
      <c r="B162" t="s">
        <v>273</v>
      </c>
      <c r="C162" t="s">
        <v>274</v>
      </c>
      <c r="D162" t="str">
        <f>HYPERLINK("http://service.sap.com/sap/support/notes/1389112","1389112")</f>
        <v>1389112</v>
      </c>
      <c r="F162" t="s">
        <v>276</v>
      </c>
    </row>
    <row r="163" spans="1:6">
      <c r="A163" t="s">
        <v>547</v>
      </c>
      <c r="B163" t="s">
        <v>273</v>
      </c>
      <c r="C163" t="s">
        <v>274</v>
      </c>
      <c r="D163" t="str">
        <f>HYPERLINK("http://service.sap.com/sap/support/notes/1396271","1396271")</f>
        <v>1396271</v>
      </c>
      <c r="F163" t="s">
        <v>277</v>
      </c>
    </row>
    <row r="164" spans="1:6">
      <c r="A164" t="s">
        <v>547</v>
      </c>
      <c r="B164" t="s">
        <v>273</v>
      </c>
      <c r="C164" t="s">
        <v>274</v>
      </c>
      <c r="D164" t="str">
        <f>HYPERLINK("http://service.sap.com/sap/support/notes/1398540","1398540")</f>
        <v>1398540</v>
      </c>
      <c r="F164" t="s">
        <v>278</v>
      </c>
    </row>
    <row r="165" spans="1:6">
      <c r="A165" t="s">
        <v>547</v>
      </c>
      <c r="B165" t="s">
        <v>279</v>
      </c>
      <c r="C165" t="s">
        <v>280</v>
      </c>
      <c r="D165" t="str">
        <f>HYPERLINK("http://service.sap.com/sap/support/notes/1230051","1230051")</f>
        <v>1230051</v>
      </c>
      <c r="F165" t="s">
        <v>281</v>
      </c>
    </row>
    <row r="166" spans="1:6">
      <c r="A166" t="s">
        <v>547</v>
      </c>
      <c r="B166" t="s">
        <v>279</v>
      </c>
      <c r="C166" t="s">
        <v>280</v>
      </c>
      <c r="D166" t="str">
        <f>HYPERLINK("http://service.sap.com/sap/support/notes/1391622","1391622")</f>
        <v>1391622</v>
      </c>
      <c r="F166" t="s">
        <v>282</v>
      </c>
    </row>
    <row r="167" spans="1:6">
      <c r="A167" t="s">
        <v>547</v>
      </c>
      <c r="B167" t="s">
        <v>279</v>
      </c>
      <c r="C167" t="s">
        <v>280</v>
      </c>
      <c r="D167" t="str">
        <f>HYPERLINK("http://service.sap.com/sap/support/notes/1393359","1393359")</f>
        <v>1393359</v>
      </c>
      <c r="F167" t="s">
        <v>283</v>
      </c>
    </row>
    <row r="168" spans="1:6">
      <c r="A168" t="s">
        <v>547</v>
      </c>
      <c r="B168" t="s">
        <v>279</v>
      </c>
      <c r="C168" t="s">
        <v>280</v>
      </c>
      <c r="D168" t="str">
        <f>HYPERLINK("http://service.sap.com/sap/support/notes/1394192","1394192")</f>
        <v>1394192</v>
      </c>
      <c r="F168" t="s">
        <v>284</v>
      </c>
    </row>
    <row r="169" spans="1:6">
      <c r="A169" t="s">
        <v>547</v>
      </c>
      <c r="B169" t="s">
        <v>279</v>
      </c>
      <c r="C169" t="s">
        <v>280</v>
      </c>
      <c r="D169" t="str">
        <f>HYPERLINK("http://service.sap.com/sap/support/notes/1394873","1394873")</f>
        <v>1394873</v>
      </c>
      <c r="F169" t="s">
        <v>285</v>
      </c>
    </row>
    <row r="170" spans="1:6">
      <c r="A170" t="s">
        <v>547</v>
      </c>
      <c r="B170" t="s">
        <v>279</v>
      </c>
      <c r="C170" t="s">
        <v>280</v>
      </c>
      <c r="D170" t="str">
        <f>HYPERLINK("http://service.sap.com/sap/support/notes/1395760","1395760")</f>
        <v>1395760</v>
      </c>
      <c r="F170" t="s">
        <v>286</v>
      </c>
    </row>
    <row r="171" spans="1:6">
      <c r="A171" t="s">
        <v>547</v>
      </c>
      <c r="B171" t="s">
        <v>279</v>
      </c>
      <c r="C171" t="s">
        <v>280</v>
      </c>
      <c r="D171" t="str">
        <f>HYPERLINK("http://service.sap.com/sap/support/notes/1396878","1396878")</f>
        <v>1396878</v>
      </c>
      <c r="F171" t="s">
        <v>287</v>
      </c>
    </row>
    <row r="172" spans="1:6">
      <c r="A172" t="s">
        <v>547</v>
      </c>
      <c r="B172" t="s">
        <v>279</v>
      </c>
      <c r="C172" t="s">
        <v>280</v>
      </c>
      <c r="D172" t="str">
        <f>HYPERLINK("http://service.sap.com/sap/support/notes/1396957","1396957")</f>
        <v>1396957</v>
      </c>
      <c r="F172" t="s">
        <v>288</v>
      </c>
    </row>
    <row r="173" spans="1:6">
      <c r="A173" t="s">
        <v>547</v>
      </c>
      <c r="B173" t="s">
        <v>279</v>
      </c>
      <c r="C173" t="s">
        <v>280</v>
      </c>
      <c r="D173" t="str">
        <f>HYPERLINK("http://service.sap.com/sap/support/notes/1396984","1396984")</f>
        <v>1396984</v>
      </c>
      <c r="F173" t="s">
        <v>289</v>
      </c>
    </row>
    <row r="174" spans="1:6">
      <c r="A174" t="s">
        <v>547</v>
      </c>
      <c r="B174" t="s">
        <v>279</v>
      </c>
      <c r="C174" t="s">
        <v>280</v>
      </c>
      <c r="D174" t="str">
        <f>HYPERLINK("http://service.sap.com/sap/support/notes/1397386","1397386")</f>
        <v>1397386</v>
      </c>
      <c r="F174" t="s">
        <v>290</v>
      </c>
    </row>
    <row r="175" spans="1:6">
      <c r="A175" t="s">
        <v>547</v>
      </c>
      <c r="B175" t="s">
        <v>279</v>
      </c>
      <c r="C175" t="s">
        <v>280</v>
      </c>
      <c r="D175" t="str">
        <f>HYPERLINK("http://service.sap.com/sap/support/notes/1397476","1397476")</f>
        <v>1397476</v>
      </c>
      <c r="F175" t="s">
        <v>291</v>
      </c>
    </row>
    <row r="176" spans="1:6">
      <c r="A176" t="s">
        <v>547</v>
      </c>
      <c r="B176" t="s">
        <v>292</v>
      </c>
      <c r="C176" t="s">
        <v>293</v>
      </c>
      <c r="D176" t="str">
        <f>HYPERLINK("http://service.sap.com/sap/support/notes/1382012","1382012")</f>
        <v>1382012</v>
      </c>
      <c r="F176" t="s">
        <v>294</v>
      </c>
    </row>
    <row r="177" spans="1:6">
      <c r="A177" t="s">
        <v>547</v>
      </c>
      <c r="B177" t="s">
        <v>295</v>
      </c>
      <c r="C177" t="s">
        <v>208</v>
      </c>
    </row>
    <row r="178" spans="1:6">
      <c r="A178" t="s">
        <v>547</v>
      </c>
      <c r="B178" t="s">
        <v>296</v>
      </c>
      <c r="C178" t="s">
        <v>297</v>
      </c>
      <c r="D178" t="str">
        <f>HYPERLINK("http://service.sap.com/sap/support/notes/1389263","1389263")</f>
        <v>1389263</v>
      </c>
      <c r="F178" t="s">
        <v>298</v>
      </c>
    </row>
    <row r="179" spans="1:6">
      <c r="A179" t="s">
        <v>547</v>
      </c>
      <c r="B179" t="s">
        <v>299</v>
      </c>
      <c r="C179" t="s">
        <v>300</v>
      </c>
      <c r="D179" t="str">
        <f>HYPERLINK("http://service.sap.com/sap/support/notes/1384381","1384381")</f>
        <v>1384381</v>
      </c>
      <c r="F179" t="s">
        <v>301</v>
      </c>
    </row>
    <row r="180" spans="1:6">
      <c r="A180" t="s">
        <v>547</v>
      </c>
      <c r="B180" t="s">
        <v>299</v>
      </c>
      <c r="C180" t="s">
        <v>300</v>
      </c>
      <c r="D180" t="str">
        <f>HYPERLINK("http://service.sap.com/sap/support/notes/1392117","1392117")</f>
        <v>1392117</v>
      </c>
      <c r="F180" t="s">
        <v>302</v>
      </c>
    </row>
    <row r="181" spans="1:6">
      <c r="A181" t="s">
        <v>547</v>
      </c>
      <c r="B181" t="s">
        <v>299</v>
      </c>
      <c r="C181" t="s">
        <v>300</v>
      </c>
      <c r="D181" t="str">
        <f>HYPERLINK("http://service.sap.com/sap/support/notes/1392999","1392999")</f>
        <v>1392999</v>
      </c>
      <c r="F181" t="s">
        <v>303</v>
      </c>
    </row>
    <row r="182" spans="1:6">
      <c r="A182" t="s">
        <v>547</v>
      </c>
      <c r="B182" t="s">
        <v>299</v>
      </c>
      <c r="C182" t="s">
        <v>300</v>
      </c>
      <c r="D182" t="str">
        <f>HYPERLINK("http://service.sap.com/sap/support/notes/1393685","1393685")</f>
        <v>1393685</v>
      </c>
      <c r="F182" t="s">
        <v>304</v>
      </c>
    </row>
    <row r="183" spans="1:6">
      <c r="A183" t="s">
        <v>547</v>
      </c>
      <c r="B183" t="s">
        <v>305</v>
      </c>
      <c r="C183" t="s">
        <v>306</v>
      </c>
      <c r="D183" t="str">
        <f>HYPERLINK("http://service.sap.com/sap/support/notes/1017716","1017716")</f>
        <v>1017716</v>
      </c>
      <c r="F183" t="s">
        <v>307</v>
      </c>
    </row>
    <row r="184" spans="1:6">
      <c r="A184" t="s">
        <v>547</v>
      </c>
      <c r="B184" t="s">
        <v>305</v>
      </c>
      <c r="C184" t="s">
        <v>306</v>
      </c>
      <c r="D184" t="str">
        <f>HYPERLINK("http://service.sap.com/sap/support/notes/1303347","1303347")</f>
        <v>1303347</v>
      </c>
      <c r="F184" t="s">
        <v>308</v>
      </c>
    </row>
    <row r="185" spans="1:6">
      <c r="A185" t="s">
        <v>547</v>
      </c>
      <c r="B185" t="s">
        <v>305</v>
      </c>
      <c r="C185" t="s">
        <v>306</v>
      </c>
      <c r="D185" t="str">
        <f>HYPERLINK("http://service.sap.com/sap/support/notes/1357909","1357909")</f>
        <v>1357909</v>
      </c>
      <c r="F185" t="s">
        <v>309</v>
      </c>
    </row>
    <row r="186" spans="1:6">
      <c r="A186" t="s">
        <v>547</v>
      </c>
      <c r="B186" t="s">
        <v>305</v>
      </c>
      <c r="C186" t="s">
        <v>306</v>
      </c>
      <c r="D186" t="str">
        <f>HYPERLINK("http://service.sap.com/sap/support/notes/1358396","1358396")</f>
        <v>1358396</v>
      </c>
      <c r="F186" t="s">
        <v>310</v>
      </c>
    </row>
    <row r="187" spans="1:6">
      <c r="A187" t="s">
        <v>547</v>
      </c>
      <c r="B187" t="s">
        <v>305</v>
      </c>
      <c r="C187" t="s">
        <v>306</v>
      </c>
      <c r="D187" t="str">
        <f>HYPERLINK("http://service.sap.com/sap/support/notes/1364762","1364762")</f>
        <v>1364762</v>
      </c>
      <c r="F187" t="s">
        <v>311</v>
      </c>
    </row>
    <row r="188" spans="1:6">
      <c r="A188" t="s">
        <v>547</v>
      </c>
      <c r="B188" t="s">
        <v>305</v>
      </c>
      <c r="C188" t="s">
        <v>306</v>
      </c>
      <c r="D188" t="str">
        <f>HYPERLINK("http://service.sap.com/sap/support/notes/1369006","1369006")</f>
        <v>1369006</v>
      </c>
      <c r="F188" t="s">
        <v>312</v>
      </c>
    </row>
    <row r="189" spans="1:6">
      <c r="A189" t="s">
        <v>547</v>
      </c>
      <c r="B189" t="s">
        <v>305</v>
      </c>
      <c r="C189" t="s">
        <v>306</v>
      </c>
      <c r="D189" t="str">
        <f>HYPERLINK("http://service.sap.com/sap/support/notes/1370397","1370397")</f>
        <v>1370397</v>
      </c>
      <c r="F189" t="s">
        <v>313</v>
      </c>
    </row>
    <row r="190" spans="1:6">
      <c r="A190" t="s">
        <v>547</v>
      </c>
      <c r="B190" t="s">
        <v>305</v>
      </c>
      <c r="C190" t="s">
        <v>306</v>
      </c>
      <c r="D190" t="str">
        <f>HYPERLINK("http://service.sap.com/sap/support/notes/1371084","1371084")</f>
        <v>1371084</v>
      </c>
      <c r="F190" t="s">
        <v>314</v>
      </c>
    </row>
    <row r="191" spans="1:6">
      <c r="A191" t="s">
        <v>547</v>
      </c>
      <c r="B191" t="s">
        <v>305</v>
      </c>
      <c r="C191" t="s">
        <v>306</v>
      </c>
      <c r="D191" t="str">
        <f>HYPERLINK("http://service.sap.com/sap/support/notes/1372300","1372300")</f>
        <v>1372300</v>
      </c>
      <c r="F191" t="s">
        <v>315</v>
      </c>
    </row>
    <row r="192" spans="1:6">
      <c r="A192" t="s">
        <v>547</v>
      </c>
      <c r="B192" t="s">
        <v>305</v>
      </c>
      <c r="C192" t="s">
        <v>306</v>
      </c>
      <c r="D192" t="str">
        <f>HYPERLINK("http://service.sap.com/sap/support/notes/1373459","1373459")</f>
        <v>1373459</v>
      </c>
      <c r="F192" t="s">
        <v>316</v>
      </c>
    </row>
    <row r="193" spans="1:6">
      <c r="A193" t="s">
        <v>547</v>
      </c>
      <c r="B193" t="s">
        <v>305</v>
      </c>
      <c r="C193" t="s">
        <v>306</v>
      </c>
      <c r="D193" t="str">
        <f>HYPERLINK("http://service.sap.com/sap/support/notes/1380041","1380041")</f>
        <v>1380041</v>
      </c>
      <c r="F193" t="s">
        <v>317</v>
      </c>
    </row>
    <row r="194" spans="1:6">
      <c r="A194" t="s">
        <v>547</v>
      </c>
      <c r="B194" t="s">
        <v>305</v>
      </c>
      <c r="C194" t="s">
        <v>306</v>
      </c>
      <c r="D194" t="str">
        <f>HYPERLINK("http://service.sap.com/sap/support/notes/1380392","1380392")</f>
        <v>1380392</v>
      </c>
      <c r="F194" t="s">
        <v>318</v>
      </c>
    </row>
    <row r="195" spans="1:6">
      <c r="A195" t="s">
        <v>547</v>
      </c>
      <c r="B195" t="s">
        <v>305</v>
      </c>
      <c r="C195" t="s">
        <v>306</v>
      </c>
      <c r="D195" t="str">
        <f>HYPERLINK("http://service.sap.com/sap/support/notes/1381761","1381761")</f>
        <v>1381761</v>
      </c>
      <c r="F195" t="s">
        <v>319</v>
      </c>
    </row>
    <row r="196" spans="1:6">
      <c r="A196" t="s">
        <v>547</v>
      </c>
      <c r="B196" t="s">
        <v>305</v>
      </c>
      <c r="C196" t="s">
        <v>306</v>
      </c>
      <c r="D196" t="str">
        <f>HYPERLINK("http://service.sap.com/sap/support/notes/1383523","1383523")</f>
        <v>1383523</v>
      </c>
      <c r="F196" t="s">
        <v>320</v>
      </c>
    </row>
    <row r="197" spans="1:6">
      <c r="A197" t="s">
        <v>547</v>
      </c>
      <c r="B197" t="s">
        <v>305</v>
      </c>
      <c r="C197" t="s">
        <v>306</v>
      </c>
      <c r="D197" t="str">
        <f>HYPERLINK("http://service.sap.com/sap/support/notes/1383588","1383588")</f>
        <v>1383588</v>
      </c>
      <c r="F197" t="s">
        <v>321</v>
      </c>
    </row>
    <row r="198" spans="1:6">
      <c r="A198" t="s">
        <v>547</v>
      </c>
      <c r="B198" t="s">
        <v>305</v>
      </c>
      <c r="C198" t="s">
        <v>306</v>
      </c>
      <c r="D198" t="str">
        <f>HYPERLINK("http://service.sap.com/sap/support/notes/1384862","1384862")</f>
        <v>1384862</v>
      </c>
      <c r="F198" t="s">
        <v>322</v>
      </c>
    </row>
    <row r="199" spans="1:6">
      <c r="A199" t="s">
        <v>547</v>
      </c>
      <c r="B199" t="s">
        <v>305</v>
      </c>
      <c r="C199" t="s">
        <v>306</v>
      </c>
      <c r="D199" t="str">
        <f>HYPERLINK("http://service.sap.com/sap/support/notes/1385458","1385458")</f>
        <v>1385458</v>
      </c>
      <c r="F199" t="s">
        <v>323</v>
      </c>
    </row>
    <row r="200" spans="1:6">
      <c r="A200" t="s">
        <v>547</v>
      </c>
      <c r="B200" t="s">
        <v>305</v>
      </c>
      <c r="C200" t="s">
        <v>306</v>
      </c>
      <c r="D200" t="str">
        <f>HYPERLINK("http://service.sap.com/sap/support/notes/1385876","1385876")</f>
        <v>1385876</v>
      </c>
      <c r="F200" t="s">
        <v>324</v>
      </c>
    </row>
    <row r="201" spans="1:6">
      <c r="A201" t="s">
        <v>547</v>
      </c>
      <c r="B201" t="s">
        <v>305</v>
      </c>
      <c r="C201" t="s">
        <v>306</v>
      </c>
      <c r="D201" t="str">
        <f>HYPERLINK("http://service.sap.com/sap/support/notes/1386910","1386910")</f>
        <v>1386910</v>
      </c>
      <c r="F201" t="s">
        <v>325</v>
      </c>
    </row>
    <row r="202" spans="1:6">
      <c r="A202" t="s">
        <v>547</v>
      </c>
      <c r="B202" t="s">
        <v>305</v>
      </c>
      <c r="C202" t="s">
        <v>306</v>
      </c>
      <c r="D202" t="str">
        <f>HYPERLINK("http://service.sap.com/sap/support/notes/1387392","1387392")</f>
        <v>1387392</v>
      </c>
      <c r="F202" t="s">
        <v>326</v>
      </c>
    </row>
    <row r="203" spans="1:6">
      <c r="A203" t="s">
        <v>547</v>
      </c>
      <c r="B203" t="s">
        <v>305</v>
      </c>
      <c r="C203" t="s">
        <v>306</v>
      </c>
      <c r="D203" t="str">
        <f>HYPERLINK("http://service.sap.com/sap/support/notes/1387446","1387446")</f>
        <v>1387446</v>
      </c>
      <c r="F203" t="s">
        <v>327</v>
      </c>
    </row>
    <row r="204" spans="1:6">
      <c r="A204" t="s">
        <v>547</v>
      </c>
      <c r="B204" t="s">
        <v>305</v>
      </c>
      <c r="C204" t="s">
        <v>306</v>
      </c>
      <c r="D204" t="str">
        <f>HYPERLINK("http://service.sap.com/sap/support/notes/1388176","1388176")</f>
        <v>1388176</v>
      </c>
      <c r="F204" t="s">
        <v>328</v>
      </c>
    </row>
    <row r="205" spans="1:6">
      <c r="A205" t="s">
        <v>547</v>
      </c>
      <c r="B205" t="s">
        <v>305</v>
      </c>
      <c r="C205" t="s">
        <v>306</v>
      </c>
      <c r="D205" t="str">
        <f>HYPERLINK("http://service.sap.com/sap/support/notes/1388312","1388312")</f>
        <v>1388312</v>
      </c>
      <c r="F205" t="s">
        <v>329</v>
      </c>
    </row>
    <row r="206" spans="1:6">
      <c r="A206" t="s">
        <v>547</v>
      </c>
      <c r="B206" t="s">
        <v>305</v>
      </c>
      <c r="C206" t="s">
        <v>306</v>
      </c>
      <c r="D206" t="str">
        <f>HYPERLINK("http://service.sap.com/sap/support/notes/1388835","1388835")</f>
        <v>1388835</v>
      </c>
      <c r="F206" t="s">
        <v>330</v>
      </c>
    </row>
    <row r="207" spans="1:6">
      <c r="A207" t="s">
        <v>547</v>
      </c>
      <c r="B207" t="s">
        <v>305</v>
      </c>
      <c r="C207" t="s">
        <v>306</v>
      </c>
      <c r="D207" t="str">
        <f>HYPERLINK("http://service.sap.com/sap/support/notes/1388840","1388840")</f>
        <v>1388840</v>
      </c>
      <c r="F207" t="s">
        <v>331</v>
      </c>
    </row>
    <row r="208" spans="1:6">
      <c r="A208" t="s">
        <v>547</v>
      </c>
      <c r="B208" t="s">
        <v>305</v>
      </c>
      <c r="C208" t="s">
        <v>306</v>
      </c>
      <c r="D208" t="str">
        <f>HYPERLINK("http://service.sap.com/sap/support/notes/1388842","1388842")</f>
        <v>1388842</v>
      </c>
      <c r="F208" t="s">
        <v>332</v>
      </c>
    </row>
    <row r="209" spans="1:6">
      <c r="A209" t="s">
        <v>547</v>
      </c>
      <c r="B209" t="s">
        <v>305</v>
      </c>
      <c r="C209" t="s">
        <v>306</v>
      </c>
      <c r="D209" t="str">
        <f>HYPERLINK("http://service.sap.com/sap/support/notes/1389749","1389749")</f>
        <v>1389749</v>
      </c>
      <c r="F209" t="s">
        <v>333</v>
      </c>
    </row>
    <row r="210" spans="1:6">
      <c r="A210" t="s">
        <v>547</v>
      </c>
      <c r="B210" t="s">
        <v>305</v>
      </c>
      <c r="C210" t="s">
        <v>306</v>
      </c>
      <c r="D210" t="str">
        <f>HYPERLINK("http://service.sap.com/sap/support/notes/1389804","1389804")</f>
        <v>1389804</v>
      </c>
      <c r="F210" t="s">
        <v>334</v>
      </c>
    </row>
    <row r="211" spans="1:6">
      <c r="A211" t="s">
        <v>547</v>
      </c>
      <c r="B211" t="s">
        <v>305</v>
      </c>
      <c r="C211" t="s">
        <v>306</v>
      </c>
      <c r="D211" t="str">
        <f>HYPERLINK("http://service.sap.com/sap/support/notes/1389831","1389831")</f>
        <v>1389831</v>
      </c>
      <c r="F211" t="s">
        <v>335</v>
      </c>
    </row>
    <row r="212" spans="1:6">
      <c r="A212" t="s">
        <v>547</v>
      </c>
      <c r="B212" t="s">
        <v>305</v>
      </c>
      <c r="C212" t="s">
        <v>306</v>
      </c>
      <c r="D212" t="str">
        <f>HYPERLINK("http://service.sap.com/sap/support/notes/1390202","1390202")</f>
        <v>1390202</v>
      </c>
      <c r="F212" t="s">
        <v>336</v>
      </c>
    </row>
    <row r="213" spans="1:6">
      <c r="A213" t="s">
        <v>547</v>
      </c>
      <c r="B213" t="s">
        <v>305</v>
      </c>
      <c r="C213" t="s">
        <v>306</v>
      </c>
      <c r="D213" t="str">
        <f>HYPERLINK("http://service.sap.com/sap/support/notes/1390775","1390775")</f>
        <v>1390775</v>
      </c>
      <c r="F213" t="s">
        <v>337</v>
      </c>
    </row>
    <row r="214" spans="1:6">
      <c r="A214" t="s">
        <v>547</v>
      </c>
      <c r="B214" t="s">
        <v>305</v>
      </c>
      <c r="C214" t="s">
        <v>306</v>
      </c>
      <c r="D214" t="str">
        <f>HYPERLINK("http://service.sap.com/sap/support/notes/1390782","1390782")</f>
        <v>1390782</v>
      </c>
      <c r="F214" t="s">
        <v>338</v>
      </c>
    </row>
    <row r="215" spans="1:6">
      <c r="A215" t="s">
        <v>547</v>
      </c>
      <c r="B215" t="s">
        <v>305</v>
      </c>
      <c r="C215" t="s">
        <v>306</v>
      </c>
      <c r="D215" t="str">
        <f>HYPERLINK("http://service.sap.com/sap/support/notes/1390828","1390828")</f>
        <v>1390828</v>
      </c>
      <c r="F215" t="s">
        <v>339</v>
      </c>
    </row>
    <row r="216" spans="1:6">
      <c r="A216" t="s">
        <v>547</v>
      </c>
      <c r="B216" t="s">
        <v>305</v>
      </c>
      <c r="C216" t="s">
        <v>306</v>
      </c>
      <c r="D216" t="str">
        <f>HYPERLINK("http://service.sap.com/sap/support/notes/1391248","1391248")</f>
        <v>1391248</v>
      </c>
      <c r="F216" t="s">
        <v>340</v>
      </c>
    </row>
    <row r="217" spans="1:6">
      <c r="A217" t="s">
        <v>547</v>
      </c>
      <c r="B217" t="s">
        <v>305</v>
      </c>
      <c r="C217" t="s">
        <v>306</v>
      </c>
      <c r="D217" t="str">
        <f>HYPERLINK("http://service.sap.com/sap/support/notes/1391859","1391859")</f>
        <v>1391859</v>
      </c>
      <c r="F217" t="s">
        <v>341</v>
      </c>
    </row>
    <row r="218" spans="1:6">
      <c r="A218" t="s">
        <v>547</v>
      </c>
      <c r="B218" t="s">
        <v>305</v>
      </c>
      <c r="C218" t="s">
        <v>306</v>
      </c>
      <c r="D218" t="str">
        <f>HYPERLINK("http://service.sap.com/sap/support/notes/1392231","1392231")</f>
        <v>1392231</v>
      </c>
      <c r="F218" t="s">
        <v>342</v>
      </c>
    </row>
    <row r="219" spans="1:6">
      <c r="A219" t="s">
        <v>547</v>
      </c>
      <c r="B219" t="s">
        <v>305</v>
      </c>
      <c r="C219" t="s">
        <v>306</v>
      </c>
      <c r="D219" t="str">
        <f>HYPERLINK("http://service.sap.com/sap/support/notes/1392284","1392284")</f>
        <v>1392284</v>
      </c>
      <c r="F219" t="s">
        <v>343</v>
      </c>
    </row>
    <row r="220" spans="1:6">
      <c r="A220" t="s">
        <v>547</v>
      </c>
      <c r="B220" t="s">
        <v>305</v>
      </c>
      <c r="C220" t="s">
        <v>306</v>
      </c>
      <c r="D220" t="str">
        <f>HYPERLINK("http://service.sap.com/sap/support/notes/1392748","1392748")</f>
        <v>1392748</v>
      </c>
      <c r="F220" t="s">
        <v>344</v>
      </c>
    </row>
    <row r="221" spans="1:6">
      <c r="A221" t="s">
        <v>547</v>
      </c>
      <c r="B221" t="s">
        <v>305</v>
      </c>
      <c r="C221" t="s">
        <v>306</v>
      </c>
      <c r="D221" t="str">
        <f>HYPERLINK("http://service.sap.com/sap/support/notes/1393103","1393103")</f>
        <v>1393103</v>
      </c>
      <c r="F221" t="s">
        <v>345</v>
      </c>
    </row>
    <row r="222" spans="1:6">
      <c r="A222" t="s">
        <v>547</v>
      </c>
      <c r="B222" t="s">
        <v>305</v>
      </c>
      <c r="C222" t="s">
        <v>306</v>
      </c>
      <c r="D222" t="str">
        <f>HYPERLINK("http://service.sap.com/sap/support/notes/1393255","1393255")</f>
        <v>1393255</v>
      </c>
      <c r="F222" t="s">
        <v>346</v>
      </c>
    </row>
    <row r="223" spans="1:6">
      <c r="A223" t="s">
        <v>547</v>
      </c>
      <c r="B223" t="s">
        <v>305</v>
      </c>
      <c r="C223" t="s">
        <v>306</v>
      </c>
      <c r="D223" t="str">
        <f>HYPERLINK("http://service.sap.com/sap/support/notes/1393772","1393772")</f>
        <v>1393772</v>
      </c>
      <c r="F223" t="s">
        <v>347</v>
      </c>
    </row>
    <row r="224" spans="1:6">
      <c r="A224" t="s">
        <v>547</v>
      </c>
      <c r="B224" t="s">
        <v>305</v>
      </c>
      <c r="C224" t="s">
        <v>306</v>
      </c>
      <c r="D224" t="str">
        <f>HYPERLINK("http://service.sap.com/sap/support/notes/1393784","1393784")</f>
        <v>1393784</v>
      </c>
      <c r="F224" t="s">
        <v>348</v>
      </c>
    </row>
    <row r="225" spans="1:6">
      <c r="A225" t="s">
        <v>547</v>
      </c>
      <c r="B225" t="s">
        <v>305</v>
      </c>
      <c r="C225" t="s">
        <v>306</v>
      </c>
      <c r="D225" t="str">
        <f>HYPERLINK("http://service.sap.com/sap/support/notes/1394275","1394275")</f>
        <v>1394275</v>
      </c>
      <c r="F225" t="s">
        <v>349</v>
      </c>
    </row>
    <row r="226" spans="1:6">
      <c r="A226" t="s">
        <v>547</v>
      </c>
      <c r="B226" t="s">
        <v>305</v>
      </c>
      <c r="C226" t="s">
        <v>306</v>
      </c>
      <c r="D226" t="str">
        <f>HYPERLINK("http://service.sap.com/sap/support/notes/1396695","1396695")</f>
        <v>1396695</v>
      </c>
      <c r="F226" t="s">
        <v>350</v>
      </c>
    </row>
    <row r="227" spans="1:6">
      <c r="A227" t="s">
        <v>547</v>
      </c>
      <c r="B227" t="s">
        <v>305</v>
      </c>
      <c r="C227" t="s">
        <v>306</v>
      </c>
      <c r="D227" t="str">
        <f>HYPERLINK("http://service.sap.com/sap/support/notes/1396989","1396989")</f>
        <v>1396989</v>
      </c>
      <c r="F227" t="s">
        <v>351</v>
      </c>
    </row>
    <row r="228" spans="1:6">
      <c r="A228" t="s">
        <v>547</v>
      </c>
      <c r="B228" t="s">
        <v>352</v>
      </c>
      <c r="C228" t="s">
        <v>353</v>
      </c>
      <c r="D228" t="str">
        <f>HYPERLINK("http://service.sap.com/sap/support/notes/1390831","1390831")</f>
        <v>1390831</v>
      </c>
      <c r="F228" t="s">
        <v>354</v>
      </c>
    </row>
    <row r="229" spans="1:6">
      <c r="A229" t="s">
        <v>547</v>
      </c>
      <c r="B229" t="s">
        <v>352</v>
      </c>
      <c r="C229" t="s">
        <v>353</v>
      </c>
      <c r="D229" t="str">
        <f>HYPERLINK("http://service.sap.com/sap/support/notes/1392769","1392769")</f>
        <v>1392769</v>
      </c>
      <c r="F229" t="s">
        <v>355</v>
      </c>
    </row>
    <row r="230" spans="1:6">
      <c r="A230" t="s">
        <v>547</v>
      </c>
      <c r="B230" t="s">
        <v>352</v>
      </c>
      <c r="C230" t="s">
        <v>353</v>
      </c>
      <c r="D230" t="str">
        <f>HYPERLINK("http://service.sap.com/sap/support/notes/1394830","1394830")</f>
        <v>1394830</v>
      </c>
      <c r="F230" t="s">
        <v>356</v>
      </c>
    </row>
    <row r="231" spans="1:6">
      <c r="A231" t="s">
        <v>547</v>
      </c>
      <c r="B231" t="s">
        <v>357</v>
      </c>
      <c r="C231" t="s">
        <v>76</v>
      </c>
      <c r="D231" t="str">
        <f>HYPERLINK("http://service.sap.com/sap/support/notes/1360278","1360278")</f>
        <v>1360278</v>
      </c>
      <c r="F231" t="s">
        <v>358</v>
      </c>
    </row>
    <row r="232" spans="1:6">
      <c r="A232" t="s">
        <v>547</v>
      </c>
      <c r="B232" t="s">
        <v>357</v>
      </c>
      <c r="C232" t="s">
        <v>76</v>
      </c>
      <c r="D232" t="str">
        <f>HYPERLINK("http://service.sap.com/sap/support/notes/1381798","1381798")</f>
        <v>1381798</v>
      </c>
      <c r="F232" t="s">
        <v>359</v>
      </c>
    </row>
    <row r="233" spans="1:6">
      <c r="A233" t="s">
        <v>547</v>
      </c>
      <c r="B233" t="s">
        <v>357</v>
      </c>
      <c r="C233" t="s">
        <v>76</v>
      </c>
      <c r="D233" t="str">
        <f>HYPERLINK("http://service.sap.com/sap/support/notes/1388566","1388566")</f>
        <v>1388566</v>
      </c>
      <c r="F233" t="s">
        <v>360</v>
      </c>
    </row>
    <row r="234" spans="1:6">
      <c r="A234" t="s">
        <v>547</v>
      </c>
      <c r="B234" t="s">
        <v>357</v>
      </c>
      <c r="C234" t="s">
        <v>76</v>
      </c>
      <c r="D234" t="str">
        <f>HYPERLINK("http://service.sap.com/sap/support/notes/1392375","1392375")</f>
        <v>1392375</v>
      </c>
      <c r="F234" t="s">
        <v>361</v>
      </c>
    </row>
    <row r="235" spans="1:6">
      <c r="A235" t="s">
        <v>547</v>
      </c>
      <c r="B235" t="s">
        <v>357</v>
      </c>
      <c r="C235" t="s">
        <v>76</v>
      </c>
      <c r="D235" t="str">
        <f>HYPERLINK("http://service.sap.com/sap/support/notes/1393497","1393497")</f>
        <v>1393497</v>
      </c>
      <c r="F235" t="s">
        <v>362</v>
      </c>
    </row>
    <row r="236" spans="1:6">
      <c r="A236" t="s">
        <v>547</v>
      </c>
      <c r="B236" t="s">
        <v>357</v>
      </c>
      <c r="C236" t="s">
        <v>76</v>
      </c>
      <c r="D236" t="str">
        <f>HYPERLINK("http://service.sap.com/sap/support/notes/1394451","1394451")</f>
        <v>1394451</v>
      </c>
      <c r="F236" t="s">
        <v>363</v>
      </c>
    </row>
    <row r="237" spans="1:6">
      <c r="A237" t="s">
        <v>547</v>
      </c>
      <c r="B237" t="s">
        <v>357</v>
      </c>
      <c r="C237" t="s">
        <v>76</v>
      </c>
      <c r="D237" t="str">
        <f>HYPERLINK("http://service.sap.com/sap/support/notes/1395361","1395361")</f>
        <v>1395361</v>
      </c>
      <c r="F237" t="s">
        <v>364</v>
      </c>
    </row>
    <row r="238" spans="1:6">
      <c r="A238" t="s">
        <v>547</v>
      </c>
      <c r="B238" t="s">
        <v>357</v>
      </c>
      <c r="C238" t="s">
        <v>76</v>
      </c>
      <c r="D238" t="str">
        <f>HYPERLINK("http://service.sap.com/sap/support/notes/1396011","1396011")</f>
        <v>1396011</v>
      </c>
      <c r="F238" t="s">
        <v>365</v>
      </c>
    </row>
    <row r="239" spans="1:6">
      <c r="A239" t="s">
        <v>547</v>
      </c>
      <c r="B239" t="s">
        <v>357</v>
      </c>
      <c r="C239" t="s">
        <v>76</v>
      </c>
      <c r="D239" t="str">
        <f>HYPERLINK("http://service.sap.com/sap/support/notes/1398602","1398602")</f>
        <v>1398602</v>
      </c>
      <c r="F239" t="s">
        <v>366</v>
      </c>
    </row>
    <row r="240" spans="1:6">
      <c r="A240" t="s">
        <v>547</v>
      </c>
      <c r="B240" t="s">
        <v>367</v>
      </c>
      <c r="C240" t="s">
        <v>189</v>
      </c>
      <c r="D240" t="str">
        <f>HYPERLINK("http://service.sap.com/sap/support/notes/1390402","1390402")</f>
        <v>1390402</v>
      </c>
      <c r="F240" t="s">
        <v>368</v>
      </c>
    </row>
    <row r="241" spans="1:6">
      <c r="A241" t="s">
        <v>547</v>
      </c>
      <c r="B241" t="s">
        <v>369</v>
      </c>
      <c r="C241" t="s">
        <v>370</v>
      </c>
      <c r="D241" t="str">
        <f>HYPERLINK("http://service.sap.com/sap/support/notes/1129168","1129168")</f>
        <v>1129168</v>
      </c>
      <c r="F241" t="s">
        <v>371</v>
      </c>
    </row>
    <row r="242" spans="1:6">
      <c r="A242" t="s">
        <v>547</v>
      </c>
      <c r="B242" t="s">
        <v>369</v>
      </c>
      <c r="C242" t="s">
        <v>370</v>
      </c>
      <c r="D242" t="str">
        <f>HYPERLINK("http://service.sap.com/sap/support/notes/1394347","1394347")</f>
        <v>1394347</v>
      </c>
      <c r="F242" t="s">
        <v>372</v>
      </c>
    </row>
    <row r="243" spans="1:6">
      <c r="A243" t="s">
        <v>547</v>
      </c>
      <c r="B243" t="s">
        <v>369</v>
      </c>
      <c r="C243" t="s">
        <v>370</v>
      </c>
      <c r="D243" t="str">
        <f>HYPERLINK("http://service.sap.com/sap/support/notes/1396508","1396508")</f>
        <v>1396508</v>
      </c>
      <c r="F243" t="s">
        <v>373</v>
      </c>
    </row>
    <row r="244" spans="1:6">
      <c r="A244" t="s">
        <v>547</v>
      </c>
      <c r="B244" t="s">
        <v>374</v>
      </c>
      <c r="C244" t="s">
        <v>189</v>
      </c>
      <c r="D244" t="str">
        <f>HYPERLINK("http://service.sap.com/sap/support/notes/1377724","1377724")</f>
        <v>1377724</v>
      </c>
      <c r="F244" t="s">
        <v>375</v>
      </c>
    </row>
    <row r="245" spans="1:6">
      <c r="A245" t="s">
        <v>547</v>
      </c>
      <c r="B245" t="s">
        <v>374</v>
      </c>
      <c r="C245" t="s">
        <v>189</v>
      </c>
      <c r="D245" t="str">
        <f>HYPERLINK("http://service.sap.com/sap/support/notes/1386628","1386628")</f>
        <v>1386628</v>
      </c>
      <c r="F245" t="s">
        <v>376</v>
      </c>
    </row>
    <row r="246" spans="1:6">
      <c r="A246" t="s">
        <v>547</v>
      </c>
      <c r="B246" t="s">
        <v>374</v>
      </c>
      <c r="C246" t="s">
        <v>189</v>
      </c>
      <c r="D246" t="str">
        <f>HYPERLINK("http://service.sap.com/sap/support/notes/1387904","1387904")</f>
        <v>1387904</v>
      </c>
      <c r="F246" t="s">
        <v>377</v>
      </c>
    </row>
    <row r="247" spans="1:6">
      <c r="A247" t="s">
        <v>547</v>
      </c>
      <c r="B247" t="s">
        <v>374</v>
      </c>
      <c r="C247" t="s">
        <v>189</v>
      </c>
      <c r="D247" t="str">
        <f>HYPERLINK("http://service.sap.com/sap/support/notes/1389454","1389454")</f>
        <v>1389454</v>
      </c>
      <c r="F247" t="s">
        <v>378</v>
      </c>
    </row>
    <row r="248" spans="1:6">
      <c r="A248" t="s">
        <v>547</v>
      </c>
      <c r="B248" t="s">
        <v>374</v>
      </c>
      <c r="C248" t="s">
        <v>189</v>
      </c>
      <c r="D248" t="str">
        <f>HYPERLINK("http://service.sap.com/sap/support/notes/1390594","1390594")</f>
        <v>1390594</v>
      </c>
      <c r="F248" t="s">
        <v>379</v>
      </c>
    </row>
    <row r="249" spans="1:6">
      <c r="A249" t="s">
        <v>547</v>
      </c>
      <c r="B249" t="s">
        <v>374</v>
      </c>
      <c r="C249" t="s">
        <v>189</v>
      </c>
      <c r="D249" t="str">
        <f>HYPERLINK("http://service.sap.com/sap/support/notes/1391129","1391129")</f>
        <v>1391129</v>
      </c>
      <c r="F249" t="s">
        <v>380</v>
      </c>
    </row>
    <row r="250" spans="1:6">
      <c r="A250" t="s">
        <v>547</v>
      </c>
      <c r="B250" t="s">
        <v>374</v>
      </c>
      <c r="C250" t="s">
        <v>189</v>
      </c>
      <c r="D250" t="str">
        <f>HYPERLINK("http://service.sap.com/sap/support/notes/1391551","1391551")</f>
        <v>1391551</v>
      </c>
      <c r="F250" t="s">
        <v>381</v>
      </c>
    </row>
    <row r="251" spans="1:6">
      <c r="A251" t="s">
        <v>547</v>
      </c>
      <c r="B251" t="s">
        <v>374</v>
      </c>
      <c r="C251" t="s">
        <v>189</v>
      </c>
      <c r="D251" t="str">
        <f>HYPERLINK("http://service.sap.com/sap/support/notes/1392594","1392594")</f>
        <v>1392594</v>
      </c>
      <c r="F251" t="s">
        <v>382</v>
      </c>
    </row>
    <row r="252" spans="1:6">
      <c r="A252" t="s">
        <v>547</v>
      </c>
      <c r="B252" t="s">
        <v>374</v>
      </c>
      <c r="C252" t="s">
        <v>189</v>
      </c>
      <c r="D252" t="str">
        <f>HYPERLINK("http://service.sap.com/sap/support/notes/1392890","1392890")</f>
        <v>1392890</v>
      </c>
      <c r="F252" t="s">
        <v>383</v>
      </c>
    </row>
    <row r="253" spans="1:6">
      <c r="A253" t="s">
        <v>547</v>
      </c>
      <c r="B253" t="s">
        <v>374</v>
      </c>
      <c r="C253" t="s">
        <v>189</v>
      </c>
      <c r="D253" t="str">
        <f>HYPERLINK("http://service.sap.com/sap/support/notes/1394750","1394750")</f>
        <v>1394750</v>
      </c>
      <c r="F253" t="s">
        <v>384</v>
      </c>
    </row>
    <row r="254" spans="1:6">
      <c r="A254" t="s">
        <v>547</v>
      </c>
      <c r="B254" t="s">
        <v>385</v>
      </c>
      <c r="C254" t="s">
        <v>208</v>
      </c>
    </row>
    <row r="255" spans="1:6">
      <c r="A255" t="s">
        <v>547</v>
      </c>
      <c r="B255" t="s">
        <v>386</v>
      </c>
      <c r="C255" t="s">
        <v>387</v>
      </c>
      <c r="D255" t="str">
        <f>HYPERLINK("http://service.sap.com/sap/support/notes/1381901","1381901")</f>
        <v>1381901</v>
      </c>
      <c r="F255" t="s">
        <v>388</v>
      </c>
    </row>
    <row r="256" spans="1:6">
      <c r="A256" t="s">
        <v>547</v>
      </c>
      <c r="B256" t="s">
        <v>386</v>
      </c>
      <c r="C256" t="s">
        <v>387</v>
      </c>
      <c r="D256" t="str">
        <f>HYPERLINK("http://service.sap.com/sap/support/notes/1390565","1390565")</f>
        <v>1390565</v>
      </c>
      <c r="F256" t="s">
        <v>389</v>
      </c>
    </row>
    <row r="257" spans="1:6">
      <c r="A257" t="s">
        <v>547</v>
      </c>
      <c r="B257" t="s">
        <v>386</v>
      </c>
      <c r="C257" t="s">
        <v>387</v>
      </c>
      <c r="D257" t="str">
        <f>HYPERLINK("http://service.sap.com/sap/support/notes/1398047","1398047")</f>
        <v>1398047</v>
      </c>
      <c r="F257" t="s">
        <v>390</v>
      </c>
    </row>
    <row r="258" spans="1:6">
      <c r="A258" t="s">
        <v>547</v>
      </c>
      <c r="B258" t="s">
        <v>391</v>
      </c>
      <c r="C258" t="s">
        <v>392</v>
      </c>
      <c r="D258" t="str">
        <f>HYPERLINK("http://service.sap.com/sap/support/notes/1389486","1389486")</f>
        <v>1389486</v>
      </c>
      <c r="F258" t="s">
        <v>393</v>
      </c>
    </row>
    <row r="259" spans="1:6">
      <c r="A259" t="s">
        <v>547</v>
      </c>
      <c r="B259" t="s">
        <v>391</v>
      </c>
      <c r="C259" t="s">
        <v>392</v>
      </c>
      <c r="D259" t="str">
        <f>HYPERLINK("http://service.sap.com/sap/support/notes/1394955","1394955")</f>
        <v>1394955</v>
      </c>
      <c r="F259" t="s">
        <v>394</v>
      </c>
    </row>
    <row r="260" spans="1:6">
      <c r="A260" t="s">
        <v>547</v>
      </c>
      <c r="B260" t="s">
        <v>391</v>
      </c>
      <c r="C260" t="s">
        <v>392</v>
      </c>
      <c r="D260" t="str">
        <f>HYPERLINK("http://service.sap.com/sap/support/notes/1396416","1396416")</f>
        <v>1396416</v>
      </c>
      <c r="F260" t="s">
        <v>395</v>
      </c>
    </row>
    <row r="261" spans="1:6">
      <c r="A261" t="s">
        <v>547</v>
      </c>
      <c r="B261" t="s">
        <v>391</v>
      </c>
      <c r="C261" t="s">
        <v>392</v>
      </c>
      <c r="D261" t="str">
        <f>HYPERLINK("http://service.sap.com/sap/support/notes/1399002","1399002")</f>
        <v>1399002</v>
      </c>
      <c r="F261" t="s">
        <v>396</v>
      </c>
    </row>
    <row r="262" spans="1:6">
      <c r="A262" t="s">
        <v>547</v>
      </c>
      <c r="B262" t="s">
        <v>397</v>
      </c>
      <c r="C262" t="s">
        <v>398</v>
      </c>
      <c r="D262" t="str">
        <f>HYPERLINK("http://service.sap.com/sap/support/notes/1375360","1375360")</f>
        <v>1375360</v>
      </c>
      <c r="F262" t="s">
        <v>399</v>
      </c>
    </row>
    <row r="263" spans="1:6">
      <c r="A263" t="s">
        <v>547</v>
      </c>
      <c r="B263" t="s">
        <v>397</v>
      </c>
      <c r="C263" t="s">
        <v>398</v>
      </c>
      <c r="D263" t="str">
        <f>HYPERLINK("http://service.sap.com/sap/support/notes/1381201","1381201")</f>
        <v>1381201</v>
      </c>
      <c r="F263" t="s">
        <v>400</v>
      </c>
    </row>
    <row r="264" spans="1:6">
      <c r="A264" t="s">
        <v>547</v>
      </c>
      <c r="B264" t="s">
        <v>401</v>
      </c>
      <c r="C264" t="s">
        <v>402</v>
      </c>
      <c r="D264" t="str">
        <f>HYPERLINK("http://service.sap.com/sap/support/notes/1300717","1300717")</f>
        <v>1300717</v>
      </c>
      <c r="F264" t="s">
        <v>403</v>
      </c>
    </row>
    <row r="265" spans="1:6">
      <c r="A265" t="s">
        <v>547</v>
      </c>
      <c r="B265" t="s">
        <v>401</v>
      </c>
      <c r="C265" t="s">
        <v>402</v>
      </c>
      <c r="D265" t="str">
        <f>HYPERLINK("http://service.sap.com/sap/support/notes/1381557","1381557")</f>
        <v>1381557</v>
      </c>
      <c r="F265" t="s">
        <v>404</v>
      </c>
    </row>
    <row r="266" spans="1:6">
      <c r="A266" t="s">
        <v>547</v>
      </c>
      <c r="B266" t="s">
        <v>401</v>
      </c>
      <c r="C266" t="s">
        <v>402</v>
      </c>
      <c r="D266" t="str">
        <f>HYPERLINK("http://service.sap.com/sap/support/notes/1384182","1384182")</f>
        <v>1384182</v>
      </c>
      <c r="F266" t="s">
        <v>405</v>
      </c>
    </row>
    <row r="267" spans="1:6">
      <c r="A267" t="s">
        <v>547</v>
      </c>
      <c r="B267" t="s">
        <v>401</v>
      </c>
      <c r="C267" t="s">
        <v>402</v>
      </c>
      <c r="D267" t="str">
        <f>HYPERLINK("http://service.sap.com/sap/support/notes/1390756","1390756")</f>
        <v>1390756</v>
      </c>
      <c r="F267" t="s">
        <v>406</v>
      </c>
    </row>
    <row r="268" spans="1:6">
      <c r="A268" t="s">
        <v>547</v>
      </c>
      <c r="B268" t="s">
        <v>401</v>
      </c>
      <c r="C268" t="s">
        <v>402</v>
      </c>
      <c r="D268" t="str">
        <f>HYPERLINK("http://service.sap.com/sap/support/notes/1391604","1391604")</f>
        <v>1391604</v>
      </c>
      <c r="F268" t="s">
        <v>407</v>
      </c>
    </row>
    <row r="269" spans="1:6">
      <c r="A269" t="s">
        <v>547</v>
      </c>
      <c r="B269" t="s">
        <v>401</v>
      </c>
      <c r="C269" t="s">
        <v>402</v>
      </c>
      <c r="D269" t="str">
        <f>HYPERLINK("http://service.sap.com/sap/support/notes/1392564","1392564")</f>
        <v>1392564</v>
      </c>
      <c r="F269" t="s">
        <v>408</v>
      </c>
    </row>
    <row r="270" spans="1:6">
      <c r="A270" t="s">
        <v>547</v>
      </c>
      <c r="B270" t="s">
        <v>401</v>
      </c>
      <c r="C270" t="s">
        <v>402</v>
      </c>
      <c r="D270" t="str">
        <f>HYPERLINK("http://service.sap.com/sap/support/notes/1398747","1398747")</f>
        <v>1398747</v>
      </c>
      <c r="F270" t="s">
        <v>409</v>
      </c>
    </row>
    <row r="271" spans="1:6">
      <c r="A271" t="s">
        <v>547</v>
      </c>
      <c r="B271" t="s">
        <v>410</v>
      </c>
      <c r="C271" t="s">
        <v>411</v>
      </c>
      <c r="D271" t="str">
        <f>HYPERLINK("http://service.sap.com/sap/support/notes/1386514","1386514")</f>
        <v>1386514</v>
      </c>
      <c r="F271" t="s">
        <v>412</v>
      </c>
    </row>
    <row r="272" spans="1:6">
      <c r="A272" t="s">
        <v>547</v>
      </c>
      <c r="B272" t="s">
        <v>410</v>
      </c>
      <c r="C272" t="s">
        <v>411</v>
      </c>
      <c r="D272" t="str">
        <f>HYPERLINK("http://service.sap.com/sap/support/notes/1386568","1386568")</f>
        <v>1386568</v>
      </c>
      <c r="F272" t="s">
        <v>413</v>
      </c>
    </row>
    <row r="273" spans="1:6">
      <c r="A273" t="s">
        <v>547</v>
      </c>
      <c r="B273" t="s">
        <v>410</v>
      </c>
      <c r="C273" t="s">
        <v>411</v>
      </c>
      <c r="D273" t="str">
        <f>HYPERLINK("http://service.sap.com/sap/support/notes/1387908","1387908")</f>
        <v>1387908</v>
      </c>
      <c r="F273" t="s">
        <v>414</v>
      </c>
    </row>
    <row r="274" spans="1:6">
      <c r="A274" t="s">
        <v>547</v>
      </c>
      <c r="B274" t="s">
        <v>410</v>
      </c>
      <c r="C274" t="s">
        <v>411</v>
      </c>
      <c r="D274" t="str">
        <f>HYPERLINK("http://service.sap.com/sap/support/notes/1388442","1388442")</f>
        <v>1388442</v>
      </c>
      <c r="F274" t="s">
        <v>415</v>
      </c>
    </row>
    <row r="275" spans="1:6">
      <c r="A275" t="s">
        <v>547</v>
      </c>
      <c r="B275" t="s">
        <v>410</v>
      </c>
      <c r="C275" t="s">
        <v>411</v>
      </c>
      <c r="D275" t="str">
        <f>HYPERLINK("http://service.sap.com/sap/support/notes/1388975","1388975")</f>
        <v>1388975</v>
      </c>
      <c r="F275" t="s">
        <v>416</v>
      </c>
    </row>
    <row r="276" spans="1:6">
      <c r="A276" t="s">
        <v>547</v>
      </c>
      <c r="B276" t="s">
        <v>410</v>
      </c>
      <c r="C276" t="s">
        <v>411</v>
      </c>
      <c r="D276" t="str">
        <f>HYPERLINK("http://service.sap.com/sap/support/notes/1390897","1390897")</f>
        <v>1390897</v>
      </c>
      <c r="F276" t="s">
        <v>417</v>
      </c>
    </row>
    <row r="277" spans="1:6">
      <c r="A277" t="s">
        <v>547</v>
      </c>
      <c r="B277" t="s">
        <v>410</v>
      </c>
      <c r="C277" t="s">
        <v>411</v>
      </c>
      <c r="D277" t="str">
        <f>HYPERLINK("http://service.sap.com/sap/support/notes/1392870","1392870")</f>
        <v>1392870</v>
      </c>
      <c r="F277" t="s">
        <v>418</v>
      </c>
    </row>
    <row r="278" spans="1:6">
      <c r="A278" t="s">
        <v>547</v>
      </c>
      <c r="B278" t="s">
        <v>410</v>
      </c>
      <c r="C278" t="s">
        <v>411</v>
      </c>
      <c r="D278" t="str">
        <f>HYPERLINK("http://service.sap.com/sap/support/notes/1395044","1395044")</f>
        <v>1395044</v>
      </c>
      <c r="F278" t="s">
        <v>419</v>
      </c>
    </row>
    <row r="279" spans="1:6">
      <c r="A279" t="s">
        <v>547</v>
      </c>
      <c r="B279" t="s">
        <v>410</v>
      </c>
      <c r="C279" t="s">
        <v>411</v>
      </c>
      <c r="D279" t="str">
        <f>HYPERLINK("http://service.sap.com/sap/support/notes/1395234","1395234")</f>
        <v>1395234</v>
      </c>
      <c r="F279" t="s">
        <v>420</v>
      </c>
    </row>
    <row r="280" spans="1:6">
      <c r="A280" t="s">
        <v>547</v>
      </c>
      <c r="B280" t="s">
        <v>410</v>
      </c>
      <c r="C280" t="s">
        <v>411</v>
      </c>
      <c r="D280" t="str">
        <f>HYPERLINK("http://service.sap.com/sap/support/notes/1395319","1395319")</f>
        <v>1395319</v>
      </c>
      <c r="F280" t="s">
        <v>421</v>
      </c>
    </row>
    <row r="281" spans="1:6">
      <c r="A281" t="s">
        <v>547</v>
      </c>
      <c r="B281" t="s">
        <v>410</v>
      </c>
      <c r="C281" t="s">
        <v>411</v>
      </c>
      <c r="D281" t="str">
        <f>HYPERLINK("http://service.sap.com/sap/support/notes/1395371","1395371")</f>
        <v>1395371</v>
      </c>
      <c r="F281" t="s">
        <v>422</v>
      </c>
    </row>
    <row r="282" spans="1:6">
      <c r="A282" t="s">
        <v>547</v>
      </c>
      <c r="B282" t="s">
        <v>410</v>
      </c>
      <c r="C282" t="s">
        <v>411</v>
      </c>
      <c r="D282" t="str">
        <f>HYPERLINK("http://service.sap.com/sap/support/notes/1396970","1396970")</f>
        <v>1396970</v>
      </c>
      <c r="F282" t="s">
        <v>423</v>
      </c>
    </row>
    <row r="283" spans="1:6">
      <c r="A283" t="s">
        <v>547</v>
      </c>
      <c r="B283" t="s">
        <v>424</v>
      </c>
      <c r="C283" t="s">
        <v>425</v>
      </c>
      <c r="D283" t="str">
        <f>HYPERLINK("http://service.sap.com/sap/support/notes/1132259","1132259")</f>
        <v>1132259</v>
      </c>
      <c r="F283" t="s">
        <v>426</v>
      </c>
    </row>
    <row r="284" spans="1:6">
      <c r="A284" t="s">
        <v>547</v>
      </c>
      <c r="B284" t="s">
        <v>424</v>
      </c>
      <c r="C284" t="s">
        <v>425</v>
      </c>
      <c r="D284" t="str">
        <f>HYPERLINK("http://service.sap.com/sap/support/notes/1286005","1286005")</f>
        <v>1286005</v>
      </c>
      <c r="F284" t="s">
        <v>427</v>
      </c>
    </row>
    <row r="285" spans="1:6">
      <c r="A285" t="s">
        <v>547</v>
      </c>
      <c r="B285" t="s">
        <v>424</v>
      </c>
      <c r="C285" t="s">
        <v>425</v>
      </c>
      <c r="D285" t="str">
        <f>HYPERLINK("http://service.sap.com/sap/support/notes/1293443","1293443")</f>
        <v>1293443</v>
      </c>
      <c r="F285" t="s">
        <v>428</v>
      </c>
    </row>
    <row r="286" spans="1:6">
      <c r="A286" t="s">
        <v>547</v>
      </c>
      <c r="B286" t="s">
        <v>424</v>
      </c>
      <c r="C286" t="s">
        <v>425</v>
      </c>
      <c r="D286" t="str">
        <f>HYPERLINK("http://service.sap.com/sap/support/notes/1366260","1366260")</f>
        <v>1366260</v>
      </c>
      <c r="F286" t="s">
        <v>429</v>
      </c>
    </row>
    <row r="287" spans="1:6">
      <c r="A287" t="s">
        <v>547</v>
      </c>
      <c r="B287" t="s">
        <v>424</v>
      </c>
      <c r="C287" t="s">
        <v>425</v>
      </c>
      <c r="D287" t="str">
        <f>HYPERLINK("http://service.sap.com/sap/support/notes/1368997","1368997")</f>
        <v>1368997</v>
      </c>
      <c r="F287" t="s">
        <v>430</v>
      </c>
    </row>
    <row r="288" spans="1:6">
      <c r="A288" t="s">
        <v>547</v>
      </c>
      <c r="B288" t="s">
        <v>424</v>
      </c>
      <c r="C288" t="s">
        <v>425</v>
      </c>
      <c r="D288" t="str">
        <f>HYPERLINK("http://service.sap.com/sap/support/notes/1373407","1373407")</f>
        <v>1373407</v>
      </c>
      <c r="F288" t="s">
        <v>431</v>
      </c>
    </row>
    <row r="289" spans="1:6">
      <c r="A289" t="s">
        <v>547</v>
      </c>
      <c r="B289" t="s">
        <v>424</v>
      </c>
      <c r="C289" t="s">
        <v>425</v>
      </c>
      <c r="D289" t="str">
        <f>HYPERLINK("http://service.sap.com/sap/support/notes/1389407","1389407")</f>
        <v>1389407</v>
      </c>
      <c r="F289" t="s">
        <v>432</v>
      </c>
    </row>
    <row r="290" spans="1:6">
      <c r="A290" t="s">
        <v>547</v>
      </c>
      <c r="B290" t="s">
        <v>424</v>
      </c>
      <c r="C290" t="s">
        <v>425</v>
      </c>
      <c r="D290" t="str">
        <f>HYPERLINK("http://service.sap.com/sap/support/notes/1389885","1389885")</f>
        <v>1389885</v>
      </c>
      <c r="F290" t="s">
        <v>433</v>
      </c>
    </row>
    <row r="291" spans="1:6">
      <c r="A291" t="s">
        <v>547</v>
      </c>
      <c r="B291" t="s">
        <v>424</v>
      </c>
      <c r="C291" t="s">
        <v>425</v>
      </c>
      <c r="D291" t="str">
        <f>HYPERLINK("http://service.sap.com/sap/support/notes/1393231","1393231")</f>
        <v>1393231</v>
      </c>
      <c r="F291" t="s">
        <v>434</v>
      </c>
    </row>
    <row r="292" spans="1:6">
      <c r="A292" t="s">
        <v>547</v>
      </c>
      <c r="B292" t="s">
        <v>424</v>
      </c>
      <c r="C292" t="s">
        <v>425</v>
      </c>
      <c r="D292" t="str">
        <f>HYPERLINK("http://service.sap.com/sap/support/notes/1394294","1394294")</f>
        <v>1394294</v>
      </c>
      <c r="F292" t="s">
        <v>435</v>
      </c>
    </row>
    <row r="293" spans="1:6">
      <c r="A293" t="s">
        <v>547</v>
      </c>
      <c r="B293" t="s">
        <v>424</v>
      </c>
      <c r="C293" t="s">
        <v>425</v>
      </c>
      <c r="D293" t="str">
        <f>HYPERLINK("http://service.sap.com/sap/support/notes/1396607","1396607")</f>
        <v>1396607</v>
      </c>
      <c r="F293" t="s">
        <v>436</v>
      </c>
    </row>
    <row r="294" spans="1:6">
      <c r="A294" t="s">
        <v>547</v>
      </c>
      <c r="B294" t="s">
        <v>424</v>
      </c>
      <c r="C294" t="s">
        <v>425</v>
      </c>
      <c r="D294" t="str">
        <f>HYPERLINK("http://service.sap.com/sap/support/notes/1398820","1398820")</f>
        <v>1398820</v>
      </c>
      <c r="F294" t="s">
        <v>437</v>
      </c>
    </row>
    <row r="295" spans="1:6">
      <c r="A295" t="s">
        <v>547</v>
      </c>
      <c r="B295" t="s">
        <v>424</v>
      </c>
      <c r="C295" t="s">
        <v>425</v>
      </c>
      <c r="D295" t="str">
        <f>HYPERLINK("http://service.sap.com/sap/support/notes/1399543","1399543")</f>
        <v>1399543</v>
      </c>
      <c r="F295" t="s">
        <v>438</v>
      </c>
    </row>
    <row r="296" spans="1:6">
      <c r="A296" t="s">
        <v>547</v>
      </c>
      <c r="B296" t="s">
        <v>439</v>
      </c>
      <c r="C296" t="s">
        <v>189</v>
      </c>
      <c r="D296" t="str">
        <f>HYPERLINK("http://service.sap.com/sap/support/notes/1391921","1391921")</f>
        <v>1391921</v>
      </c>
      <c r="F296" t="s">
        <v>440</v>
      </c>
    </row>
    <row r="297" spans="1:6">
      <c r="A297" t="s">
        <v>547</v>
      </c>
      <c r="B297" t="s">
        <v>441</v>
      </c>
      <c r="C297" t="s">
        <v>442</v>
      </c>
      <c r="D297" t="str">
        <f>HYPERLINK("http://service.sap.com/sap/support/notes/1132738","1132738")</f>
        <v>1132738</v>
      </c>
      <c r="F297" t="s">
        <v>443</v>
      </c>
    </row>
    <row r="298" spans="1:6">
      <c r="A298" t="s">
        <v>547</v>
      </c>
      <c r="B298" t="s">
        <v>441</v>
      </c>
      <c r="C298" t="s">
        <v>442</v>
      </c>
      <c r="D298" t="str">
        <f>HYPERLINK("http://service.sap.com/sap/support/notes/1360744","1360744")</f>
        <v>1360744</v>
      </c>
      <c r="F298" t="s">
        <v>444</v>
      </c>
    </row>
    <row r="299" spans="1:6">
      <c r="A299" t="s">
        <v>547</v>
      </c>
      <c r="B299" t="s">
        <v>441</v>
      </c>
      <c r="C299" t="s">
        <v>442</v>
      </c>
      <c r="D299" t="str">
        <f>HYPERLINK("http://service.sap.com/sap/support/notes/1385220","1385220")</f>
        <v>1385220</v>
      </c>
      <c r="F299" t="s">
        <v>445</v>
      </c>
    </row>
    <row r="300" spans="1:6">
      <c r="A300" t="s">
        <v>547</v>
      </c>
      <c r="B300" t="s">
        <v>441</v>
      </c>
      <c r="C300" t="s">
        <v>442</v>
      </c>
      <c r="D300" t="str">
        <f>HYPERLINK("http://service.sap.com/sap/support/notes/1395786","1395786")</f>
        <v>1395786</v>
      </c>
      <c r="F300" t="s">
        <v>446</v>
      </c>
    </row>
    <row r="301" spans="1:6">
      <c r="A301" t="s">
        <v>547</v>
      </c>
      <c r="B301" t="s">
        <v>441</v>
      </c>
      <c r="C301" t="s">
        <v>442</v>
      </c>
      <c r="D301" t="str">
        <f>HYPERLINK("http://service.sap.com/sap/support/notes/1396399","1396399")</f>
        <v>1396399</v>
      </c>
      <c r="F301" t="s">
        <v>447</v>
      </c>
    </row>
    <row r="302" spans="1:6">
      <c r="A302" t="s">
        <v>547</v>
      </c>
      <c r="B302" t="s">
        <v>441</v>
      </c>
      <c r="C302" t="s">
        <v>442</v>
      </c>
      <c r="D302" t="str">
        <f>HYPERLINK("http://service.sap.com/sap/support/notes/1397230","1397230")</f>
        <v>1397230</v>
      </c>
      <c r="F302" t="s">
        <v>448</v>
      </c>
    </row>
    <row r="303" spans="1:6">
      <c r="A303" t="s">
        <v>547</v>
      </c>
      <c r="B303" t="s">
        <v>441</v>
      </c>
      <c r="C303" t="s">
        <v>442</v>
      </c>
      <c r="D303" t="str">
        <f>HYPERLINK("http://service.sap.com/sap/support/notes/1398214","1398214")</f>
        <v>1398214</v>
      </c>
      <c r="F303" t="s">
        <v>449</v>
      </c>
    </row>
    <row r="304" spans="1:6">
      <c r="A304" t="s">
        <v>547</v>
      </c>
      <c r="B304" t="s">
        <v>450</v>
      </c>
      <c r="C304" t="s">
        <v>451</v>
      </c>
      <c r="D304" t="str">
        <f>HYPERLINK("http://service.sap.com/sap/support/notes/1346548","1346548")</f>
        <v>1346548</v>
      </c>
      <c r="F304" t="s">
        <v>452</v>
      </c>
    </row>
    <row r="305" spans="1:6">
      <c r="A305" t="s">
        <v>547</v>
      </c>
      <c r="B305" t="s">
        <v>450</v>
      </c>
      <c r="C305" t="s">
        <v>451</v>
      </c>
      <c r="D305" t="str">
        <f>HYPERLINK("http://service.sap.com/sap/support/notes/1394661","1394661")</f>
        <v>1394661</v>
      </c>
      <c r="F305" t="s">
        <v>453</v>
      </c>
    </row>
    <row r="306" spans="1:6">
      <c r="A306" t="s">
        <v>547</v>
      </c>
      <c r="B306" t="s">
        <v>450</v>
      </c>
      <c r="C306" t="s">
        <v>451</v>
      </c>
      <c r="D306" t="str">
        <f>HYPERLINK("http://service.sap.com/sap/support/notes/1396177","1396177")</f>
        <v>1396177</v>
      </c>
      <c r="F306" t="s">
        <v>454</v>
      </c>
    </row>
    <row r="307" spans="1:6">
      <c r="A307" t="s">
        <v>547</v>
      </c>
      <c r="B307" t="s">
        <v>455</v>
      </c>
      <c r="C307" t="s">
        <v>456</v>
      </c>
      <c r="D307" t="str">
        <f>HYPERLINK("http://service.sap.com/sap/support/notes/1397851","1397851")</f>
        <v>1397851</v>
      </c>
      <c r="F307" t="s">
        <v>457</v>
      </c>
    </row>
    <row r="308" spans="1:6">
      <c r="A308" t="s">
        <v>547</v>
      </c>
      <c r="B308" t="s">
        <v>458</v>
      </c>
      <c r="C308" t="s">
        <v>90</v>
      </c>
      <c r="D308" t="str">
        <f>HYPERLINK("http://service.sap.com/sap/support/notes/645372","645372")</f>
        <v>645372</v>
      </c>
      <c r="F308" t="s">
        <v>459</v>
      </c>
    </row>
    <row r="309" spans="1:6">
      <c r="A309" t="s">
        <v>547</v>
      </c>
      <c r="B309" t="s">
        <v>458</v>
      </c>
      <c r="C309" t="s">
        <v>90</v>
      </c>
      <c r="D309" t="str">
        <f>HYPERLINK("http://service.sap.com/sap/support/notes/1384287","1384287")</f>
        <v>1384287</v>
      </c>
      <c r="F309" t="s">
        <v>460</v>
      </c>
    </row>
    <row r="310" spans="1:6">
      <c r="A310" t="s">
        <v>547</v>
      </c>
      <c r="B310" t="s">
        <v>458</v>
      </c>
      <c r="C310" t="s">
        <v>90</v>
      </c>
      <c r="D310" t="str">
        <f>HYPERLINK("http://service.sap.com/sap/support/notes/1392718","1392718")</f>
        <v>1392718</v>
      </c>
      <c r="F310" t="s">
        <v>461</v>
      </c>
    </row>
    <row r="311" spans="1:6">
      <c r="A311" t="s">
        <v>547</v>
      </c>
      <c r="B311" t="s">
        <v>458</v>
      </c>
      <c r="C311" t="s">
        <v>90</v>
      </c>
      <c r="D311" t="str">
        <f>HYPERLINK("http://service.sap.com/sap/support/notes/1395266","1395266")</f>
        <v>1395266</v>
      </c>
      <c r="F311" t="s">
        <v>462</v>
      </c>
    </row>
    <row r="312" spans="1:6">
      <c r="A312" t="s">
        <v>547</v>
      </c>
      <c r="B312" t="s">
        <v>463</v>
      </c>
      <c r="C312" t="s">
        <v>93</v>
      </c>
      <c r="D312" t="str">
        <f>HYPERLINK("http://service.sap.com/sap/support/notes/1378098","1378098")</f>
        <v>1378098</v>
      </c>
      <c r="F312" t="s">
        <v>464</v>
      </c>
    </row>
    <row r="313" spans="1:6">
      <c r="A313" t="s">
        <v>547</v>
      </c>
      <c r="B313" t="s">
        <v>463</v>
      </c>
      <c r="C313" t="s">
        <v>93</v>
      </c>
      <c r="D313" t="str">
        <f>HYPERLINK("http://service.sap.com/sap/support/notes/1381287","1381287")</f>
        <v>1381287</v>
      </c>
      <c r="F313" t="s">
        <v>465</v>
      </c>
    </row>
    <row r="314" spans="1:6">
      <c r="A314" t="s">
        <v>547</v>
      </c>
      <c r="B314" t="s">
        <v>463</v>
      </c>
      <c r="C314" t="s">
        <v>93</v>
      </c>
      <c r="D314" t="str">
        <f>HYPERLINK("http://service.sap.com/sap/support/notes/1385739","1385739")</f>
        <v>1385739</v>
      </c>
      <c r="F314" t="s">
        <v>466</v>
      </c>
    </row>
    <row r="315" spans="1:6">
      <c r="A315" t="s">
        <v>547</v>
      </c>
      <c r="B315" t="s">
        <v>463</v>
      </c>
      <c r="C315" t="s">
        <v>93</v>
      </c>
      <c r="D315" t="str">
        <f>HYPERLINK("http://service.sap.com/sap/support/notes/1386051","1386051")</f>
        <v>1386051</v>
      </c>
      <c r="F315" t="s">
        <v>467</v>
      </c>
    </row>
    <row r="316" spans="1:6">
      <c r="A316" t="s">
        <v>547</v>
      </c>
      <c r="B316" t="s">
        <v>463</v>
      </c>
      <c r="C316" t="s">
        <v>93</v>
      </c>
      <c r="D316" t="str">
        <f>HYPERLINK("http://service.sap.com/sap/support/notes/1388569","1388569")</f>
        <v>1388569</v>
      </c>
      <c r="F316" t="s">
        <v>468</v>
      </c>
    </row>
    <row r="317" spans="1:6">
      <c r="A317" t="s">
        <v>547</v>
      </c>
      <c r="B317" t="s">
        <v>463</v>
      </c>
      <c r="C317" t="s">
        <v>93</v>
      </c>
      <c r="D317" t="str">
        <f>HYPERLINK("http://service.sap.com/sap/support/notes/1390525","1390525")</f>
        <v>1390525</v>
      </c>
      <c r="F317" t="s">
        <v>469</v>
      </c>
    </row>
    <row r="318" spans="1:6">
      <c r="A318" t="s">
        <v>547</v>
      </c>
      <c r="B318" t="s">
        <v>463</v>
      </c>
      <c r="C318" t="s">
        <v>93</v>
      </c>
      <c r="D318" t="str">
        <f>HYPERLINK("http://service.sap.com/sap/support/notes/1393936","1393936")</f>
        <v>1393936</v>
      </c>
      <c r="F318" t="s">
        <v>470</v>
      </c>
    </row>
    <row r="319" spans="1:6">
      <c r="A319" t="s">
        <v>547</v>
      </c>
      <c r="B319" t="s">
        <v>463</v>
      </c>
      <c r="C319" t="s">
        <v>93</v>
      </c>
      <c r="D319" t="str">
        <f>HYPERLINK("http://service.sap.com/sap/support/notes/1396299","1396299")</f>
        <v>1396299</v>
      </c>
      <c r="F319" t="s">
        <v>471</v>
      </c>
    </row>
    <row r="320" spans="1:6">
      <c r="A320" t="s">
        <v>547</v>
      </c>
      <c r="B320" t="s">
        <v>463</v>
      </c>
      <c r="C320" t="s">
        <v>93</v>
      </c>
      <c r="D320" t="str">
        <f>HYPERLINK("http://service.sap.com/sap/support/notes/1396377","1396377")</f>
        <v>1396377</v>
      </c>
      <c r="F320" t="s">
        <v>472</v>
      </c>
    </row>
    <row r="321" spans="1:6">
      <c r="A321" t="s">
        <v>547</v>
      </c>
      <c r="B321" t="s">
        <v>463</v>
      </c>
      <c r="C321" t="s">
        <v>93</v>
      </c>
      <c r="D321" t="str">
        <f>HYPERLINK("http://service.sap.com/sap/support/notes/1397462","1397462")</f>
        <v>1397462</v>
      </c>
      <c r="F321" t="s">
        <v>473</v>
      </c>
    </row>
    <row r="322" spans="1:6">
      <c r="A322" t="s">
        <v>547</v>
      </c>
      <c r="B322" t="s">
        <v>463</v>
      </c>
      <c r="C322" t="s">
        <v>93</v>
      </c>
      <c r="D322" t="str">
        <f>HYPERLINK("http://service.sap.com/sap/support/notes/1398308","1398308")</f>
        <v>1398308</v>
      </c>
      <c r="F322" t="s">
        <v>474</v>
      </c>
    </row>
    <row r="323" spans="1:6">
      <c r="A323" t="s">
        <v>547</v>
      </c>
      <c r="B323" t="s">
        <v>475</v>
      </c>
      <c r="C323" t="s">
        <v>476</v>
      </c>
      <c r="D323" t="str">
        <f>HYPERLINK("http://service.sap.com/sap/support/notes/1374311","1374311")</f>
        <v>1374311</v>
      </c>
      <c r="F323" t="s">
        <v>477</v>
      </c>
    </row>
    <row r="324" spans="1:6">
      <c r="A324" t="s">
        <v>547</v>
      </c>
      <c r="B324" t="s">
        <v>475</v>
      </c>
      <c r="C324" t="s">
        <v>476</v>
      </c>
      <c r="D324" t="str">
        <f>HYPERLINK("http://service.sap.com/sap/support/notes/1394747","1394747")</f>
        <v>1394747</v>
      </c>
      <c r="F324" t="s">
        <v>478</v>
      </c>
    </row>
    <row r="325" spans="1:6">
      <c r="A325" t="s">
        <v>547</v>
      </c>
      <c r="B325" t="s">
        <v>479</v>
      </c>
      <c r="C325" t="s">
        <v>480</v>
      </c>
      <c r="D325" t="str">
        <f>HYPERLINK("http://service.sap.com/sap/support/notes/1387130","1387130")</f>
        <v>1387130</v>
      </c>
      <c r="F325" t="s">
        <v>481</v>
      </c>
    </row>
    <row r="326" spans="1:6">
      <c r="A326" t="s">
        <v>547</v>
      </c>
      <c r="B326" t="s">
        <v>482</v>
      </c>
      <c r="C326" t="s">
        <v>483</v>
      </c>
      <c r="D326" t="str">
        <f>HYPERLINK("http://service.sap.com/sap/support/notes/1295663","1295663")</f>
        <v>1295663</v>
      </c>
      <c r="F326" t="s">
        <v>484</v>
      </c>
    </row>
    <row r="327" spans="1:6">
      <c r="A327" t="s">
        <v>547</v>
      </c>
      <c r="B327" t="s">
        <v>485</v>
      </c>
      <c r="C327" t="s">
        <v>486</v>
      </c>
      <c r="D327" t="str">
        <f>HYPERLINK("http://service.sap.com/sap/support/notes/1355505","1355505")</f>
        <v>1355505</v>
      </c>
      <c r="F327" t="s">
        <v>487</v>
      </c>
    </row>
    <row r="328" spans="1:6">
      <c r="A328" t="s">
        <v>547</v>
      </c>
      <c r="B328" t="s">
        <v>485</v>
      </c>
      <c r="C328" t="s">
        <v>486</v>
      </c>
      <c r="D328" t="str">
        <f>HYPERLINK("http://service.sap.com/sap/support/notes/1375989","1375989")</f>
        <v>1375989</v>
      </c>
      <c r="F328" t="s">
        <v>488</v>
      </c>
    </row>
    <row r="329" spans="1:6">
      <c r="A329" t="s">
        <v>547</v>
      </c>
      <c r="B329" t="s">
        <v>489</v>
      </c>
      <c r="C329" t="s">
        <v>490</v>
      </c>
      <c r="D329" t="str">
        <f>HYPERLINK("http://service.sap.com/sap/support/notes/1396180","1396180")</f>
        <v>1396180</v>
      </c>
      <c r="F329" t="s">
        <v>491</v>
      </c>
    </row>
    <row r="330" spans="1:6">
      <c r="A330" t="s">
        <v>547</v>
      </c>
      <c r="B330" t="s">
        <v>492</v>
      </c>
      <c r="C330" t="s">
        <v>493</v>
      </c>
      <c r="D330" t="str">
        <f>HYPERLINK("http://service.sap.com/sap/support/notes/1364499","1364499")</f>
        <v>1364499</v>
      </c>
      <c r="F330" t="s">
        <v>494</v>
      </c>
    </row>
    <row r="331" spans="1:6">
      <c r="A331" t="s">
        <v>547</v>
      </c>
      <c r="B331" t="s">
        <v>492</v>
      </c>
      <c r="C331" t="s">
        <v>493</v>
      </c>
      <c r="D331" t="str">
        <f>HYPERLINK("http://service.sap.com/sap/support/notes/1390487","1390487")</f>
        <v>1390487</v>
      </c>
      <c r="F331" t="s">
        <v>495</v>
      </c>
    </row>
    <row r="332" spans="1:6">
      <c r="A332" t="s">
        <v>547</v>
      </c>
      <c r="B332" t="s">
        <v>492</v>
      </c>
      <c r="C332" t="s">
        <v>493</v>
      </c>
      <c r="D332" t="str">
        <f>HYPERLINK("http://service.sap.com/sap/support/notes/1392952","1392952")</f>
        <v>1392952</v>
      </c>
      <c r="F332" t="s">
        <v>496</v>
      </c>
    </row>
    <row r="333" spans="1:6">
      <c r="A333" t="s">
        <v>547</v>
      </c>
      <c r="B333" t="s">
        <v>492</v>
      </c>
      <c r="C333" t="s">
        <v>493</v>
      </c>
      <c r="D333" t="str">
        <f>HYPERLINK("http://service.sap.com/sap/support/notes/1394000","1394000")</f>
        <v>1394000</v>
      </c>
      <c r="F333" t="s">
        <v>497</v>
      </c>
    </row>
    <row r="334" spans="1:6">
      <c r="A334" t="s">
        <v>547</v>
      </c>
      <c r="B334" t="s">
        <v>492</v>
      </c>
      <c r="C334" t="s">
        <v>493</v>
      </c>
      <c r="D334" t="str">
        <f>HYPERLINK("http://service.sap.com/sap/support/notes/1394479","1394479")</f>
        <v>1394479</v>
      </c>
      <c r="F334" t="s">
        <v>498</v>
      </c>
    </row>
    <row r="335" spans="1:6">
      <c r="A335" t="s">
        <v>547</v>
      </c>
      <c r="B335" t="s">
        <v>492</v>
      </c>
      <c r="C335" t="s">
        <v>493</v>
      </c>
      <c r="D335" t="str">
        <f>HYPERLINK("http://service.sap.com/sap/support/notes/1396483","1396483")</f>
        <v>1396483</v>
      </c>
      <c r="F335" t="s">
        <v>499</v>
      </c>
    </row>
    <row r="336" spans="1:6">
      <c r="A336" t="s">
        <v>547</v>
      </c>
      <c r="B336" t="s">
        <v>500</v>
      </c>
      <c r="C336" t="s">
        <v>501</v>
      </c>
      <c r="D336" t="str">
        <f>HYPERLINK("http://service.sap.com/sap/support/notes/1174708","1174708")</f>
        <v>1174708</v>
      </c>
      <c r="F336" t="s">
        <v>502</v>
      </c>
    </row>
    <row r="337" spans="1:6">
      <c r="A337" t="s">
        <v>547</v>
      </c>
      <c r="B337" t="s">
        <v>500</v>
      </c>
      <c r="C337" t="s">
        <v>501</v>
      </c>
      <c r="D337" t="str">
        <f>HYPERLINK("http://service.sap.com/sap/support/notes/1393356","1393356")</f>
        <v>1393356</v>
      </c>
      <c r="F337" t="s">
        <v>503</v>
      </c>
    </row>
    <row r="338" spans="1:6">
      <c r="A338" t="s">
        <v>547</v>
      </c>
      <c r="B338" t="s">
        <v>504</v>
      </c>
      <c r="C338" t="s">
        <v>110</v>
      </c>
      <c r="D338" t="str">
        <f>HYPERLINK("http://service.sap.com/sap/support/notes/1355701","1355701")</f>
        <v>1355701</v>
      </c>
      <c r="F338" t="s">
        <v>505</v>
      </c>
    </row>
    <row r="339" spans="1:6">
      <c r="A339" t="s">
        <v>547</v>
      </c>
      <c r="B339" t="s">
        <v>504</v>
      </c>
      <c r="C339" t="s">
        <v>110</v>
      </c>
      <c r="D339" t="str">
        <f>HYPERLINK("http://service.sap.com/sap/support/notes/1373930","1373930")</f>
        <v>1373930</v>
      </c>
      <c r="F339" t="s">
        <v>506</v>
      </c>
    </row>
    <row r="340" spans="1:6">
      <c r="A340" t="s">
        <v>547</v>
      </c>
      <c r="B340" t="s">
        <v>504</v>
      </c>
      <c r="C340" t="s">
        <v>110</v>
      </c>
      <c r="D340" t="str">
        <f>HYPERLINK("http://service.sap.com/sap/support/notes/1390600","1390600")</f>
        <v>1390600</v>
      </c>
      <c r="F340" t="s">
        <v>507</v>
      </c>
    </row>
    <row r="341" spans="1:6">
      <c r="A341" t="s">
        <v>547</v>
      </c>
      <c r="B341" t="s">
        <v>504</v>
      </c>
      <c r="C341" t="s">
        <v>110</v>
      </c>
      <c r="D341" t="str">
        <f>HYPERLINK("http://service.sap.com/sap/support/notes/1393307","1393307")</f>
        <v>1393307</v>
      </c>
      <c r="F341" t="s">
        <v>508</v>
      </c>
    </row>
    <row r="342" spans="1:6">
      <c r="A342" t="s">
        <v>547</v>
      </c>
      <c r="B342" t="s">
        <v>504</v>
      </c>
      <c r="C342" t="s">
        <v>110</v>
      </c>
      <c r="D342" t="str">
        <f>HYPERLINK("http://service.sap.com/sap/support/notes/1393318","1393318")</f>
        <v>1393318</v>
      </c>
      <c r="F342" t="s">
        <v>509</v>
      </c>
    </row>
    <row r="343" spans="1:6">
      <c r="A343" t="s">
        <v>547</v>
      </c>
      <c r="B343" t="s">
        <v>510</v>
      </c>
      <c r="C343" t="s">
        <v>114</v>
      </c>
      <c r="D343" t="str">
        <f>HYPERLINK("http://service.sap.com/sap/support/notes/1390550","1390550")</f>
        <v>1390550</v>
      </c>
      <c r="F343" t="s">
        <v>511</v>
      </c>
    </row>
    <row r="344" spans="1:6">
      <c r="A344" t="s">
        <v>547</v>
      </c>
      <c r="B344" t="s">
        <v>510</v>
      </c>
      <c r="C344" t="s">
        <v>114</v>
      </c>
      <c r="D344" t="str">
        <f>HYPERLINK("http://service.sap.com/sap/support/notes/1395218","1395218")</f>
        <v>1395218</v>
      </c>
      <c r="F344" t="s">
        <v>512</v>
      </c>
    </row>
    <row r="345" spans="1:6">
      <c r="A345" t="s">
        <v>547</v>
      </c>
      <c r="B345" t="s">
        <v>513</v>
      </c>
      <c r="C345" t="s">
        <v>514</v>
      </c>
      <c r="D345" t="str">
        <f>HYPERLINK("http://service.sap.com/sap/support/notes/1387529","1387529")</f>
        <v>1387529</v>
      </c>
      <c r="F345" t="s">
        <v>515</v>
      </c>
    </row>
    <row r="346" spans="1:6">
      <c r="A346" t="s">
        <v>547</v>
      </c>
      <c r="B346" t="s">
        <v>513</v>
      </c>
      <c r="C346" t="s">
        <v>514</v>
      </c>
      <c r="D346" t="str">
        <f>HYPERLINK("http://service.sap.com/sap/support/notes/1395217","1395217")</f>
        <v>1395217</v>
      </c>
      <c r="F346" t="s">
        <v>516</v>
      </c>
    </row>
    <row r="347" spans="1:6">
      <c r="A347" t="s">
        <v>547</v>
      </c>
      <c r="B347" t="s">
        <v>513</v>
      </c>
      <c r="C347" t="s">
        <v>514</v>
      </c>
      <c r="D347" t="str">
        <f>HYPERLINK("http://service.sap.com/sap/support/notes/1395839","1395839")</f>
        <v>1395839</v>
      </c>
      <c r="F347" t="s">
        <v>517</v>
      </c>
    </row>
    <row r="348" spans="1:6">
      <c r="A348" t="s">
        <v>547</v>
      </c>
      <c r="B348" t="s">
        <v>513</v>
      </c>
      <c r="C348" t="s">
        <v>514</v>
      </c>
      <c r="D348" t="str">
        <f>HYPERLINK("http://service.sap.com/sap/support/notes/1398547","1398547")</f>
        <v>1398547</v>
      </c>
      <c r="F348" t="s">
        <v>518</v>
      </c>
    </row>
    <row r="349" spans="1:6">
      <c r="A349" t="s">
        <v>547</v>
      </c>
      <c r="B349" t="s">
        <v>519</v>
      </c>
      <c r="C349" t="s">
        <v>117</v>
      </c>
    </row>
    <row r="350" spans="1:6">
      <c r="A350" t="s">
        <v>547</v>
      </c>
      <c r="B350" t="s">
        <v>520</v>
      </c>
      <c r="C350" t="s">
        <v>239</v>
      </c>
    </row>
    <row r="351" spans="1:6">
      <c r="A351" t="s">
        <v>547</v>
      </c>
      <c r="B351" t="s">
        <v>521</v>
      </c>
      <c r="C351" t="s">
        <v>522</v>
      </c>
      <c r="D351" t="str">
        <f>HYPERLINK("http://service.sap.com/sap/support/notes/1307087","1307087")</f>
        <v>1307087</v>
      </c>
      <c r="F351" t="s">
        <v>523</v>
      </c>
    </row>
    <row r="352" spans="1:6">
      <c r="A352" t="s">
        <v>547</v>
      </c>
      <c r="B352" t="s">
        <v>521</v>
      </c>
      <c r="C352" t="s">
        <v>522</v>
      </c>
      <c r="D352" t="str">
        <f>HYPERLINK("http://service.sap.com/sap/support/notes/1370529","1370529")</f>
        <v>1370529</v>
      </c>
      <c r="F352" t="s">
        <v>524</v>
      </c>
    </row>
    <row r="353" spans="1:6">
      <c r="A353" t="s">
        <v>547</v>
      </c>
      <c r="B353" t="s">
        <v>525</v>
      </c>
      <c r="C353" t="s">
        <v>208</v>
      </c>
      <c r="D353" t="str">
        <f>HYPERLINK("http://service.sap.com/sap/support/notes/1381025","1381025")</f>
        <v>1381025</v>
      </c>
      <c r="F353" t="s">
        <v>526</v>
      </c>
    </row>
    <row r="354" spans="1:6">
      <c r="A354" t="s">
        <v>547</v>
      </c>
      <c r="B354" t="s">
        <v>525</v>
      </c>
      <c r="C354" t="s">
        <v>208</v>
      </c>
      <c r="D354" t="str">
        <f>HYPERLINK("http://service.sap.com/sap/support/notes/1385441","1385441")</f>
        <v>1385441</v>
      </c>
      <c r="F354" t="s">
        <v>527</v>
      </c>
    </row>
    <row r="355" spans="1:6">
      <c r="A355" t="s">
        <v>547</v>
      </c>
      <c r="B355" t="s">
        <v>525</v>
      </c>
      <c r="C355" t="s">
        <v>208</v>
      </c>
      <c r="D355" t="str">
        <f>HYPERLINK("http://service.sap.com/sap/support/notes/1394306","1394306")</f>
        <v>1394306</v>
      </c>
      <c r="F355" t="s">
        <v>528</v>
      </c>
    </row>
    <row r="356" spans="1:6">
      <c r="A356" t="s">
        <v>547</v>
      </c>
      <c r="B356" t="s">
        <v>529</v>
      </c>
      <c r="C356" t="s">
        <v>530</v>
      </c>
      <c r="D356" t="str">
        <f>HYPERLINK("http://service.sap.com/sap/support/notes/1075039","1075039")</f>
        <v>1075039</v>
      </c>
      <c r="F356" t="s">
        <v>531</v>
      </c>
    </row>
    <row r="357" spans="1:6">
      <c r="A357" t="s">
        <v>547</v>
      </c>
      <c r="B357" t="s">
        <v>529</v>
      </c>
      <c r="C357" t="s">
        <v>530</v>
      </c>
      <c r="D357" t="str">
        <f>HYPERLINK("http://service.sap.com/sap/support/notes/1394907","1394907")</f>
        <v>1394907</v>
      </c>
      <c r="F357" t="s">
        <v>532</v>
      </c>
    </row>
    <row r="358" spans="1:6">
      <c r="A358" t="s">
        <v>547</v>
      </c>
      <c r="B358" t="s">
        <v>533</v>
      </c>
      <c r="C358" t="s">
        <v>534</v>
      </c>
      <c r="D358" t="str">
        <f>HYPERLINK("http://service.sap.com/sap/support/notes/1392742","1392742")</f>
        <v>1392742</v>
      </c>
      <c r="F358" t="s">
        <v>535</v>
      </c>
    </row>
    <row r="359" spans="1:6">
      <c r="A359" t="s">
        <v>547</v>
      </c>
      <c r="B359" t="s">
        <v>533</v>
      </c>
      <c r="C359" t="s">
        <v>534</v>
      </c>
      <c r="D359" t="str">
        <f>HYPERLINK("http://service.sap.com/sap/support/notes/1398421","1398421")</f>
        <v>1398421</v>
      </c>
      <c r="F359" t="s">
        <v>536</v>
      </c>
    </row>
    <row r="360" spans="1:6">
      <c r="A360" t="s">
        <v>547</v>
      </c>
      <c r="B360" t="s">
        <v>537</v>
      </c>
      <c r="C360" t="s">
        <v>538</v>
      </c>
      <c r="D360" t="str">
        <f>HYPERLINK("http://service.sap.com/sap/support/notes/1369801","1369801")</f>
        <v>1369801</v>
      </c>
      <c r="F360" t="s">
        <v>539</v>
      </c>
    </row>
    <row r="361" spans="1:6">
      <c r="A361" t="s">
        <v>547</v>
      </c>
      <c r="B361" t="s">
        <v>537</v>
      </c>
      <c r="C361" t="s">
        <v>538</v>
      </c>
      <c r="D361" t="str">
        <f>HYPERLINK("http://service.sap.com/sap/support/notes/1387324","1387324")</f>
        <v>1387324</v>
      </c>
      <c r="F361" t="s">
        <v>540</v>
      </c>
    </row>
    <row r="362" spans="1:6">
      <c r="A362" t="s">
        <v>547</v>
      </c>
      <c r="B362" t="s">
        <v>541</v>
      </c>
      <c r="C362" t="s">
        <v>542</v>
      </c>
      <c r="D362" t="str">
        <f>HYPERLINK("http://service.sap.com/sap/support/notes/1387607","1387607")</f>
        <v>1387607</v>
      </c>
      <c r="F362" t="s">
        <v>543</v>
      </c>
    </row>
    <row r="363" spans="1:6">
      <c r="A363" t="s">
        <v>547</v>
      </c>
      <c r="B363" t="s">
        <v>544</v>
      </c>
      <c r="C363" t="s">
        <v>545</v>
      </c>
      <c r="D363" t="str">
        <f>HYPERLINK("http://service.sap.com/sap/support/notes/1391367","1391367")</f>
        <v>1391367</v>
      </c>
      <c r="F363" t="s">
        <v>546</v>
      </c>
    </row>
    <row r="364" spans="1:6">
      <c r="A364" t="s">
        <v>548</v>
      </c>
      <c r="B364" t="s">
        <v>7</v>
      </c>
    </row>
    <row r="365" spans="1:6">
      <c r="A365" t="s">
        <v>548</v>
      </c>
      <c r="B365" t="s">
        <v>9</v>
      </c>
      <c r="C365" t="s">
        <v>549</v>
      </c>
      <c r="D365" t="str">
        <f>HYPERLINK("http://service.sap.com/sap/support/notes/752452","752452")</f>
        <v>752452</v>
      </c>
      <c r="F365" t="s">
        <v>550</v>
      </c>
    </row>
    <row r="366" spans="1:6">
      <c r="A366" t="s">
        <v>548</v>
      </c>
      <c r="B366" t="s">
        <v>9</v>
      </c>
      <c r="C366" t="s">
        <v>549</v>
      </c>
      <c r="D366" t="str">
        <f>HYPERLINK("http://service.sap.com/sap/support/notes/1388634","1388634")</f>
        <v>1388634</v>
      </c>
      <c r="F366" t="s">
        <v>551</v>
      </c>
    </row>
    <row r="367" spans="1:6">
      <c r="A367" t="s">
        <v>548</v>
      </c>
      <c r="B367" t="s">
        <v>9</v>
      </c>
      <c r="C367" t="s">
        <v>549</v>
      </c>
      <c r="D367" t="str">
        <f>HYPERLINK("http://service.sap.com/sap/support/notes/1406176","1406176")</f>
        <v>1406176</v>
      </c>
      <c r="F367" t="s">
        <v>552</v>
      </c>
    </row>
    <row r="368" spans="1:6">
      <c r="A368" t="s">
        <v>548</v>
      </c>
      <c r="B368" t="s">
        <v>553</v>
      </c>
      <c r="C368" t="s">
        <v>554</v>
      </c>
      <c r="D368" t="str">
        <f>HYPERLINK("http://service.sap.com/sap/support/notes/1383366","1383366")</f>
        <v>1383366</v>
      </c>
      <c r="F368" t="s">
        <v>555</v>
      </c>
    </row>
    <row r="369" spans="1:6">
      <c r="A369" t="s">
        <v>548</v>
      </c>
      <c r="B369" t="s">
        <v>556</v>
      </c>
      <c r="C369" t="s">
        <v>557</v>
      </c>
      <c r="D369" t="str">
        <f>HYPERLINK("http://service.sap.com/sap/support/notes/1362704","1362704")</f>
        <v>1362704</v>
      </c>
      <c r="F369" t="s">
        <v>558</v>
      </c>
    </row>
    <row r="370" spans="1:6">
      <c r="A370" t="s">
        <v>548</v>
      </c>
      <c r="B370" t="s">
        <v>556</v>
      </c>
      <c r="C370" t="s">
        <v>557</v>
      </c>
      <c r="D370" t="str">
        <f>HYPERLINK("http://service.sap.com/sap/support/notes/1372739","1372739")</f>
        <v>1372739</v>
      </c>
      <c r="F370" t="s">
        <v>559</v>
      </c>
    </row>
    <row r="371" spans="1:6">
      <c r="A371" t="s">
        <v>548</v>
      </c>
      <c r="B371" t="s">
        <v>12</v>
      </c>
    </row>
    <row r="372" spans="1:6">
      <c r="A372" t="s">
        <v>548</v>
      </c>
      <c r="B372" t="s">
        <v>14</v>
      </c>
    </row>
    <row r="373" spans="1:6">
      <c r="A373" t="s">
        <v>548</v>
      </c>
      <c r="B373" t="s">
        <v>560</v>
      </c>
      <c r="C373" t="s">
        <v>561</v>
      </c>
      <c r="D373" t="str">
        <f>HYPERLINK("http://service.sap.com/sap/support/notes/1359808","1359808")</f>
        <v>1359808</v>
      </c>
      <c r="F373" t="s">
        <v>562</v>
      </c>
    </row>
    <row r="374" spans="1:6">
      <c r="A374" t="s">
        <v>548</v>
      </c>
      <c r="B374" t="s">
        <v>563</v>
      </c>
      <c r="C374" t="s">
        <v>564</v>
      </c>
      <c r="D374" t="str">
        <f>HYPERLINK("http://service.sap.com/sap/support/notes/1263257","1263257")</f>
        <v>1263257</v>
      </c>
      <c r="F374" t="s">
        <v>565</v>
      </c>
    </row>
    <row r="375" spans="1:6">
      <c r="A375" t="s">
        <v>548</v>
      </c>
      <c r="B375" t="s">
        <v>563</v>
      </c>
      <c r="C375" t="s">
        <v>564</v>
      </c>
      <c r="D375" t="str">
        <f>HYPERLINK("http://service.sap.com/sap/support/notes/1407249","1407249")</f>
        <v>1407249</v>
      </c>
      <c r="F375" t="s">
        <v>566</v>
      </c>
    </row>
    <row r="376" spans="1:6">
      <c r="A376" t="s">
        <v>548</v>
      </c>
      <c r="B376" t="s">
        <v>567</v>
      </c>
    </row>
    <row r="377" spans="1:6">
      <c r="A377" t="s">
        <v>548</v>
      </c>
      <c r="B377" t="s">
        <v>568</v>
      </c>
      <c r="C377" t="s">
        <v>569</v>
      </c>
      <c r="D377" t="str">
        <f>HYPERLINK("http://service.sap.com/sap/support/notes/1249009","1249009")</f>
        <v>1249009</v>
      </c>
      <c r="F377" t="s">
        <v>570</v>
      </c>
    </row>
    <row r="378" spans="1:6">
      <c r="A378" t="s">
        <v>548</v>
      </c>
      <c r="B378" t="s">
        <v>568</v>
      </c>
      <c r="C378" t="s">
        <v>569</v>
      </c>
      <c r="D378" t="str">
        <f>HYPERLINK("http://service.sap.com/sap/support/notes/1368487","1368487")</f>
        <v>1368487</v>
      </c>
      <c r="F378" t="s">
        <v>571</v>
      </c>
    </row>
    <row r="379" spans="1:6">
      <c r="A379" t="s">
        <v>548</v>
      </c>
      <c r="B379" t="s">
        <v>19</v>
      </c>
    </row>
    <row r="380" spans="1:6">
      <c r="A380" t="s">
        <v>548</v>
      </c>
      <c r="B380" t="s">
        <v>21</v>
      </c>
    </row>
    <row r="381" spans="1:6">
      <c r="A381" t="s">
        <v>548</v>
      </c>
      <c r="B381" t="s">
        <v>23</v>
      </c>
    </row>
    <row r="382" spans="1:6">
      <c r="A382" t="s">
        <v>548</v>
      </c>
      <c r="B382" t="s">
        <v>25</v>
      </c>
      <c r="C382" t="s">
        <v>572</v>
      </c>
      <c r="D382" t="str">
        <f>HYPERLINK("http://service.sap.com/sap/support/notes/1408205","1408205")</f>
        <v>1408205</v>
      </c>
      <c r="F382" t="s">
        <v>573</v>
      </c>
    </row>
    <row r="383" spans="1:6">
      <c r="A383" t="s">
        <v>548</v>
      </c>
      <c r="B383" t="s">
        <v>29</v>
      </c>
    </row>
    <row r="384" spans="1:6">
      <c r="A384" t="s">
        <v>548</v>
      </c>
      <c r="B384" t="s">
        <v>31</v>
      </c>
    </row>
    <row r="385" spans="1:6">
      <c r="A385" t="s">
        <v>548</v>
      </c>
      <c r="B385" t="s">
        <v>33</v>
      </c>
      <c r="C385" t="s">
        <v>34</v>
      </c>
      <c r="D385" t="str">
        <f>HYPERLINK("http://service.sap.com/sap/support/notes/1284280","1284280")</f>
        <v>1284280</v>
      </c>
      <c r="F385" t="s">
        <v>35</v>
      </c>
    </row>
    <row r="386" spans="1:6">
      <c r="A386" t="s">
        <v>548</v>
      </c>
      <c r="B386" t="s">
        <v>37</v>
      </c>
      <c r="C386" t="s">
        <v>17</v>
      </c>
      <c r="D386" t="str">
        <f>HYPERLINK("http://service.sap.com/sap/support/notes/1125364","1125364")</f>
        <v>1125364</v>
      </c>
      <c r="F386" t="s">
        <v>574</v>
      </c>
    </row>
    <row r="387" spans="1:6">
      <c r="A387" t="s">
        <v>548</v>
      </c>
      <c r="B387" t="s">
        <v>575</v>
      </c>
    </row>
    <row r="388" spans="1:6">
      <c r="A388" t="s">
        <v>548</v>
      </c>
      <c r="B388" t="s">
        <v>576</v>
      </c>
      <c r="C388" t="s">
        <v>577</v>
      </c>
      <c r="D388" t="str">
        <f>HYPERLINK("http://service.sap.com/sap/support/notes/1326675","1326675")</f>
        <v>1326675</v>
      </c>
      <c r="F388" t="s">
        <v>578</v>
      </c>
    </row>
    <row r="389" spans="1:6">
      <c r="A389" t="s">
        <v>548</v>
      </c>
      <c r="B389" t="s">
        <v>576</v>
      </c>
      <c r="C389" t="s">
        <v>577</v>
      </c>
      <c r="D389" t="str">
        <f>HYPERLINK("http://service.sap.com/sap/support/notes/1373273","1373273")</f>
        <v>1373273</v>
      </c>
      <c r="F389" t="s">
        <v>579</v>
      </c>
    </row>
    <row r="390" spans="1:6">
      <c r="A390" t="s">
        <v>548</v>
      </c>
      <c r="B390" t="s">
        <v>576</v>
      </c>
      <c r="C390" t="s">
        <v>577</v>
      </c>
      <c r="D390" t="str">
        <f>HYPERLINK("http://service.sap.com/sap/support/notes/1406107","1406107")</f>
        <v>1406107</v>
      </c>
      <c r="F390" t="s">
        <v>580</v>
      </c>
    </row>
    <row r="391" spans="1:6">
      <c r="A391" t="s">
        <v>548</v>
      </c>
      <c r="B391" t="s">
        <v>576</v>
      </c>
      <c r="C391" t="s">
        <v>577</v>
      </c>
      <c r="D391" t="str">
        <f>HYPERLINK("http://service.sap.com/sap/support/notes/1406263","1406263")</f>
        <v>1406263</v>
      </c>
      <c r="F391" t="s">
        <v>581</v>
      </c>
    </row>
    <row r="392" spans="1:6">
      <c r="A392" t="s">
        <v>548</v>
      </c>
      <c r="B392" t="s">
        <v>582</v>
      </c>
      <c r="C392" t="s">
        <v>583</v>
      </c>
      <c r="D392" t="str">
        <f>HYPERLINK("http://service.sap.com/sap/support/notes/1159583","1159583")</f>
        <v>1159583</v>
      </c>
      <c r="F392" t="s">
        <v>584</v>
      </c>
    </row>
    <row r="393" spans="1:6">
      <c r="A393" t="s">
        <v>548</v>
      </c>
      <c r="B393" t="s">
        <v>582</v>
      </c>
      <c r="C393" t="s">
        <v>583</v>
      </c>
      <c r="D393" t="str">
        <f>HYPERLINK("http://service.sap.com/sap/support/notes/1250331","1250331")</f>
        <v>1250331</v>
      </c>
      <c r="F393" t="s">
        <v>585</v>
      </c>
    </row>
    <row r="394" spans="1:6">
      <c r="A394" t="s">
        <v>548</v>
      </c>
      <c r="B394" t="s">
        <v>582</v>
      </c>
      <c r="C394" t="s">
        <v>583</v>
      </c>
      <c r="D394" t="str">
        <f>HYPERLINK("http://service.sap.com/sap/support/notes/1271658","1271658")</f>
        <v>1271658</v>
      </c>
      <c r="F394" t="s">
        <v>586</v>
      </c>
    </row>
    <row r="395" spans="1:6">
      <c r="A395" t="s">
        <v>548</v>
      </c>
      <c r="B395" t="s">
        <v>582</v>
      </c>
      <c r="C395" t="s">
        <v>583</v>
      </c>
      <c r="D395" t="str">
        <f>HYPERLINK("http://service.sap.com/sap/support/notes/1291597","1291597")</f>
        <v>1291597</v>
      </c>
      <c r="F395" t="s">
        <v>587</v>
      </c>
    </row>
    <row r="396" spans="1:6">
      <c r="A396" t="s">
        <v>548</v>
      </c>
      <c r="B396" t="s">
        <v>582</v>
      </c>
      <c r="C396" t="s">
        <v>583</v>
      </c>
      <c r="D396" t="str">
        <f>HYPERLINK("http://service.sap.com/sap/support/notes/1348179","1348179")</f>
        <v>1348179</v>
      </c>
      <c r="F396" t="s">
        <v>588</v>
      </c>
    </row>
    <row r="397" spans="1:6">
      <c r="A397" t="s">
        <v>548</v>
      </c>
      <c r="B397" t="s">
        <v>582</v>
      </c>
      <c r="C397" t="s">
        <v>583</v>
      </c>
      <c r="D397" t="str">
        <f>HYPERLINK("http://service.sap.com/sap/support/notes/1360226","1360226")</f>
        <v>1360226</v>
      </c>
      <c r="F397" t="s">
        <v>589</v>
      </c>
    </row>
    <row r="398" spans="1:6">
      <c r="A398" t="s">
        <v>548</v>
      </c>
      <c r="B398" t="s">
        <v>582</v>
      </c>
      <c r="C398" t="s">
        <v>583</v>
      </c>
      <c r="D398" t="str">
        <f>HYPERLINK("http://service.sap.com/sap/support/notes/1384838","1384838")</f>
        <v>1384838</v>
      </c>
      <c r="F398" t="s">
        <v>590</v>
      </c>
    </row>
    <row r="399" spans="1:6">
      <c r="A399" t="s">
        <v>548</v>
      </c>
      <c r="B399" t="s">
        <v>582</v>
      </c>
      <c r="C399" t="s">
        <v>583</v>
      </c>
      <c r="D399" t="str">
        <f>HYPERLINK("http://service.sap.com/sap/support/notes/1401309","1401309")</f>
        <v>1401309</v>
      </c>
      <c r="F399" t="s">
        <v>591</v>
      </c>
    </row>
    <row r="400" spans="1:6">
      <c r="A400" t="s">
        <v>548</v>
      </c>
      <c r="B400" t="s">
        <v>592</v>
      </c>
      <c r="C400" t="s">
        <v>593</v>
      </c>
      <c r="D400" t="str">
        <f>HYPERLINK("http://service.sap.com/sap/support/notes/660065","660065")</f>
        <v>660065</v>
      </c>
      <c r="F400" t="s">
        <v>594</v>
      </c>
    </row>
    <row r="401" spans="1:6">
      <c r="A401" t="s">
        <v>548</v>
      </c>
      <c r="B401" t="s">
        <v>595</v>
      </c>
      <c r="C401" t="s">
        <v>596</v>
      </c>
      <c r="D401" t="str">
        <f>HYPERLINK("http://service.sap.com/sap/support/notes/1271870","1271870")</f>
        <v>1271870</v>
      </c>
      <c r="F401" t="s">
        <v>597</v>
      </c>
    </row>
    <row r="402" spans="1:6">
      <c r="A402" t="s">
        <v>548</v>
      </c>
      <c r="B402" t="s">
        <v>595</v>
      </c>
      <c r="C402" t="s">
        <v>596</v>
      </c>
      <c r="D402" t="str">
        <f>HYPERLINK("http://service.sap.com/sap/support/notes/1372234","1372234")</f>
        <v>1372234</v>
      </c>
      <c r="F402" t="s">
        <v>598</v>
      </c>
    </row>
    <row r="403" spans="1:6">
      <c r="A403" t="s">
        <v>548</v>
      </c>
      <c r="B403" t="s">
        <v>599</v>
      </c>
      <c r="C403" t="s">
        <v>600</v>
      </c>
      <c r="D403" t="str">
        <f>HYPERLINK("http://service.sap.com/sap/support/notes/1002795","1002795")</f>
        <v>1002795</v>
      </c>
      <c r="F403" t="s">
        <v>601</v>
      </c>
    </row>
    <row r="404" spans="1:6">
      <c r="A404" t="s">
        <v>548</v>
      </c>
      <c r="B404" t="s">
        <v>599</v>
      </c>
      <c r="C404" t="s">
        <v>600</v>
      </c>
      <c r="D404" t="str">
        <f>HYPERLINK("http://service.sap.com/sap/support/notes/1311490","1311490")</f>
        <v>1311490</v>
      </c>
      <c r="F404" t="s">
        <v>602</v>
      </c>
    </row>
    <row r="405" spans="1:6">
      <c r="A405" t="s">
        <v>548</v>
      </c>
      <c r="B405" t="s">
        <v>599</v>
      </c>
      <c r="C405" t="s">
        <v>600</v>
      </c>
      <c r="D405" t="str">
        <f>HYPERLINK("http://service.sap.com/sap/support/notes/1351888","1351888")</f>
        <v>1351888</v>
      </c>
      <c r="F405" t="s">
        <v>603</v>
      </c>
    </row>
    <row r="406" spans="1:6">
      <c r="A406" t="s">
        <v>548</v>
      </c>
      <c r="B406" t="s">
        <v>599</v>
      </c>
      <c r="C406" t="s">
        <v>600</v>
      </c>
      <c r="D406" t="str">
        <f>HYPERLINK("http://service.sap.com/sap/support/notes/1368825","1368825")</f>
        <v>1368825</v>
      </c>
      <c r="F406" t="s">
        <v>604</v>
      </c>
    </row>
    <row r="407" spans="1:6">
      <c r="A407" t="s">
        <v>548</v>
      </c>
      <c r="B407" t="s">
        <v>599</v>
      </c>
      <c r="C407" t="s">
        <v>600</v>
      </c>
      <c r="D407" t="str">
        <f>HYPERLINK("http://service.sap.com/sap/support/notes/1370483","1370483")</f>
        <v>1370483</v>
      </c>
      <c r="F407" t="s">
        <v>605</v>
      </c>
    </row>
    <row r="408" spans="1:6">
      <c r="A408" t="s">
        <v>548</v>
      </c>
      <c r="B408" t="s">
        <v>606</v>
      </c>
      <c r="C408" t="s">
        <v>607</v>
      </c>
      <c r="D408" t="str">
        <f>HYPERLINK("http://service.sap.com/sap/support/notes/1391990","1391990")</f>
        <v>1391990</v>
      </c>
      <c r="F408" t="s">
        <v>608</v>
      </c>
    </row>
    <row r="409" spans="1:6">
      <c r="A409" t="s">
        <v>548</v>
      </c>
      <c r="B409" t="s">
        <v>609</v>
      </c>
      <c r="C409" t="s">
        <v>610</v>
      </c>
      <c r="D409" t="str">
        <f>HYPERLINK("http://service.sap.com/sap/support/notes/1309878","1309878")</f>
        <v>1309878</v>
      </c>
      <c r="F409" t="s">
        <v>611</v>
      </c>
    </row>
    <row r="410" spans="1:6">
      <c r="A410" t="s">
        <v>548</v>
      </c>
      <c r="B410" t="s">
        <v>609</v>
      </c>
      <c r="C410" t="s">
        <v>610</v>
      </c>
      <c r="D410" t="str">
        <f>HYPERLINK("http://service.sap.com/sap/support/notes/1351492","1351492")</f>
        <v>1351492</v>
      </c>
      <c r="F410" t="s">
        <v>612</v>
      </c>
    </row>
    <row r="411" spans="1:6">
      <c r="A411" t="s">
        <v>548</v>
      </c>
      <c r="B411" t="s">
        <v>609</v>
      </c>
      <c r="C411" t="s">
        <v>610</v>
      </c>
      <c r="D411" t="str">
        <f>HYPERLINK("http://service.sap.com/sap/support/notes/1366581","1366581")</f>
        <v>1366581</v>
      </c>
      <c r="F411" t="s">
        <v>613</v>
      </c>
    </row>
    <row r="412" spans="1:6">
      <c r="A412" t="s">
        <v>548</v>
      </c>
      <c r="B412" t="s">
        <v>38</v>
      </c>
      <c r="C412" t="s">
        <v>614</v>
      </c>
      <c r="D412" t="str">
        <f>HYPERLINK("http://service.sap.com/sap/support/notes/1348373","1348373")</f>
        <v>1348373</v>
      </c>
      <c r="F412" t="s">
        <v>615</v>
      </c>
    </row>
    <row r="413" spans="1:6">
      <c r="A413" t="s">
        <v>548</v>
      </c>
      <c r="B413" t="s">
        <v>41</v>
      </c>
      <c r="C413" t="s">
        <v>616</v>
      </c>
      <c r="D413" t="str">
        <f>HYPERLINK("http://service.sap.com/sap/support/notes/1397802","1397802")</f>
        <v>1397802</v>
      </c>
      <c r="F413" t="s">
        <v>617</v>
      </c>
    </row>
    <row r="414" spans="1:6">
      <c r="A414" t="s">
        <v>548</v>
      </c>
      <c r="B414" t="s">
        <v>618</v>
      </c>
      <c r="C414" t="s">
        <v>619</v>
      </c>
      <c r="D414" t="str">
        <f>HYPERLINK("http://service.sap.com/sap/support/notes/1394997","1394997")</f>
        <v>1394997</v>
      </c>
      <c r="F414" t="s">
        <v>620</v>
      </c>
    </row>
    <row r="415" spans="1:6">
      <c r="A415" t="s">
        <v>548</v>
      </c>
      <c r="B415" t="s">
        <v>618</v>
      </c>
      <c r="C415" t="s">
        <v>619</v>
      </c>
      <c r="D415" t="str">
        <f>HYPERLINK("http://service.sap.com/sap/support/notes/1402280","1402280")</f>
        <v>1402280</v>
      </c>
      <c r="F415" t="s">
        <v>621</v>
      </c>
    </row>
    <row r="416" spans="1:6">
      <c r="A416" t="s">
        <v>548</v>
      </c>
      <c r="B416" t="s">
        <v>622</v>
      </c>
      <c r="C416" t="s">
        <v>623</v>
      </c>
      <c r="D416" t="str">
        <f>HYPERLINK("http://service.sap.com/sap/support/notes/704120","704120")</f>
        <v>704120</v>
      </c>
      <c r="F416" t="s">
        <v>624</v>
      </c>
    </row>
    <row r="417" spans="1:6">
      <c r="A417" t="s">
        <v>548</v>
      </c>
      <c r="B417" t="s">
        <v>622</v>
      </c>
      <c r="C417" t="s">
        <v>623</v>
      </c>
      <c r="D417" t="str">
        <f>HYPERLINK("http://service.sap.com/sap/support/notes/1324552","1324552")</f>
        <v>1324552</v>
      </c>
      <c r="F417" t="s">
        <v>625</v>
      </c>
    </row>
    <row r="418" spans="1:6">
      <c r="A418" t="s">
        <v>548</v>
      </c>
      <c r="B418" t="s">
        <v>622</v>
      </c>
      <c r="C418" t="s">
        <v>623</v>
      </c>
      <c r="D418" t="str">
        <f>HYPERLINK("http://service.sap.com/sap/support/notes/1354669","1354669")</f>
        <v>1354669</v>
      </c>
      <c r="F418" t="s">
        <v>626</v>
      </c>
    </row>
    <row r="419" spans="1:6">
      <c r="A419" t="s">
        <v>548</v>
      </c>
      <c r="B419" t="s">
        <v>622</v>
      </c>
      <c r="C419" t="s">
        <v>623</v>
      </c>
      <c r="D419" t="str">
        <f>HYPERLINK("http://service.sap.com/sap/support/notes/1376113","1376113")</f>
        <v>1376113</v>
      </c>
      <c r="F419" t="s">
        <v>627</v>
      </c>
    </row>
    <row r="420" spans="1:6">
      <c r="A420" t="s">
        <v>548</v>
      </c>
      <c r="B420" t="s">
        <v>622</v>
      </c>
      <c r="C420" t="s">
        <v>623</v>
      </c>
      <c r="D420" t="str">
        <f>HYPERLINK("http://service.sap.com/sap/support/notes/1381684","1381684")</f>
        <v>1381684</v>
      </c>
      <c r="F420" t="s">
        <v>628</v>
      </c>
    </row>
    <row r="421" spans="1:6">
      <c r="A421" t="s">
        <v>548</v>
      </c>
      <c r="B421" t="s">
        <v>622</v>
      </c>
      <c r="C421" t="s">
        <v>623</v>
      </c>
      <c r="D421" t="str">
        <f>HYPERLINK("http://service.sap.com/sap/support/notes/1399682","1399682")</f>
        <v>1399682</v>
      </c>
      <c r="F421" t="s">
        <v>629</v>
      </c>
    </row>
    <row r="422" spans="1:6">
      <c r="A422" t="s">
        <v>548</v>
      </c>
      <c r="B422" t="s">
        <v>622</v>
      </c>
      <c r="C422" t="s">
        <v>623</v>
      </c>
      <c r="D422" t="str">
        <f>HYPERLINK("http://service.sap.com/sap/support/notes/1402247","1402247")</f>
        <v>1402247</v>
      </c>
      <c r="F422" t="s">
        <v>630</v>
      </c>
    </row>
    <row r="423" spans="1:6">
      <c r="A423" t="s">
        <v>548</v>
      </c>
      <c r="B423" t="s">
        <v>631</v>
      </c>
      <c r="C423" t="s">
        <v>632</v>
      </c>
      <c r="D423" t="str">
        <f>HYPERLINK("http://service.sap.com/sap/support/notes/1349197","1349197")</f>
        <v>1349197</v>
      </c>
      <c r="F423" t="s">
        <v>633</v>
      </c>
    </row>
    <row r="424" spans="1:6">
      <c r="A424" t="s">
        <v>548</v>
      </c>
      <c r="B424" t="s">
        <v>634</v>
      </c>
      <c r="C424" t="s">
        <v>635</v>
      </c>
      <c r="D424" t="str">
        <f>HYPERLINK("http://service.sap.com/sap/support/notes/1327830","1327830")</f>
        <v>1327830</v>
      </c>
      <c r="F424" t="s">
        <v>636</v>
      </c>
    </row>
    <row r="425" spans="1:6">
      <c r="A425" t="s">
        <v>548</v>
      </c>
      <c r="B425" t="s">
        <v>634</v>
      </c>
      <c r="C425" t="s">
        <v>635</v>
      </c>
      <c r="D425" t="str">
        <f>HYPERLINK("http://service.sap.com/sap/support/notes/1346293","1346293")</f>
        <v>1346293</v>
      </c>
      <c r="F425" t="s">
        <v>637</v>
      </c>
    </row>
    <row r="426" spans="1:6">
      <c r="A426" t="s">
        <v>548</v>
      </c>
      <c r="B426" t="s">
        <v>634</v>
      </c>
      <c r="C426" t="s">
        <v>635</v>
      </c>
      <c r="D426" t="str">
        <f>HYPERLINK("http://service.sap.com/sap/support/notes/1351655","1351655")</f>
        <v>1351655</v>
      </c>
      <c r="F426" t="s">
        <v>638</v>
      </c>
    </row>
    <row r="427" spans="1:6">
      <c r="A427" t="s">
        <v>548</v>
      </c>
      <c r="B427" t="s">
        <v>634</v>
      </c>
      <c r="C427" t="s">
        <v>635</v>
      </c>
      <c r="D427" t="str">
        <f>HYPERLINK("http://service.sap.com/sap/support/notes/1360015","1360015")</f>
        <v>1360015</v>
      </c>
      <c r="F427" t="s">
        <v>639</v>
      </c>
    </row>
    <row r="428" spans="1:6">
      <c r="A428" t="s">
        <v>548</v>
      </c>
      <c r="B428" t="s">
        <v>634</v>
      </c>
      <c r="C428" t="s">
        <v>635</v>
      </c>
      <c r="D428" t="str">
        <f>HYPERLINK("http://service.sap.com/sap/support/notes/1369245","1369245")</f>
        <v>1369245</v>
      </c>
      <c r="F428" t="s">
        <v>640</v>
      </c>
    </row>
    <row r="429" spans="1:6">
      <c r="A429" t="s">
        <v>548</v>
      </c>
      <c r="B429" t="s">
        <v>44</v>
      </c>
    </row>
    <row r="430" spans="1:6">
      <c r="A430" t="s">
        <v>548</v>
      </c>
      <c r="B430" t="s">
        <v>46</v>
      </c>
      <c r="C430" t="s">
        <v>47</v>
      </c>
      <c r="D430" t="str">
        <f>HYPERLINK("http://service.sap.com/sap/support/notes/1041427","1041427")</f>
        <v>1041427</v>
      </c>
      <c r="F430" t="s">
        <v>48</v>
      </c>
    </row>
    <row r="431" spans="1:6">
      <c r="A431" t="s">
        <v>548</v>
      </c>
      <c r="B431" t="s">
        <v>46</v>
      </c>
      <c r="C431" t="s">
        <v>47</v>
      </c>
      <c r="D431" t="str">
        <f>HYPERLINK("http://service.sap.com/sap/support/notes/1400010","1400010")</f>
        <v>1400010</v>
      </c>
      <c r="F431" t="s">
        <v>641</v>
      </c>
    </row>
    <row r="432" spans="1:6">
      <c r="A432" t="s">
        <v>548</v>
      </c>
      <c r="B432" t="s">
        <v>49</v>
      </c>
      <c r="C432" t="s">
        <v>50</v>
      </c>
      <c r="D432" t="str">
        <f>HYPERLINK("http://service.sap.com/sap/support/notes/1325003","1325003")</f>
        <v>1325003</v>
      </c>
      <c r="F432" t="s">
        <v>642</v>
      </c>
    </row>
    <row r="433" spans="1:6">
      <c r="A433" t="s">
        <v>548</v>
      </c>
      <c r="B433" t="s">
        <v>49</v>
      </c>
      <c r="C433" t="s">
        <v>50</v>
      </c>
      <c r="D433" t="str">
        <f>HYPERLINK("http://service.sap.com/sap/support/notes/1346742","1346742")</f>
        <v>1346742</v>
      </c>
      <c r="F433" t="s">
        <v>643</v>
      </c>
    </row>
    <row r="434" spans="1:6">
      <c r="A434" t="s">
        <v>548</v>
      </c>
      <c r="B434" t="s">
        <v>49</v>
      </c>
      <c r="C434" t="s">
        <v>50</v>
      </c>
      <c r="D434" t="str">
        <f>HYPERLINK("http://service.sap.com/sap/support/notes/1392838","1392838")</f>
        <v>1392838</v>
      </c>
      <c r="F434" t="s">
        <v>644</v>
      </c>
    </row>
    <row r="435" spans="1:6">
      <c r="A435" t="s">
        <v>548</v>
      </c>
      <c r="B435" t="s">
        <v>49</v>
      </c>
      <c r="C435" t="s">
        <v>50</v>
      </c>
      <c r="D435" t="str">
        <f>HYPERLINK("http://service.sap.com/sap/support/notes/1396155","1396155")</f>
        <v>1396155</v>
      </c>
      <c r="F435" t="s">
        <v>645</v>
      </c>
    </row>
    <row r="436" spans="1:6">
      <c r="A436" t="s">
        <v>548</v>
      </c>
      <c r="B436" t="s">
        <v>49</v>
      </c>
      <c r="C436" t="s">
        <v>50</v>
      </c>
      <c r="D436" t="str">
        <f>HYPERLINK("http://service.sap.com/sap/support/notes/1407401","1407401")</f>
        <v>1407401</v>
      </c>
      <c r="F436" t="s">
        <v>646</v>
      </c>
    </row>
    <row r="437" spans="1:6">
      <c r="A437" t="s">
        <v>548</v>
      </c>
      <c r="B437" t="s">
        <v>49</v>
      </c>
      <c r="C437" t="s">
        <v>50</v>
      </c>
      <c r="D437" t="str">
        <f>HYPERLINK("http://service.sap.com/sap/support/notes/1408586","1408586")</f>
        <v>1408586</v>
      </c>
      <c r="F437" t="s">
        <v>647</v>
      </c>
    </row>
    <row r="438" spans="1:6">
      <c r="A438" t="s">
        <v>548</v>
      </c>
      <c r="B438" t="s">
        <v>59</v>
      </c>
      <c r="C438" t="s">
        <v>60</v>
      </c>
      <c r="D438" t="str">
        <f>HYPERLINK("http://service.sap.com/sap/support/notes/1405889","1405889")</f>
        <v>1405889</v>
      </c>
      <c r="F438" t="s">
        <v>648</v>
      </c>
    </row>
    <row r="439" spans="1:6">
      <c r="A439" t="s">
        <v>548</v>
      </c>
      <c r="B439" t="s">
        <v>649</v>
      </c>
      <c r="C439" t="s">
        <v>212</v>
      </c>
      <c r="D439" t="str">
        <f>HYPERLINK("http://service.sap.com/sap/support/notes/1390542","1390542")</f>
        <v>1390542</v>
      </c>
      <c r="F439" t="s">
        <v>650</v>
      </c>
    </row>
    <row r="440" spans="1:6">
      <c r="A440" t="s">
        <v>548</v>
      </c>
      <c r="B440" t="s">
        <v>65</v>
      </c>
      <c r="C440" t="s">
        <v>66</v>
      </c>
      <c r="D440" t="str">
        <f>HYPERLINK("http://service.sap.com/sap/support/notes/1409599","1409599")</f>
        <v>1409599</v>
      </c>
      <c r="F440" t="s">
        <v>651</v>
      </c>
    </row>
    <row r="441" spans="1:6">
      <c r="A441" t="s">
        <v>548</v>
      </c>
      <c r="B441" t="s">
        <v>68</v>
      </c>
      <c r="C441" t="s">
        <v>69</v>
      </c>
      <c r="D441" t="str">
        <f>HYPERLINK("http://service.sap.com/sap/support/notes/1351074","1351074")</f>
        <v>1351074</v>
      </c>
      <c r="F441" t="s">
        <v>652</v>
      </c>
    </row>
    <row r="442" spans="1:6">
      <c r="A442" t="s">
        <v>548</v>
      </c>
      <c r="B442" t="s">
        <v>68</v>
      </c>
      <c r="C442" t="s">
        <v>69</v>
      </c>
      <c r="D442" t="str">
        <f>HYPERLINK("http://service.sap.com/sap/support/notes/1390106","1390106")</f>
        <v>1390106</v>
      </c>
      <c r="F442" t="s">
        <v>653</v>
      </c>
    </row>
    <row r="443" spans="1:6">
      <c r="A443" t="s">
        <v>548</v>
      </c>
      <c r="B443" t="s">
        <v>68</v>
      </c>
      <c r="C443" t="s">
        <v>69</v>
      </c>
      <c r="D443" t="str">
        <f>HYPERLINK("http://service.sap.com/sap/support/notes/1410024","1410024")</f>
        <v>1410024</v>
      </c>
      <c r="F443" t="s">
        <v>654</v>
      </c>
    </row>
    <row r="444" spans="1:6">
      <c r="A444" t="s">
        <v>548</v>
      </c>
      <c r="B444" t="s">
        <v>71</v>
      </c>
      <c r="C444" t="s">
        <v>72</v>
      </c>
      <c r="D444" t="str">
        <f>HYPERLINK("http://service.sap.com/sap/support/notes/1399618","1399618")</f>
        <v>1399618</v>
      </c>
      <c r="F444" t="s">
        <v>655</v>
      </c>
    </row>
    <row r="445" spans="1:6">
      <c r="A445" t="s">
        <v>548</v>
      </c>
      <c r="B445" t="s">
        <v>75</v>
      </c>
      <c r="C445" t="s">
        <v>76</v>
      </c>
      <c r="D445" t="str">
        <f>HYPERLINK("http://service.sap.com/sap/support/notes/700094","700094")</f>
        <v>700094</v>
      </c>
      <c r="F445" t="s">
        <v>77</v>
      </c>
    </row>
    <row r="446" spans="1:6">
      <c r="A446" t="s">
        <v>548</v>
      </c>
      <c r="B446" t="s">
        <v>75</v>
      </c>
      <c r="C446" t="s">
        <v>76</v>
      </c>
      <c r="D446" t="str">
        <f>HYPERLINK("http://service.sap.com/sap/support/notes/1408682","1408682")</f>
        <v>1408682</v>
      </c>
      <c r="F446" t="s">
        <v>656</v>
      </c>
    </row>
    <row r="447" spans="1:6">
      <c r="A447" t="s">
        <v>548</v>
      </c>
      <c r="B447" t="s">
        <v>75</v>
      </c>
      <c r="C447" t="s">
        <v>76</v>
      </c>
      <c r="D447" t="str">
        <f>HYPERLINK("http://service.sap.com/sap/support/notes/1408820","1408820")</f>
        <v>1408820</v>
      </c>
      <c r="F447" t="s">
        <v>657</v>
      </c>
    </row>
    <row r="448" spans="1:6">
      <c r="A448" t="s">
        <v>548</v>
      </c>
      <c r="B448" t="s">
        <v>79</v>
      </c>
      <c r="C448" t="s">
        <v>658</v>
      </c>
      <c r="D448" t="str">
        <f>HYPERLINK("http://service.sap.com/sap/support/notes/1370822","1370822")</f>
        <v>1370822</v>
      </c>
      <c r="F448" t="s">
        <v>659</v>
      </c>
    </row>
    <row r="449" spans="1:6">
      <c r="A449" t="s">
        <v>548</v>
      </c>
      <c r="B449" t="s">
        <v>79</v>
      </c>
      <c r="C449" t="s">
        <v>658</v>
      </c>
      <c r="D449" t="str">
        <f>HYPERLINK("http://service.sap.com/sap/support/notes/1399289","1399289")</f>
        <v>1399289</v>
      </c>
      <c r="F449" t="s">
        <v>660</v>
      </c>
    </row>
    <row r="450" spans="1:6">
      <c r="A450" t="s">
        <v>548</v>
      </c>
      <c r="B450" t="s">
        <v>79</v>
      </c>
      <c r="C450" t="s">
        <v>658</v>
      </c>
      <c r="D450" t="str">
        <f>HYPERLINK("http://service.sap.com/sap/support/notes/1401035","1401035")</f>
        <v>1401035</v>
      </c>
      <c r="F450" t="s">
        <v>661</v>
      </c>
    </row>
    <row r="451" spans="1:6">
      <c r="A451" t="s">
        <v>548</v>
      </c>
      <c r="B451" t="s">
        <v>662</v>
      </c>
      <c r="C451" t="s">
        <v>411</v>
      </c>
      <c r="D451" t="str">
        <f>HYPERLINK("http://service.sap.com/sap/support/notes/1381529","1381529")</f>
        <v>1381529</v>
      </c>
      <c r="F451" t="s">
        <v>663</v>
      </c>
    </row>
    <row r="452" spans="1:6">
      <c r="A452" t="s">
        <v>548</v>
      </c>
      <c r="B452" t="s">
        <v>662</v>
      </c>
      <c r="C452" t="s">
        <v>411</v>
      </c>
      <c r="D452" t="str">
        <f>HYPERLINK("http://service.sap.com/sap/support/notes/1381584","1381584")</f>
        <v>1381584</v>
      </c>
      <c r="F452" t="s">
        <v>664</v>
      </c>
    </row>
    <row r="453" spans="1:6">
      <c r="A453" t="s">
        <v>548</v>
      </c>
      <c r="B453" t="s">
        <v>665</v>
      </c>
      <c r="C453" t="s">
        <v>425</v>
      </c>
      <c r="D453" t="str">
        <f>HYPERLINK("http://service.sap.com/sap/support/notes/448307","448307")</f>
        <v>448307</v>
      </c>
      <c r="F453" t="s">
        <v>666</v>
      </c>
    </row>
    <row r="454" spans="1:6">
      <c r="A454" t="s">
        <v>548</v>
      </c>
      <c r="B454" t="s">
        <v>667</v>
      </c>
      <c r="C454" t="s">
        <v>442</v>
      </c>
      <c r="D454" t="str">
        <f>HYPERLINK("http://service.sap.com/sap/support/notes/1304561","1304561")</f>
        <v>1304561</v>
      </c>
      <c r="F454" t="s">
        <v>668</v>
      </c>
    </row>
    <row r="455" spans="1:6">
      <c r="A455" t="s">
        <v>548</v>
      </c>
      <c r="B455" t="s">
        <v>667</v>
      </c>
      <c r="C455" t="s">
        <v>442</v>
      </c>
      <c r="D455" t="str">
        <f>HYPERLINK("http://service.sap.com/sap/support/notes/1400209","1400209")</f>
        <v>1400209</v>
      </c>
      <c r="F455" t="s">
        <v>669</v>
      </c>
    </row>
    <row r="456" spans="1:6">
      <c r="A456" t="s">
        <v>548</v>
      </c>
      <c r="B456" t="s">
        <v>667</v>
      </c>
      <c r="C456" t="s">
        <v>442</v>
      </c>
      <c r="D456" t="str">
        <f>HYPERLINK("http://service.sap.com/sap/support/notes/1400751","1400751")</f>
        <v>1400751</v>
      </c>
      <c r="F456" t="s">
        <v>670</v>
      </c>
    </row>
    <row r="457" spans="1:6">
      <c r="A457" t="s">
        <v>548</v>
      </c>
      <c r="B457" t="s">
        <v>667</v>
      </c>
      <c r="C457" t="s">
        <v>442</v>
      </c>
      <c r="D457" t="str">
        <f>HYPERLINK("http://service.sap.com/sap/support/notes/1408526","1408526")</f>
        <v>1408526</v>
      </c>
      <c r="F457" t="s">
        <v>671</v>
      </c>
    </row>
    <row r="458" spans="1:6">
      <c r="A458" t="s">
        <v>548</v>
      </c>
      <c r="B458" t="s">
        <v>667</v>
      </c>
      <c r="C458" t="s">
        <v>442</v>
      </c>
      <c r="D458" t="str">
        <f>HYPERLINK("http://service.sap.com/sap/support/notes/1409590","1409590")</f>
        <v>1409590</v>
      </c>
      <c r="F458" t="s">
        <v>672</v>
      </c>
    </row>
    <row r="459" spans="1:6">
      <c r="A459" t="s">
        <v>548</v>
      </c>
      <c r="B459" t="s">
        <v>86</v>
      </c>
      <c r="C459" t="s">
        <v>87</v>
      </c>
      <c r="D459" t="str">
        <f>HYPERLINK("http://service.sap.com/sap/support/notes/1405768","1405768")</f>
        <v>1405768</v>
      </c>
      <c r="F459" t="s">
        <v>673</v>
      </c>
    </row>
    <row r="460" spans="1:6">
      <c r="A460" t="s">
        <v>548</v>
      </c>
      <c r="B460" t="s">
        <v>674</v>
      </c>
      <c r="C460" t="s">
        <v>451</v>
      </c>
      <c r="D460" t="str">
        <f>HYPERLINK("http://service.sap.com/sap/support/notes/1375239","1375239")</f>
        <v>1375239</v>
      </c>
      <c r="F460" t="s">
        <v>675</v>
      </c>
    </row>
    <row r="461" spans="1:6">
      <c r="A461" t="s">
        <v>548</v>
      </c>
      <c r="B461" t="s">
        <v>89</v>
      </c>
      <c r="C461" t="s">
        <v>90</v>
      </c>
      <c r="D461" t="str">
        <f>HYPERLINK("http://service.sap.com/sap/support/notes/1362825","1362825")</f>
        <v>1362825</v>
      </c>
      <c r="F461" t="s">
        <v>676</v>
      </c>
    </row>
    <row r="462" spans="1:6">
      <c r="A462" t="s">
        <v>548</v>
      </c>
      <c r="B462" t="s">
        <v>92</v>
      </c>
      <c r="C462" t="s">
        <v>93</v>
      </c>
      <c r="D462" t="str">
        <f>HYPERLINK("http://service.sap.com/sap/support/notes/1346395","1346395")</f>
        <v>1346395</v>
      </c>
      <c r="F462" t="s">
        <v>677</v>
      </c>
    </row>
    <row r="463" spans="1:6">
      <c r="A463" t="s">
        <v>548</v>
      </c>
      <c r="B463" t="s">
        <v>92</v>
      </c>
      <c r="C463" t="s">
        <v>93</v>
      </c>
      <c r="D463" t="str">
        <f>HYPERLINK("http://service.sap.com/sap/support/notes/1399770","1399770")</f>
        <v>1399770</v>
      </c>
      <c r="F463" t="s">
        <v>678</v>
      </c>
    </row>
    <row r="464" spans="1:6">
      <c r="A464" t="s">
        <v>548</v>
      </c>
      <c r="B464" t="s">
        <v>92</v>
      </c>
      <c r="C464" t="s">
        <v>93</v>
      </c>
      <c r="D464" t="str">
        <f>HYPERLINK("http://service.sap.com/sap/support/notes/1399901","1399901")</f>
        <v>1399901</v>
      </c>
      <c r="F464" t="s">
        <v>679</v>
      </c>
    </row>
    <row r="465" spans="1:6">
      <c r="A465" t="s">
        <v>548</v>
      </c>
      <c r="B465" t="s">
        <v>92</v>
      </c>
      <c r="C465" t="s">
        <v>93</v>
      </c>
      <c r="D465" t="str">
        <f>HYPERLINK("http://service.sap.com/sap/support/notes/1408480","1408480")</f>
        <v>1408480</v>
      </c>
      <c r="F465" t="s">
        <v>680</v>
      </c>
    </row>
    <row r="466" spans="1:6">
      <c r="A466" t="s">
        <v>548</v>
      </c>
      <c r="B466" t="s">
        <v>681</v>
      </c>
      <c r="C466" t="s">
        <v>486</v>
      </c>
      <c r="D466" t="str">
        <f>HYPERLINK("http://service.sap.com/sap/support/notes/1398385","1398385")</f>
        <v>1398385</v>
      </c>
      <c r="F466" t="s">
        <v>682</v>
      </c>
    </row>
    <row r="467" spans="1:6">
      <c r="A467" t="s">
        <v>548</v>
      </c>
      <c r="B467" t="s">
        <v>99</v>
      </c>
      <c r="C467" t="s">
        <v>683</v>
      </c>
      <c r="D467" t="str">
        <f>HYPERLINK("http://service.sap.com/sap/support/notes/960754","960754")</f>
        <v>960754</v>
      </c>
      <c r="F467" t="s">
        <v>684</v>
      </c>
    </row>
    <row r="468" spans="1:6">
      <c r="A468" t="s">
        <v>548</v>
      </c>
      <c r="B468" t="s">
        <v>99</v>
      </c>
      <c r="C468" t="s">
        <v>683</v>
      </c>
      <c r="D468" t="str">
        <f>HYPERLINK("http://service.sap.com/sap/support/notes/1116407","1116407")</f>
        <v>1116407</v>
      </c>
      <c r="F468" t="s">
        <v>685</v>
      </c>
    </row>
    <row r="469" spans="1:6">
      <c r="A469" t="s">
        <v>548</v>
      </c>
      <c r="B469" t="s">
        <v>99</v>
      </c>
      <c r="C469" t="s">
        <v>683</v>
      </c>
      <c r="D469" t="str">
        <f>HYPERLINK("http://service.sap.com/sap/support/notes/1387948","1387948")</f>
        <v>1387948</v>
      </c>
      <c r="F469" t="s">
        <v>686</v>
      </c>
    </row>
    <row r="470" spans="1:6">
      <c r="A470" t="s">
        <v>548</v>
      </c>
      <c r="B470" t="s">
        <v>99</v>
      </c>
      <c r="C470" t="s">
        <v>683</v>
      </c>
      <c r="D470" t="str">
        <f>HYPERLINK("http://service.sap.com/sap/support/notes/1399379","1399379")</f>
        <v>1399379</v>
      </c>
      <c r="F470" t="s">
        <v>687</v>
      </c>
    </row>
    <row r="471" spans="1:6">
      <c r="A471" t="s">
        <v>548</v>
      </c>
      <c r="B471" t="s">
        <v>99</v>
      </c>
      <c r="C471" t="s">
        <v>683</v>
      </c>
      <c r="D471" t="str">
        <f>HYPERLINK("http://service.sap.com/sap/support/notes/1399757","1399757")</f>
        <v>1399757</v>
      </c>
      <c r="F471" t="s">
        <v>688</v>
      </c>
    </row>
    <row r="472" spans="1:6">
      <c r="A472" t="s">
        <v>548</v>
      </c>
      <c r="B472" t="s">
        <v>99</v>
      </c>
      <c r="C472" t="s">
        <v>683</v>
      </c>
      <c r="D472" t="str">
        <f>HYPERLINK("http://service.sap.com/sap/support/notes/1399886","1399886")</f>
        <v>1399886</v>
      </c>
      <c r="F472" t="s">
        <v>689</v>
      </c>
    </row>
    <row r="473" spans="1:6">
      <c r="A473" t="s">
        <v>548</v>
      </c>
      <c r="B473" t="s">
        <v>99</v>
      </c>
      <c r="C473" t="s">
        <v>683</v>
      </c>
      <c r="D473" t="str">
        <f>HYPERLINK("http://service.sap.com/sap/support/notes/1401264","1401264")</f>
        <v>1401264</v>
      </c>
      <c r="F473" t="s">
        <v>690</v>
      </c>
    </row>
    <row r="474" spans="1:6">
      <c r="A474" t="s">
        <v>548</v>
      </c>
      <c r="B474" t="s">
        <v>99</v>
      </c>
      <c r="C474" t="s">
        <v>683</v>
      </c>
      <c r="D474" t="str">
        <f>HYPERLINK("http://service.sap.com/sap/support/notes/1401845","1401845")</f>
        <v>1401845</v>
      </c>
      <c r="F474" t="s">
        <v>691</v>
      </c>
    </row>
    <row r="475" spans="1:6">
      <c r="A475" t="s">
        <v>548</v>
      </c>
      <c r="B475" t="s">
        <v>99</v>
      </c>
      <c r="C475" t="s">
        <v>683</v>
      </c>
      <c r="D475" t="str">
        <f>HYPERLINK("http://service.sap.com/sap/support/notes/1404469","1404469")</f>
        <v>1404469</v>
      </c>
      <c r="F475" t="s">
        <v>692</v>
      </c>
    </row>
    <row r="476" spans="1:6">
      <c r="A476" t="s">
        <v>548</v>
      </c>
      <c r="B476" t="s">
        <v>99</v>
      </c>
      <c r="C476" t="s">
        <v>683</v>
      </c>
      <c r="D476" t="str">
        <f>HYPERLINK("http://service.sap.com/sap/support/notes/1405857","1405857")</f>
        <v>1405857</v>
      </c>
      <c r="F476" t="s">
        <v>693</v>
      </c>
    </row>
    <row r="477" spans="1:6">
      <c r="A477" t="s">
        <v>548</v>
      </c>
      <c r="B477" t="s">
        <v>99</v>
      </c>
      <c r="C477" t="s">
        <v>683</v>
      </c>
      <c r="D477" t="str">
        <f>HYPERLINK("http://service.sap.com/sap/support/notes/1406360","1406360")</f>
        <v>1406360</v>
      </c>
      <c r="F477" t="s">
        <v>694</v>
      </c>
    </row>
    <row r="478" spans="1:6">
      <c r="A478" t="s">
        <v>548</v>
      </c>
      <c r="B478" t="s">
        <v>99</v>
      </c>
      <c r="C478" t="s">
        <v>683</v>
      </c>
      <c r="D478" t="str">
        <f>HYPERLINK("http://service.sap.com/sap/support/notes/1406902","1406902")</f>
        <v>1406902</v>
      </c>
      <c r="F478" t="s">
        <v>695</v>
      </c>
    </row>
    <row r="479" spans="1:6">
      <c r="A479" t="s">
        <v>548</v>
      </c>
      <c r="B479" t="s">
        <v>99</v>
      </c>
      <c r="C479" t="s">
        <v>683</v>
      </c>
      <c r="D479" t="str">
        <f>HYPERLINK("http://service.sap.com/sap/support/notes/1407933","1407933")</f>
        <v>1407933</v>
      </c>
      <c r="F479" t="s">
        <v>696</v>
      </c>
    </row>
    <row r="480" spans="1:6">
      <c r="A480" t="s">
        <v>548</v>
      </c>
      <c r="B480" t="s">
        <v>99</v>
      </c>
      <c r="C480" t="s">
        <v>683</v>
      </c>
      <c r="D480" t="str">
        <f>HYPERLINK("http://service.sap.com/sap/support/notes/1409807","1409807")</f>
        <v>1409807</v>
      </c>
      <c r="F480" t="s">
        <v>697</v>
      </c>
    </row>
    <row r="481" spans="1:6">
      <c r="A481" t="s">
        <v>548</v>
      </c>
      <c r="B481" t="s">
        <v>109</v>
      </c>
      <c r="C481" t="s">
        <v>110</v>
      </c>
      <c r="D481" t="str">
        <f>HYPERLINK("http://service.sap.com/sap/support/notes/1371521","1371521")</f>
        <v>1371521</v>
      </c>
      <c r="F481" t="s">
        <v>698</v>
      </c>
    </row>
    <row r="482" spans="1:6">
      <c r="A482" t="s">
        <v>548</v>
      </c>
      <c r="B482" t="s">
        <v>109</v>
      </c>
      <c r="C482" t="s">
        <v>110</v>
      </c>
      <c r="D482" t="str">
        <f>HYPERLINK("http://service.sap.com/sap/support/notes/1402851","1402851")</f>
        <v>1402851</v>
      </c>
      <c r="F482" t="s">
        <v>699</v>
      </c>
    </row>
    <row r="483" spans="1:6">
      <c r="A483" t="s">
        <v>548</v>
      </c>
      <c r="B483" t="s">
        <v>109</v>
      </c>
      <c r="C483" t="s">
        <v>110</v>
      </c>
      <c r="D483" t="str">
        <f>HYPERLINK("http://service.sap.com/sap/support/notes/1404192","1404192")</f>
        <v>1404192</v>
      </c>
      <c r="F483" t="s">
        <v>700</v>
      </c>
    </row>
    <row r="484" spans="1:6">
      <c r="A484" t="s">
        <v>548</v>
      </c>
      <c r="B484" t="s">
        <v>113</v>
      </c>
      <c r="C484" t="s">
        <v>114</v>
      </c>
      <c r="D484" t="str">
        <f>HYPERLINK("http://service.sap.com/sap/support/notes/1322583","1322583")</f>
        <v>1322583</v>
      </c>
      <c r="F484" t="s">
        <v>701</v>
      </c>
    </row>
    <row r="485" spans="1:6">
      <c r="A485" t="s">
        <v>548</v>
      </c>
      <c r="B485" t="s">
        <v>702</v>
      </c>
      <c r="C485" t="s">
        <v>514</v>
      </c>
      <c r="D485" t="str">
        <f>HYPERLINK("http://service.sap.com/sap/support/notes/1400783","1400783")</f>
        <v>1400783</v>
      </c>
      <c r="F485" t="s">
        <v>703</v>
      </c>
    </row>
    <row r="486" spans="1:6">
      <c r="A486" t="s">
        <v>548</v>
      </c>
      <c r="B486" t="s">
        <v>702</v>
      </c>
      <c r="C486" t="s">
        <v>514</v>
      </c>
      <c r="D486" t="str">
        <f>HYPERLINK("http://service.sap.com/sap/support/notes/1404266","1404266")</f>
        <v>1404266</v>
      </c>
      <c r="F486" t="s">
        <v>704</v>
      </c>
    </row>
    <row r="487" spans="1:6">
      <c r="A487" t="s">
        <v>548</v>
      </c>
      <c r="B487" t="s">
        <v>116</v>
      </c>
      <c r="C487" t="s">
        <v>117</v>
      </c>
      <c r="D487" t="str">
        <f>HYPERLINK("http://service.sap.com/sap/support/notes/780607","780607")</f>
        <v>780607</v>
      </c>
      <c r="F487" t="s">
        <v>705</v>
      </c>
    </row>
    <row r="488" spans="1:6">
      <c r="A488" t="s">
        <v>548</v>
      </c>
      <c r="B488" t="s">
        <v>116</v>
      </c>
      <c r="C488" t="s">
        <v>117</v>
      </c>
      <c r="D488" t="str">
        <f>HYPERLINK("http://service.sap.com/sap/support/notes/1342833","1342833")</f>
        <v>1342833</v>
      </c>
      <c r="F488" t="s">
        <v>706</v>
      </c>
    </row>
    <row r="489" spans="1:6">
      <c r="A489" t="s">
        <v>548</v>
      </c>
      <c r="B489" t="s">
        <v>116</v>
      </c>
      <c r="C489" t="s">
        <v>117</v>
      </c>
      <c r="D489" t="str">
        <f>HYPERLINK("http://service.sap.com/sap/support/notes/1363370","1363370")</f>
        <v>1363370</v>
      </c>
      <c r="F489" t="s">
        <v>707</v>
      </c>
    </row>
    <row r="490" spans="1:6">
      <c r="A490" t="s">
        <v>548</v>
      </c>
      <c r="B490" t="s">
        <v>116</v>
      </c>
      <c r="C490" t="s">
        <v>117</v>
      </c>
      <c r="D490" t="str">
        <f>HYPERLINK("http://service.sap.com/sap/support/notes/1389622","1389622")</f>
        <v>1389622</v>
      </c>
      <c r="F490" t="s">
        <v>708</v>
      </c>
    </row>
    <row r="491" spans="1:6">
      <c r="A491" t="s">
        <v>548</v>
      </c>
      <c r="B491" t="s">
        <v>116</v>
      </c>
      <c r="C491" t="s">
        <v>117</v>
      </c>
      <c r="D491" t="str">
        <f>HYPERLINK("http://service.sap.com/sap/support/notes/1402610","1402610")</f>
        <v>1402610</v>
      </c>
      <c r="F491" t="s">
        <v>709</v>
      </c>
    </row>
    <row r="492" spans="1:6">
      <c r="A492" t="s">
        <v>548</v>
      </c>
      <c r="B492" t="s">
        <v>116</v>
      </c>
      <c r="C492" t="s">
        <v>117</v>
      </c>
      <c r="D492" t="str">
        <f>HYPERLINK("http://service.sap.com/sap/support/notes/1402611","1402611")</f>
        <v>1402611</v>
      </c>
      <c r="F492" t="s">
        <v>710</v>
      </c>
    </row>
    <row r="493" spans="1:6">
      <c r="A493" t="s">
        <v>548</v>
      </c>
      <c r="B493" t="s">
        <v>116</v>
      </c>
      <c r="C493" t="s">
        <v>117</v>
      </c>
      <c r="D493" t="str">
        <f>HYPERLINK("http://service.sap.com/sap/support/notes/1407502","1407502")</f>
        <v>1407502</v>
      </c>
      <c r="F493" t="s">
        <v>711</v>
      </c>
    </row>
    <row r="494" spans="1:6">
      <c r="A494" t="s">
        <v>548</v>
      </c>
      <c r="B494" t="s">
        <v>116</v>
      </c>
      <c r="C494" t="s">
        <v>117</v>
      </c>
      <c r="D494" t="str">
        <f>HYPERLINK("http://service.sap.com/sap/support/notes/1409522","1409522")</f>
        <v>1409522</v>
      </c>
      <c r="F494" t="s">
        <v>712</v>
      </c>
    </row>
    <row r="495" spans="1:6">
      <c r="A495" t="s">
        <v>548</v>
      </c>
      <c r="B495" t="s">
        <v>122</v>
      </c>
      <c r="C495" t="s">
        <v>123</v>
      </c>
      <c r="D495" t="str">
        <f>HYPERLINK("http://service.sap.com/sap/support/notes/1398949","1398949")</f>
        <v>1398949</v>
      </c>
      <c r="F495" t="s">
        <v>713</v>
      </c>
    </row>
    <row r="496" spans="1:6">
      <c r="A496" t="s">
        <v>548</v>
      </c>
      <c r="B496" t="s">
        <v>122</v>
      </c>
      <c r="C496" t="s">
        <v>123</v>
      </c>
      <c r="D496" t="str">
        <f>HYPERLINK("http://service.sap.com/sap/support/notes/1404209","1404209")</f>
        <v>1404209</v>
      </c>
      <c r="F496" t="s">
        <v>714</v>
      </c>
    </row>
    <row r="497" spans="1:6">
      <c r="A497" t="s">
        <v>548</v>
      </c>
      <c r="B497" t="s">
        <v>125</v>
      </c>
      <c r="C497" t="s">
        <v>126</v>
      </c>
      <c r="D497" t="str">
        <f>HYPERLINK("http://service.sap.com/sap/support/notes/608052","608052")</f>
        <v>608052</v>
      </c>
      <c r="F497" t="s">
        <v>715</v>
      </c>
    </row>
    <row r="498" spans="1:6">
      <c r="A498" t="s">
        <v>548</v>
      </c>
      <c r="B498" t="s">
        <v>125</v>
      </c>
      <c r="C498" t="s">
        <v>126</v>
      </c>
      <c r="D498" t="str">
        <f>HYPERLINK("http://service.sap.com/sap/support/notes/885574","885574")</f>
        <v>885574</v>
      </c>
      <c r="F498" t="s">
        <v>716</v>
      </c>
    </row>
    <row r="499" spans="1:6">
      <c r="A499" t="s">
        <v>548</v>
      </c>
      <c r="B499" t="s">
        <v>125</v>
      </c>
      <c r="C499" t="s">
        <v>126</v>
      </c>
      <c r="D499" t="str">
        <f>HYPERLINK("http://service.sap.com/sap/support/notes/1117452","1117452")</f>
        <v>1117452</v>
      </c>
      <c r="F499" t="s">
        <v>717</v>
      </c>
    </row>
    <row r="500" spans="1:6">
      <c r="A500" t="s">
        <v>548</v>
      </c>
      <c r="B500" t="s">
        <v>125</v>
      </c>
      <c r="C500" t="s">
        <v>126</v>
      </c>
      <c r="D500" t="str">
        <f>HYPERLINK("http://service.sap.com/sap/support/notes/1346799","1346799")</f>
        <v>1346799</v>
      </c>
      <c r="F500" t="s">
        <v>718</v>
      </c>
    </row>
    <row r="501" spans="1:6">
      <c r="A501" t="s">
        <v>548</v>
      </c>
      <c r="B501" t="s">
        <v>125</v>
      </c>
      <c r="C501" t="s">
        <v>126</v>
      </c>
      <c r="D501" t="str">
        <f>HYPERLINK("http://service.sap.com/sap/support/notes/1346882","1346882")</f>
        <v>1346882</v>
      </c>
      <c r="F501" t="s">
        <v>719</v>
      </c>
    </row>
    <row r="502" spans="1:6">
      <c r="A502" t="s">
        <v>548</v>
      </c>
      <c r="B502" t="s">
        <v>125</v>
      </c>
      <c r="C502" t="s">
        <v>126</v>
      </c>
      <c r="D502" t="str">
        <f>HYPERLINK("http://service.sap.com/sap/support/notes/1347990","1347990")</f>
        <v>1347990</v>
      </c>
      <c r="F502" t="s">
        <v>720</v>
      </c>
    </row>
    <row r="503" spans="1:6">
      <c r="A503" t="s">
        <v>548</v>
      </c>
      <c r="B503" t="s">
        <v>125</v>
      </c>
      <c r="C503" t="s">
        <v>126</v>
      </c>
      <c r="D503" t="str">
        <f>HYPERLINK("http://service.sap.com/sap/support/notes/1350664","1350664")</f>
        <v>1350664</v>
      </c>
      <c r="F503" t="s">
        <v>721</v>
      </c>
    </row>
    <row r="504" spans="1:6">
      <c r="A504" t="s">
        <v>548</v>
      </c>
      <c r="B504" t="s">
        <v>125</v>
      </c>
      <c r="C504" t="s">
        <v>126</v>
      </c>
      <c r="D504" t="str">
        <f>HYPERLINK("http://service.sap.com/sap/support/notes/1352508","1352508")</f>
        <v>1352508</v>
      </c>
      <c r="F504" t="s">
        <v>722</v>
      </c>
    </row>
    <row r="505" spans="1:6">
      <c r="A505" t="s">
        <v>548</v>
      </c>
      <c r="B505" t="s">
        <v>125</v>
      </c>
      <c r="C505" t="s">
        <v>126</v>
      </c>
      <c r="D505" t="str">
        <f>HYPERLINK("http://service.sap.com/sap/support/notes/1352738","1352738")</f>
        <v>1352738</v>
      </c>
      <c r="F505" t="s">
        <v>723</v>
      </c>
    </row>
    <row r="506" spans="1:6">
      <c r="A506" t="s">
        <v>548</v>
      </c>
      <c r="B506" t="s">
        <v>125</v>
      </c>
      <c r="C506" t="s">
        <v>126</v>
      </c>
      <c r="D506" t="str">
        <f>HYPERLINK("http://service.sap.com/sap/support/notes/1352899","1352899")</f>
        <v>1352899</v>
      </c>
      <c r="F506" t="s">
        <v>724</v>
      </c>
    </row>
    <row r="507" spans="1:6">
      <c r="A507" t="s">
        <v>548</v>
      </c>
      <c r="B507" t="s">
        <v>125</v>
      </c>
      <c r="C507" t="s">
        <v>126</v>
      </c>
      <c r="D507" t="str">
        <f>HYPERLINK("http://service.sap.com/sap/support/notes/1352991","1352991")</f>
        <v>1352991</v>
      </c>
      <c r="F507" t="s">
        <v>725</v>
      </c>
    </row>
    <row r="508" spans="1:6">
      <c r="A508" t="s">
        <v>548</v>
      </c>
      <c r="B508" t="s">
        <v>125</v>
      </c>
      <c r="C508" t="s">
        <v>126</v>
      </c>
      <c r="D508" t="str">
        <f>HYPERLINK("http://service.sap.com/sap/support/notes/1354786","1354786")</f>
        <v>1354786</v>
      </c>
      <c r="F508" t="s">
        <v>726</v>
      </c>
    </row>
    <row r="509" spans="1:6">
      <c r="A509" t="s">
        <v>548</v>
      </c>
      <c r="B509" t="s">
        <v>125</v>
      </c>
      <c r="C509" t="s">
        <v>126</v>
      </c>
      <c r="D509" t="str">
        <f>HYPERLINK("http://service.sap.com/sap/support/notes/1355247","1355247")</f>
        <v>1355247</v>
      </c>
      <c r="F509" t="s">
        <v>727</v>
      </c>
    </row>
    <row r="510" spans="1:6">
      <c r="A510" t="s">
        <v>548</v>
      </c>
      <c r="B510" t="s">
        <v>125</v>
      </c>
      <c r="C510" t="s">
        <v>126</v>
      </c>
      <c r="D510" t="str">
        <f>HYPERLINK("http://service.sap.com/sap/support/notes/1357200","1357200")</f>
        <v>1357200</v>
      </c>
      <c r="F510" t="s">
        <v>728</v>
      </c>
    </row>
    <row r="511" spans="1:6">
      <c r="A511" t="s">
        <v>548</v>
      </c>
      <c r="B511" t="s">
        <v>125</v>
      </c>
      <c r="C511" t="s">
        <v>126</v>
      </c>
      <c r="D511" t="str">
        <f>HYPERLINK("http://service.sap.com/sap/support/notes/1362113","1362113")</f>
        <v>1362113</v>
      </c>
      <c r="F511" t="s">
        <v>729</v>
      </c>
    </row>
    <row r="512" spans="1:6">
      <c r="A512" t="s">
        <v>548</v>
      </c>
      <c r="B512" t="s">
        <v>125</v>
      </c>
      <c r="C512" t="s">
        <v>126</v>
      </c>
      <c r="D512" t="str">
        <f>HYPERLINK("http://service.sap.com/sap/support/notes/1364093","1364093")</f>
        <v>1364093</v>
      </c>
      <c r="F512" t="s">
        <v>730</v>
      </c>
    </row>
    <row r="513" spans="1:6">
      <c r="A513" t="s">
        <v>548</v>
      </c>
      <c r="B513" t="s">
        <v>125</v>
      </c>
      <c r="C513" t="s">
        <v>126</v>
      </c>
      <c r="D513" t="str">
        <f>HYPERLINK("http://service.sap.com/sap/support/notes/1366532","1366532")</f>
        <v>1366532</v>
      </c>
      <c r="F513" t="s">
        <v>731</v>
      </c>
    </row>
    <row r="514" spans="1:6">
      <c r="A514" t="s">
        <v>548</v>
      </c>
      <c r="B514" t="s">
        <v>125</v>
      </c>
      <c r="C514" t="s">
        <v>126</v>
      </c>
      <c r="D514" t="str">
        <f>HYPERLINK("http://service.sap.com/sap/support/notes/1366651","1366651")</f>
        <v>1366651</v>
      </c>
      <c r="F514" t="s">
        <v>732</v>
      </c>
    </row>
    <row r="515" spans="1:6">
      <c r="A515" t="s">
        <v>548</v>
      </c>
      <c r="B515" t="s">
        <v>125</v>
      </c>
      <c r="C515" t="s">
        <v>126</v>
      </c>
      <c r="D515" t="str">
        <f>HYPERLINK("http://service.sap.com/sap/support/notes/1367331","1367331")</f>
        <v>1367331</v>
      </c>
      <c r="F515" t="s">
        <v>733</v>
      </c>
    </row>
    <row r="516" spans="1:6">
      <c r="A516" t="s">
        <v>548</v>
      </c>
      <c r="B516" t="s">
        <v>125</v>
      </c>
      <c r="C516" t="s">
        <v>126</v>
      </c>
      <c r="D516" t="str">
        <f>HYPERLINK("http://service.sap.com/sap/support/notes/1367532","1367532")</f>
        <v>1367532</v>
      </c>
      <c r="F516" t="s">
        <v>734</v>
      </c>
    </row>
    <row r="517" spans="1:6">
      <c r="A517" t="s">
        <v>548</v>
      </c>
      <c r="B517" t="s">
        <v>125</v>
      </c>
      <c r="C517" t="s">
        <v>126</v>
      </c>
      <c r="D517" t="str">
        <f>HYPERLINK("http://service.sap.com/sap/support/notes/1370650","1370650")</f>
        <v>1370650</v>
      </c>
      <c r="F517" t="s">
        <v>735</v>
      </c>
    </row>
    <row r="518" spans="1:6">
      <c r="A518" t="s">
        <v>548</v>
      </c>
      <c r="B518" t="s">
        <v>125</v>
      </c>
      <c r="C518" t="s">
        <v>126</v>
      </c>
      <c r="D518" t="str">
        <f>HYPERLINK("http://service.sap.com/sap/support/notes/1371432","1371432")</f>
        <v>1371432</v>
      </c>
      <c r="F518" t="s">
        <v>736</v>
      </c>
    </row>
    <row r="519" spans="1:6">
      <c r="A519" t="s">
        <v>548</v>
      </c>
      <c r="B519" t="s">
        <v>125</v>
      </c>
      <c r="C519" t="s">
        <v>126</v>
      </c>
      <c r="D519" t="str">
        <f>HYPERLINK("http://service.sap.com/sap/support/notes/1374705","1374705")</f>
        <v>1374705</v>
      </c>
      <c r="F519" t="s">
        <v>737</v>
      </c>
    </row>
    <row r="520" spans="1:6">
      <c r="A520" t="s">
        <v>548</v>
      </c>
      <c r="B520" t="s">
        <v>125</v>
      </c>
      <c r="C520" t="s">
        <v>126</v>
      </c>
      <c r="D520" t="str">
        <f>HYPERLINK("http://service.sap.com/sap/support/notes/1374711","1374711")</f>
        <v>1374711</v>
      </c>
      <c r="F520" t="s">
        <v>738</v>
      </c>
    </row>
    <row r="521" spans="1:6">
      <c r="A521" t="s">
        <v>548</v>
      </c>
      <c r="B521" t="s">
        <v>125</v>
      </c>
      <c r="C521" t="s">
        <v>126</v>
      </c>
      <c r="D521" t="str">
        <f>HYPERLINK("http://service.sap.com/sap/support/notes/1375112","1375112")</f>
        <v>1375112</v>
      </c>
      <c r="F521" t="s">
        <v>739</v>
      </c>
    </row>
    <row r="522" spans="1:6">
      <c r="A522" t="s">
        <v>548</v>
      </c>
      <c r="B522" t="s">
        <v>125</v>
      </c>
      <c r="C522" t="s">
        <v>126</v>
      </c>
      <c r="D522" t="str">
        <f>HYPERLINK("http://service.sap.com/sap/support/notes/1375666","1375666")</f>
        <v>1375666</v>
      </c>
      <c r="F522" t="s">
        <v>740</v>
      </c>
    </row>
    <row r="523" spans="1:6">
      <c r="A523" t="s">
        <v>548</v>
      </c>
      <c r="B523" t="s">
        <v>125</v>
      </c>
      <c r="C523" t="s">
        <v>126</v>
      </c>
      <c r="D523" t="str">
        <f>HYPERLINK("http://service.sap.com/sap/support/notes/1375954","1375954")</f>
        <v>1375954</v>
      </c>
      <c r="F523" t="s">
        <v>741</v>
      </c>
    </row>
    <row r="524" spans="1:6">
      <c r="A524" t="s">
        <v>548</v>
      </c>
      <c r="B524" t="s">
        <v>125</v>
      </c>
      <c r="C524" t="s">
        <v>126</v>
      </c>
      <c r="D524" t="str">
        <f>HYPERLINK("http://service.sap.com/sap/support/notes/1376563","1376563")</f>
        <v>1376563</v>
      </c>
      <c r="F524" t="s">
        <v>742</v>
      </c>
    </row>
    <row r="525" spans="1:6">
      <c r="A525" t="s">
        <v>548</v>
      </c>
      <c r="B525" t="s">
        <v>125</v>
      </c>
      <c r="C525" t="s">
        <v>126</v>
      </c>
      <c r="D525" t="str">
        <f>HYPERLINK("http://service.sap.com/sap/support/notes/1378782","1378782")</f>
        <v>1378782</v>
      </c>
      <c r="F525" t="s">
        <v>743</v>
      </c>
    </row>
    <row r="526" spans="1:6">
      <c r="A526" t="s">
        <v>548</v>
      </c>
      <c r="B526" t="s">
        <v>125</v>
      </c>
      <c r="C526" t="s">
        <v>126</v>
      </c>
      <c r="D526" t="str">
        <f>HYPERLINK("http://service.sap.com/sap/support/notes/1379074","1379074")</f>
        <v>1379074</v>
      </c>
      <c r="F526" t="s">
        <v>744</v>
      </c>
    </row>
    <row r="527" spans="1:6">
      <c r="A527" t="s">
        <v>548</v>
      </c>
      <c r="B527" t="s">
        <v>125</v>
      </c>
      <c r="C527" t="s">
        <v>126</v>
      </c>
      <c r="D527" t="str">
        <f>HYPERLINK("http://service.sap.com/sap/support/notes/1383133","1383133")</f>
        <v>1383133</v>
      </c>
      <c r="F527" t="s">
        <v>745</v>
      </c>
    </row>
    <row r="528" spans="1:6">
      <c r="A528" t="s">
        <v>548</v>
      </c>
      <c r="B528" t="s">
        <v>125</v>
      </c>
      <c r="C528" t="s">
        <v>126</v>
      </c>
      <c r="D528" t="str">
        <f>HYPERLINK("http://service.sap.com/sap/support/notes/1384263","1384263")</f>
        <v>1384263</v>
      </c>
      <c r="F528" t="s">
        <v>746</v>
      </c>
    </row>
    <row r="529" spans="1:6">
      <c r="A529" t="s">
        <v>548</v>
      </c>
      <c r="B529" t="s">
        <v>125</v>
      </c>
      <c r="C529" t="s">
        <v>126</v>
      </c>
      <c r="D529" t="str">
        <f>HYPERLINK("http://service.sap.com/sap/support/notes/1384324","1384324")</f>
        <v>1384324</v>
      </c>
      <c r="F529" t="s">
        <v>747</v>
      </c>
    </row>
    <row r="530" spans="1:6">
      <c r="A530" t="s">
        <v>548</v>
      </c>
      <c r="B530" t="s">
        <v>125</v>
      </c>
      <c r="C530" t="s">
        <v>126</v>
      </c>
      <c r="D530" t="str">
        <f>HYPERLINK("http://service.sap.com/sap/support/notes/1384330","1384330")</f>
        <v>1384330</v>
      </c>
      <c r="F530" t="s">
        <v>748</v>
      </c>
    </row>
    <row r="531" spans="1:6">
      <c r="A531" t="s">
        <v>548</v>
      </c>
      <c r="B531" t="s">
        <v>125</v>
      </c>
      <c r="C531" t="s">
        <v>126</v>
      </c>
      <c r="D531" t="str">
        <f>HYPERLINK("http://service.sap.com/sap/support/notes/1385353","1385353")</f>
        <v>1385353</v>
      </c>
      <c r="F531" t="s">
        <v>749</v>
      </c>
    </row>
    <row r="532" spans="1:6">
      <c r="A532" t="s">
        <v>548</v>
      </c>
      <c r="B532" t="s">
        <v>125</v>
      </c>
      <c r="C532" t="s">
        <v>126</v>
      </c>
      <c r="D532" t="str">
        <f>HYPERLINK("http://service.sap.com/sap/support/notes/1385438","1385438")</f>
        <v>1385438</v>
      </c>
      <c r="F532" t="s">
        <v>750</v>
      </c>
    </row>
    <row r="533" spans="1:6">
      <c r="A533" t="s">
        <v>548</v>
      </c>
      <c r="B533" t="s">
        <v>125</v>
      </c>
      <c r="C533" t="s">
        <v>126</v>
      </c>
      <c r="D533" t="str">
        <f>HYPERLINK("http://service.sap.com/sap/support/notes/1386111","1386111")</f>
        <v>1386111</v>
      </c>
      <c r="F533" t="s">
        <v>751</v>
      </c>
    </row>
    <row r="534" spans="1:6">
      <c r="A534" t="s">
        <v>548</v>
      </c>
      <c r="B534" t="s">
        <v>125</v>
      </c>
      <c r="C534" t="s">
        <v>126</v>
      </c>
      <c r="D534" t="str">
        <f>HYPERLINK("http://service.sap.com/sap/support/notes/1389049","1389049")</f>
        <v>1389049</v>
      </c>
      <c r="F534" t="s">
        <v>752</v>
      </c>
    </row>
    <row r="535" spans="1:6">
      <c r="A535" t="s">
        <v>548</v>
      </c>
      <c r="B535" t="s">
        <v>125</v>
      </c>
      <c r="C535" t="s">
        <v>126</v>
      </c>
      <c r="D535" t="str">
        <f>HYPERLINK("http://service.sap.com/sap/support/notes/1389189","1389189")</f>
        <v>1389189</v>
      </c>
      <c r="F535" t="s">
        <v>753</v>
      </c>
    </row>
    <row r="536" spans="1:6">
      <c r="A536" t="s">
        <v>548</v>
      </c>
      <c r="B536" t="s">
        <v>125</v>
      </c>
      <c r="C536" t="s">
        <v>126</v>
      </c>
      <c r="D536" t="str">
        <f>HYPERLINK("http://service.sap.com/sap/support/notes/1391027","1391027")</f>
        <v>1391027</v>
      </c>
      <c r="F536" t="s">
        <v>754</v>
      </c>
    </row>
    <row r="537" spans="1:6">
      <c r="A537" t="s">
        <v>548</v>
      </c>
      <c r="B537" t="s">
        <v>125</v>
      </c>
      <c r="C537" t="s">
        <v>126</v>
      </c>
      <c r="D537" t="str">
        <f>HYPERLINK("http://service.sap.com/sap/support/notes/1391271","1391271")</f>
        <v>1391271</v>
      </c>
      <c r="F537" t="s">
        <v>755</v>
      </c>
    </row>
    <row r="538" spans="1:6">
      <c r="A538" t="s">
        <v>548</v>
      </c>
      <c r="B538" t="s">
        <v>125</v>
      </c>
      <c r="C538" t="s">
        <v>126</v>
      </c>
      <c r="D538" t="str">
        <f>HYPERLINK("http://service.sap.com/sap/support/notes/1393436","1393436")</f>
        <v>1393436</v>
      </c>
      <c r="F538" t="s">
        <v>756</v>
      </c>
    </row>
    <row r="539" spans="1:6">
      <c r="A539" t="s">
        <v>548</v>
      </c>
      <c r="B539" t="s">
        <v>125</v>
      </c>
      <c r="C539" t="s">
        <v>126</v>
      </c>
      <c r="D539" t="str">
        <f>HYPERLINK("http://service.sap.com/sap/support/notes/1393943","1393943")</f>
        <v>1393943</v>
      </c>
      <c r="F539" t="s">
        <v>757</v>
      </c>
    </row>
    <row r="540" spans="1:6">
      <c r="A540" t="s">
        <v>548</v>
      </c>
      <c r="B540" t="s">
        <v>125</v>
      </c>
      <c r="C540" t="s">
        <v>126</v>
      </c>
      <c r="D540" t="str">
        <f>HYPERLINK("http://service.sap.com/sap/support/notes/1394678","1394678")</f>
        <v>1394678</v>
      </c>
      <c r="F540" t="s">
        <v>758</v>
      </c>
    </row>
    <row r="541" spans="1:6">
      <c r="A541" t="s">
        <v>548</v>
      </c>
      <c r="B541" t="s">
        <v>125</v>
      </c>
      <c r="C541" t="s">
        <v>126</v>
      </c>
      <c r="D541" t="str">
        <f>HYPERLINK("http://service.sap.com/sap/support/notes/1396330","1396330")</f>
        <v>1396330</v>
      </c>
      <c r="F541" t="s">
        <v>759</v>
      </c>
    </row>
    <row r="542" spans="1:6">
      <c r="A542" t="s">
        <v>548</v>
      </c>
      <c r="B542" t="s">
        <v>125</v>
      </c>
      <c r="C542" t="s">
        <v>126</v>
      </c>
      <c r="D542" t="str">
        <f>HYPERLINK("http://service.sap.com/sap/support/notes/1396637","1396637")</f>
        <v>1396637</v>
      </c>
      <c r="F542" t="s">
        <v>760</v>
      </c>
    </row>
    <row r="543" spans="1:6">
      <c r="A543" t="s">
        <v>548</v>
      </c>
      <c r="B543" t="s">
        <v>125</v>
      </c>
      <c r="C543" t="s">
        <v>126</v>
      </c>
      <c r="D543" t="str">
        <f>HYPERLINK("http://service.sap.com/sap/support/notes/1397731","1397731")</f>
        <v>1397731</v>
      </c>
      <c r="F543" t="s">
        <v>761</v>
      </c>
    </row>
    <row r="544" spans="1:6">
      <c r="A544" t="s">
        <v>548</v>
      </c>
      <c r="B544" t="s">
        <v>125</v>
      </c>
      <c r="C544" t="s">
        <v>126</v>
      </c>
      <c r="D544" t="str">
        <f>HYPERLINK("http://service.sap.com/sap/support/notes/1397837","1397837")</f>
        <v>1397837</v>
      </c>
      <c r="F544" t="s">
        <v>762</v>
      </c>
    </row>
    <row r="545" spans="1:6">
      <c r="A545" t="s">
        <v>548</v>
      </c>
      <c r="B545" t="s">
        <v>125</v>
      </c>
      <c r="C545" t="s">
        <v>126</v>
      </c>
      <c r="D545" t="str">
        <f>HYPERLINK("http://service.sap.com/sap/support/notes/1398874","1398874")</f>
        <v>1398874</v>
      </c>
      <c r="F545" t="s">
        <v>763</v>
      </c>
    </row>
    <row r="546" spans="1:6">
      <c r="A546" t="s">
        <v>548</v>
      </c>
      <c r="B546" t="s">
        <v>125</v>
      </c>
      <c r="C546" t="s">
        <v>126</v>
      </c>
      <c r="D546" t="str">
        <f>HYPERLINK("http://service.sap.com/sap/support/notes/1399883","1399883")</f>
        <v>1399883</v>
      </c>
      <c r="F546" t="s">
        <v>764</v>
      </c>
    </row>
    <row r="547" spans="1:6">
      <c r="A547" t="s">
        <v>548</v>
      </c>
      <c r="B547" t="s">
        <v>125</v>
      </c>
      <c r="C547" t="s">
        <v>126</v>
      </c>
      <c r="D547" t="str">
        <f>HYPERLINK("http://service.sap.com/sap/support/notes/1400233","1400233")</f>
        <v>1400233</v>
      </c>
      <c r="F547" t="s">
        <v>765</v>
      </c>
    </row>
    <row r="548" spans="1:6">
      <c r="A548" t="s">
        <v>548</v>
      </c>
      <c r="B548" t="s">
        <v>125</v>
      </c>
      <c r="C548" t="s">
        <v>126</v>
      </c>
      <c r="D548" t="str">
        <f>HYPERLINK("http://service.sap.com/sap/support/notes/1401920","1401920")</f>
        <v>1401920</v>
      </c>
      <c r="F548" t="s">
        <v>766</v>
      </c>
    </row>
    <row r="549" spans="1:6">
      <c r="A549" t="s">
        <v>548</v>
      </c>
      <c r="B549" t="s">
        <v>125</v>
      </c>
      <c r="C549" t="s">
        <v>126</v>
      </c>
      <c r="D549" t="str">
        <f>HYPERLINK("http://service.sap.com/sap/support/notes/1402689","1402689")</f>
        <v>1402689</v>
      </c>
      <c r="F549" t="s">
        <v>767</v>
      </c>
    </row>
    <row r="550" spans="1:6">
      <c r="A550" t="s">
        <v>548</v>
      </c>
      <c r="B550" t="s">
        <v>125</v>
      </c>
      <c r="C550" t="s">
        <v>126</v>
      </c>
      <c r="D550" t="str">
        <f>HYPERLINK("http://service.sap.com/sap/support/notes/1402723","1402723")</f>
        <v>1402723</v>
      </c>
      <c r="F550" t="s">
        <v>768</v>
      </c>
    </row>
    <row r="551" spans="1:6">
      <c r="A551" t="s">
        <v>548</v>
      </c>
      <c r="B551" t="s">
        <v>125</v>
      </c>
      <c r="C551" t="s">
        <v>126</v>
      </c>
      <c r="D551" t="str">
        <f>HYPERLINK("http://service.sap.com/sap/support/notes/1402854","1402854")</f>
        <v>1402854</v>
      </c>
      <c r="F551" t="s">
        <v>769</v>
      </c>
    </row>
    <row r="552" spans="1:6">
      <c r="A552" t="s">
        <v>548</v>
      </c>
      <c r="B552" t="s">
        <v>125</v>
      </c>
      <c r="C552" t="s">
        <v>126</v>
      </c>
      <c r="D552" t="str">
        <f>HYPERLINK("http://service.sap.com/sap/support/notes/1402958","1402958")</f>
        <v>1402958</v>
      </c>
      <c r="F552" t="s">
        <v>770</v>
      </c>
    </row>
    <row r="553" spans="1:6">
      <c r="A553" t="s">
        <v>548</v>
      </c>
      <c r="B553" t="s">
        <v>125</v>
      </c>
      <c r="C553" t="s">
        <v>126</v>
      </c>
      <c r="D553" t="str">
        <f>HYPERLINK("http://service.sap.com/sap/support/notes/1403513","1403513")</f>
        <v>1403513</v>
      </c>
      <c r="F553" t="s">
        <v>771</v>
      </c>
    </row>
    <row r="554" spans="1:6">
      <c r="A554" t="s">
        <v>548</v>
      </c>
      <c r="B554" t="s">
        <v>125</v>
      </c>
      <c r="C554" t="s">
        <v>126</v>
      </c>
      <c r="D554" t="str">
        <f>HYPERLINK("http://service.sap.com/sap/support/notes/1404057","1404057")</f>
        <v>1404057</v>
      </c>
      <c r="F554" t="s">
        <v>772</v>
      </c>
    </row>
    <row r="555" spans="1:6">
      <c r="A555" t="s">
        <v>548</v>
      </c>
      <c r="B555" t="s">
        <v>125</v>
      </c>
      <c r="C555" t="s">
        <v>126</v>
      </c>
      <c r="D555" t="str">
        <f>HYPERLINK("http://service.sap.com/sap/support/notes/1404368","1404368")</f>
        <v>1404368</v>
      </c>
      <c r="F555" t="s">
        <v>773</v>
      </c>
    </row>
    <row r="556" spans="1:6">
      <c r="A556" t="s">
        <v>548</v>
      </c>
      <c r="B556" t="s">
        <v>125</v>
      </c>
      <c r="C556" t="s">
        <v>126</v>
      </c>
      <c r="D556" t="str">
        <f>HYPERLINK("http://service.sap.com/sap/support/notes/1404410","1404410")</f>
        <v>1404410</v>
      </c>
      <c r="F556" t="s">
        <v>774</v>
      </c>
    </row>
    <row r="557" spans="1:6">
      <c r="A557" t="s">
        <v>548</v>
      </c>
      <c r="B557" t="s">
        <v>125</v>
      </c>
      <c r="C557" t="s">
        <v>126</v>
      </c>
      <c r="D557" t="str">
        <f>HYPERLINK("http://service.sap.com/sap/support/notes/1406090","1406090")</f>
        <v>1406090</v>
      </c>
      <c r="F557" t="s">
        <v>775</v>
      </c>
    </row>
    <row r="558" spans="1:6">
      <c r="A558" t="s">
        <v>548</v>
      </c>
      <c r="B558" t="s">
        <v>125</v>
      </c>
      <c r="C558" t="s">
        <v>126</v>
      </c>
      <c r="D558" t="str">
        <f>HYPERLINK("http://service.sap.com/sap/support/notes/1406397","1406397")</f>
        <v>1406397</v>
      </c>
      <c r="F558" t="s">
        <v>776</v>
      </c>
    </row>
    <row r="559" spans="1:6">
      <c r="A559" t="s">
        <v>548</v>
      </c>
      <c r="B559" t="s">
        <v>125</v>
      </c>
      <c r="C559" t="s">
        <v>126</v>
      </c>
      <c r="D559" t="str">
        <f>HYPERLINK("http://service.sap.com/sap/support/notes/1406932","1406932")</f>
        <v>1406932</v>
      </c>
      <c r="F559" t="s">
        <v>777</v>
      </c>
    </row>
    <row r="560" spans="1:6">
      <c r="A560" t="s">
        <v>548</v>
      </c>
      <c r="B560" t="s">
        <v>125</v>
      </c>
      <c r="C560" t="s">
        <v>126</v>
      </c>
      <c r="D560" t="str">
        <f>HYPERLINK("http://service.sap.com/sap/support/notes/1407032","1407032")</f>
        <v>1407032</v>
      </c>
      <c r="F560" t="s">
        <v>778</v>
      </c>
    </row>
    <row r="561" spans="1:6">
      <c r="A561" t="s">
        <v>548</v>
      </c>
      <c r="B561" t="s">
        <v>125</v>
      </c>
      <c r="C561" t="s">
        <v>126</v>
      </c>
      <c r="D561" t="str">
        <f>HYPERLINK("http://service.sap.com/sap/support/notes/1407550","1407550")</f>
        <v>1407550</v>
      </c>
      <c r="F561" t="s">
        <v>779</v>
      </c>
    </row>
    <row r="562" spans="1:6">
      <c r="A562" t="s">
        <v>548</v>
      </c>
      <c r="B562" t="s">
        <v>125</v>
      </c>
      <c r="C562" t="s">
        <v>126</v>
      </c>
      <c r="D562" t="str">
        <f>HYPERLINK("http://service.sap.com/sap/support/notes/1408782","1408782")</f>
        <v>1408782</v>
      </c>
      <c r="F562" t="s">
        <v>780</v>
      </c>
    </row>
    <row r="563" spans="1:6">
      <c r="A563" t="s">
        <v>548</v>
      </c>
      <c r="B563" t="s">
        <v>781</v>
      </c>
      <c r="C563" t="s">
        <v>632</v>
      </c>
      <c r="D563" t="str">
        <f>HYPERLINK("http://service.sap.com/sap/support/notes/1396876","1396876")</f>
        <v>1396876</v>
      </c>
      <c r="F563" t="s">
        <v>782</v>
      </c>
    </row>
    <row r="564" spans="1:6">
      <c r="A564" t="s">
        <v>548</v>
      </c>
      <c r="B564" t="s">
        <v>781</v>
      </c>
      <c r="C564" t="s">
        <v>632</v>
      </c>
      <c r="D564" t="str">
        <f>HYPERLINK("http://service.sap.com/sap/support/notes/1397655","1397655")</f>
        <v>1397655</v>
      </c>
      <c r="F564" t="s">
        <v>783</v>
      </c>
    </row>
    <row r="565" spans="1:6">
      <c r="A565" t="s">
        <v>548</v>
      </c>
      <c r="B565" t="s">
        <v>784</v>
      </c>
      <c r="C565" t="s">
        <v>785</v>
      </c>
      <c r="D565" t="str">
        <f>HYPERLINK("http://service.sap.com/sap/support/notes/1347094","1347094")</f>
        <v>1347094</v>
      </c>
      <c r="F565" t="s">
        <v>786</v>
      </c>
    </row>
    <row r="566" spans="1:6">
      <c r="A566" t="s">
        <v>548</v>
      </c>
      <c r="B566" t="s">
        <v>784</v>
      </c>
      <c r="C566" t="s">
        <v>785</v>
      </c>
      <c r="D566" t="str">
        <f>HYPERLINK("http://service.sap.com/sap/support/notes/1362506","1362506")</f>
        <v>1362506</v>
      </c>
      <c r="F566" t="s">
        <v>787</v>
      </c>
    </row>
    <row r="567" spans="1:6">
      <c r="A567" t="s">
        <v>548</v>
      </c>
      <c r="B567" t="s">
        <v>784</v>
      </c>
      <c r="C567" t="s">
        <v>785</v>
      </c>
      <c r="D567" t="str">
        <f>HYPERLINK("http://service.sap.com/sap/support/notes/1372362","1372362")</f>
        <v>1372362</v>
      </c>
      <c r="F567" t="s">
        <v>788</v>
      </c>
    </row>
    <row r="568" spans="1:6">
      <c r="A568" t="s">
        <v>548</v>
      </c>
      <c r="B568" t="s">
        <v>784</v>
      </c>
      <c r="C568" t="s">
        <v>785</v>
      </c>
      <c r="D568" t="str">
        <f>HYPERLINK("http://service.sap.com/sap/support/notes/1372765","1372765")</f>
        <v>1372765</v>
      </c>
      <c r="F568" t="s">
        <v>789</v>
      </c>
    </row>
    <row r="569" spans="1:6">
      <c r="A569" t="s">
        <v>548</v>
      </c>
      <c r="B569" t="s">
        <v>784</v>
      </c>
      <c r="C569" t="s">
        <v>785</v>
      </c>
      <c r="D569" t="str">
        <f>HYPERLINK("http://service.sap.com/sap/support/notes/1372873","1372873")</f>
        <v>1372873</v>
      </c>
      <c r="F569" t="s">
        <v>790</v>
      </c>
    </row>
    <row r="570" spans="1:6">
      <c r="A570" t="s">
        <v>548</v>
      </c>
      <c r="B570" t="s">
        <v>784</v>
      </c>
      <c r="C570" t="s">
        <v>785</v>
      </c>
      <c r="D570" t="str">
        <f>HYPERLINK("http://service.sap.com/sap/support/notes/1394892","1394892")</f>
        <v>1394892</v>
      </c>
      <c r="F570" t="s">
        <v>791</v>
      </c>
    </row>
    <row r="571" spans="1:6">
      <c r="A571" t="s">
        <v>548</v>
      </c>
      <c r="B571" t="s">
        <v>792</v>
      </c>
    </row>
    <row r="572" spans="1:6">
      <c r="A572" t="s">
        <v>548</v>
      </c>
      <c r="B572" t="s">
        <v>793</v>
      </c>
      <c r="C572" t="s">
        <v>794</v>
      </c>
      <c r="D572" t="str">
        <f>HYPERLINK("http://service.sap.com/sap/support/notes/1345252","1345252")</f>
        <v>1345252</v>
      </c>
      <c r="F572" t="s">
        <v>795</v>
      </c>
    </row>
    <row r="573" spans="1:6">
      <c r="A573" t="s">
        <v>548</v>
      </c>
      <c r="B573" t="s">
        <v>793</v>
      </c>
      <c r="C573" t="s">
        <v>794</v>
      </c>
      <c r="D573" t="str">
        <f>HYPERLINK("http://service.sap.com/sap/support/notes/1357077","1357077")</f>
        <v>1357077</v>
      </c>
      <c r="F573" t="s">
        <v>796</v>
      </c>
    </row>
    <row r="574" spans="1:6">
      <c r="A574" t="s">
        <v>548</v>
      </c>
      <c r="B574" t="s">
        <v>793</v>
      </c>
      <c r="C574" t="s">
        <v>794</v>
      </c>
      <c r="D574" t="str">
        <f>HYPERLINK("http://service.sap.com/sap/support/notes/1357800","1357800")</f>
        <v>1357800</v>
      </c>
      <c r="F574" t="s">
        <v>797</v>
      </c>
    </row>
    <row r="575" spans="1:6">
      <c r="A575" t="s">
        <v>548</v>
      </c>
      <c r="B575" t="s">
        <v>793</v>
      </c>
      <c r="C575" t="s">
        <v>794</v>
      </c>
      <c r="D575" t="str">
        <f>HYPERLINK("http://service.sap.com/sap/support/notes/1364955","1364955")</f>
        <v>1364955</v>
      </c>
      <c r="F575" t="s">
        <v>798</v>
      </c>
    </row>
    <row r="576" spans="1:6">
      <c r="A576" t="s">
        <v>548</v>
      </c>
      <c r="B576" t="s">
        <v>793</v>
      </c>
      <c r="C576" t="s">
        <v>794</v>
      </c>
      <c r="D576" t="str">
        <f>HYPERLINK("http://service.sap.com/sap/support/notes/1366550","1366550")</f>
        <v>1366550</v>
      </c>
      <c r="F576" t="s">
        <v>799</v>
      </c>
    </row>
    <row r="577" spans="1:6">
      <c r="A577" t="s">
        <v>548</v>
      </c>
      <c r="B577" t="s">
        <v>128</v>
      </c>
    </row>
    <row r="578" spans="1:6">
      <c r="A578" t="s">
        <v>548</v>
      </c>
      <c r="B578" t="s">
        <v>130</v>
      </c>
      <c r="C578" t="s">
        <v>800</v>
      </c>
      <c r="D578" t="str">
        <f>HYPERLINK("http://service.sap.com/sap/support/notes/1353095","1353095")</f>
        <v>1353095</v>
      </c>
      <c r="F578" t="s">
        <v>801</v>
      </c>
    </row>
    <row r="579" spans="1:6">
      <c r="A579" t="s">
        <v>548</v>
      </c>
      <c r="B579" t="s">
        <v>130</v>
      </c>
      <c r="C579" t="s">
        <v>800</v>
      </c>
      <c r="D579" t="str">
        <f>HYPERLINK("http://service.sap.com/sap/support/notes/1391216","1391216")</f>
        <v>1391216</v>
      </c>
      <c r="F579" t="s">
        <v>802</v>
      </c>
    </row>
    <row r="580" spans="1:6">
      <c r="A580" t="s">
        <v>548</v>
      </c>
      <c r="B580" t="s">
        <v>130</v>
      </c>
      <c r="C580" t="s">
        <v>800</v>
      </c>
      <c r="D580" t="str">
        <f>HYPERLINK("http://service.sap.com/sap/support/notes/1396376","1396376")</f>
        <v>1396376</v>
      </c>
      <c r="F580" t="s">
        <v>803</v>
      </c>
    </row>
    <row r="581" spans="1:6">
      <c r="A581" t="s">
        <v>548</v>
      </c>
      <c r="B581" t="s">
        <v>130</v>
      </c>
      <c r="C581" t="s">
        <v>800</v>
      </c>
      <c r="D581" t="str">
        <f>HYPERLINK("http://service.sap.com/sap/support/notes/1398377","1398377")</f>
        <v>1398377</v>
      </c>
      <c r="F581" t="s">
        <v>804</v>
      </c>
    </row>
    <row r="582" spans="1:6">
      <c r="A582" t="s">
        <v>548</v>
      </c>
      <c r="B582" t="s">
        <v>130</v>
      </c>
      <c r="C582" t="s">
        <v>800</v>
      </c>
      <c r="D582" t="str">
        <f>HYPERLINK("http://service.sap.com/sap/support/notes/1402997","1402997")</f>
        <v>1402997</v>
      </c>
      <c r="F582" t="s">
        <v>805</v>
      </c>
    </row>
    <row r="583" spans="1:6">
      <c r="A583" t="s">
        <v>548</v>
      </c>
      <c r="B583" t="s">
        <v>130</v>
      </c>
      <c r="C583" t="s">
        <v>800</v>
      </c>
      <c r="D583" t="str">
        <f>HYPERLINK("http://service.sap.com/sap/support/notes/1403544","1403544")</f>
        <v>1403544</v>
      </c>
      <c r="F583" t="s">
        <v>806</v>
      </c>
    </row>
    <row r="584" spans="1:6">
      <c r="A584" t="s">
        <v>548</v>
      </c>
      <c r="B584" t="s">
        <v>130</v>
      </c>
      <c r="C584" t="s">
        <v>800</v>
      </c>
      <c r="D584" t="str">
        <f>HYPERLINK("http://service.sap.com/sap/support/notes/1406452","1406452")</f>
        <v>1406452</v>
      </c>
      <c r="F584" t="s">
        <v>807</v>
      </c>
    </row>
    <row r="585" spans="1:6">
      <c r="A585" t="s">
        <v>548</v>
      </c>
      <c r="B585" t="s">
        <v>130</v>
      </c>
      <c r="C585" t="s">
        <v>800</v>
      </c>
      <c r="D585" t="str">
        <f>HYPERLINK("http://service.sap.com/sap/support/notes/1412037","1412037")</f>
        <v>1412037</v>
      </c>
      <c r="F585" t="s">
        <v>808</v>
      </c>
    </row>
    <row r="586" spans="1:6">
      <c r="A586" t="s">
        <v>548</v>
      </c>
      <c r="B586" t="s">
        <v>134</v>
      </c>
      <c r="C586" t="s">
        <v>809</v>
      </c>
      <c r="D586" t="str">
        <f>HYPERLINK("http://service.sap.com/sap/support/notes/1409887","1409887")</f>
        <v>1409887</v>
      </c>
      <c r="F586" t="s">
        <v>810</v>
      </c>
    </row>
    <row r="587" spans="1:6">
      <c r="A587" t="s">
        <v>548</v>
      </c>
      <c r="B587" t="s">
        <v>811</v>
      </c>
      <c r="C587" t="s">
        <v>812</v>
      </c>
      <c r="D587" t="str">
        <f>HYPERLINK("http://service.sap.com/sap/support/notes/1386288","1386288")</f>
        <v>1386288</v>
      </c>
      <c r="F587" t="s">
        <v>813</v>
      </c>
    </row>
    <row r="588" spans="1:6">
      <c r="A588" t="s">
        <v>548</v>
      </c>
      <c r="B588" t="s">
        <v>814</v>
      </c>
    </row>
    <row r="589" spans="1:6">
      <c r="A589" t="s">
        <v>548</v>
      </c>
      <c r="B589" t="s">
        <v>815</v>
      </c>
      <c r="C589" t="s">
        <v>816</v>
      </c>
      <c r="D589" t="str">
        <f>HYPERLINK("http://service.sap.com/sap/support/notes/1382227","1382227")</f>
        <v>1382227</v>
      </c>
      <c r="F589" t="s">
        <v>817</v>
      </c>
    </row>
    <row r="590" spans="1:6">
      <c r="A590" t="s">
        <v>548</v>
      </c>
      <c r="B590" t="s">
        <v>815</v>
      </c>
      <c r="C590" t="s">
        <v>816</v>
      </c>
      <c r="D590" t="str">
        <f>HYPERLINK("http://service.sap.com/sap/support/notes/1401986","1401986")</f>
        <v>1401986</v>
      </c>
      <c r="F590" t="s">
        <v>818</v>
      </c>
    </row>
    <row r="591" spans="1:6">
      <c r="A591" t="s">
        <v>548</v>
      </c>
      <c r="B591" t="s">
        <v>819</v>
      </c>
      <c r="C591" t="s">
        <v>820</v>
      </c>
      <c r="D591" t="str">
        <f>HYPERLINK("http://service.sap.com/sap/support/notes/1350374","1350374")</f>
        <v>1350374</v>
      </c>
      <c r="F591" t="s">
        <v>821</v>
      </c>
    </row>
    <row r="592" spans="1:6">
      <c r="A592" t="s">
        <v>548</v>
      </c>
      <c r="B592" t="s">
        <v>819</v>
      </c>
      <c r="C592" t="s">
        <v>820</v>
      </c>
      <c r="D592" t="str">
        <f>HYPERLINK("http://service.sap.com/sap/support/notes/1366795","1366795")</f>
        <v>1366795</v>
      </c>
      <c r="F592" t="s">
        <v>822</v>
      </c>
    </row>
    <row r="593" spans="1:6">
      <c r="A593" t="s">
        <v>548</v>
      </c>
      <c r="B593" t="s">
        <v>823</v>
      </c>
      <c r="C593" t="s">
        <v>824</v>
      </c>
      <c r="D593" t="str">
        <f>HYPERLINK("http://service.sap.com/sap/support/notes/1384886","1384886")</f>
        <v>1384886</v>
      </c>
      <c r="F593" t="s">
        <v>825</v>
      </c>
    </row>
    <row r="594" spans="1:6">
      <c r="A594" t="s">
        <v>548</v>
      </c>
      <c r="B594" t="s">
        <v>823</v>
      </c>
      <c r="C594" t="s">
        <v>824</v>
      </c>
      <c r="D594" t="str">
        <f>HYPERLINK("http://service.sap.com/sap/support/notes/1385047","1385047")</f>
        <v>1385047</v>
      </c>
      <c r="F594" t="s">
        <v>826</v>
      </c>
    </row>
    <row r="595" spans="1:6">
      <c r="A595" t="s">
        <v>548</v>
      </c>
      <c r="B595" t="s">
        <v>827</v>
      </c>
      <c r="C595" t="s">
        <v>828</v>
      </c>
      <c r="D595" t="str">
        <f>HYPERLINK("http://service.sap.com/sap/support/notes/1352658","1352658")</f>
        <v>1352658</v>
      </c>
      <c r="F595" t="s">
        <v>829</v>
      </c>
    </row>
    <row r="596" spans="1:6">
      <c r="A596" t="s">
        <v>548</v>
      </c>
      <c r="B596" t="s">
        <v>827</v>
      </c>
      <c r="C596" t="s">
        <v>828</v>
      </c>
      <c r="D596" t="str">
        <f>HYPERLINK("http://service.sap.com/sap/support/notes/1388880","1388880")</f>
        <v>1388880</v>
      </c>
      <c r="F596" t="s">
        <v>830</v>
      </c>
    </row>
    <row r="597" spans="1:6">
      <c r="A597" t="s">
        <v>548</v>
      </c>
      <c r="B597" t="s">
        <v>137</v>
      </c>
    </row>
    <row r="598" spans="1:6">
      <c r="A598" t="s">
        <v>548</v>
      </c>
      <c r="B598" t="s">
        <v>831</v>
      </c>
      <c r="C598" t="s">
        <v>832</v>
      </c>
      <c r="D598" t="str">
        <f>HYPERLINK("http://service.sap.com/sap/support/notes/1401216","1401216")</f>
        <v>1401216</v>
      </c>
      <c r="F598" t="s">
        <v>833</v>
      </c>
    </row>
    <row r="599" spans="1:6">
      <c r="A599" t="s">
        <v>548</v>
      </c>
      <c r="B599" t="s">
        <v>834</v>
      </c>
    </row>
    <row r="600" spans="1:6">
      <c r="A600" t="s">
        <v>548</v>
      </c>
      <c r="B600" t="s">
        <v>835</v>
      </c>
    </row>
    <row r="601" spans="1:6">
      <c r="A601" t="s">
        <v>548</v>
      </c>
      <c r="B601" t="s">
        <v>836</v>
      </c>
      <c r="C601" t="s">
        <v>837</v>
      </c>
      <c r="D601" t="str">
        <f>HYPERLINK("http://service.sap.com/sap/support/notes/1371492","1371492")</f>
        <v>1371492</v>
      </c>
      <c r="F601" t="s">
        <v>838</v>
      </c>
    </row>
    <row r="602" spans="1:6">
      <c r="A602" t="s">
        <v>548</v>
      </c>
      <c r="B602" t="s">
        <v>146</v>
      </c>
    </row>
    <row r="603" spans="1:6">
      <c r="A603" t="s">
        <v>548</v>
      </c>
      <c r="B603" t="s">
        <v>839</v>
      </c>
      <c r="C603" t="s">
        <v>840</v>
      </c>
      <c r="D603" t="str">
        <f>HYPERLINK("http://service.sap.com/sap/support/notes/1348609","1348609")</f>
        <v>1348609</v>
      </c>
      <c r="F603" t="s">
        <v>841</v>
      </c>
    </row>
    <row r="604" spans="1:6">
      <c r="A604" t="s">
        <v>548</v>
      </c>
      <c r="B604" t="s">
        <v>839</v>
      </c>
      <c r="C604" t="s">
        <v>840</v>
      </c>
      <c r="D604" t="str">
        <f>HYPERLINK("http://service.sap.com/sap/support/notes/1388962","1388962")</f>
        <v>1388962</v>
      </c>
      <c r="F604" t="s">
        <v>842</v>
      </c>
    </row>
    <row r="605" spans="1:6">
      <c r="A605" t="s">
        <v>548</v>
      </c>
      <c r="B605" t="s">
        <v>839</v>
      </c>
      <c r="C605" t="s">
        <v>840</v>
      </c>
      <c r="D605" t="str">
        <f>HYPERLINK("http://service.sap.com/sap/support/notes/1393032","1393032")</f>
        <v>1393032</v>
      </c>
      <c r="F605" t="s">
        <v>843</v>
      </c>
    </row>
    <row r="606" spans="1:6">
      <c r="A606" t="s">
        <v>548</v>
      </c>
      <c r="B606" t="s">
        <v>839</v>
      </c>
      <c r="C606" t="s">
        <v>840</v>
      </c>
      <c r="D606" t="str">
        <f>HYPERLINK("http://service.sap.com/sap/support/notes/1400246","1400246")</f>
        <v>1400246</v>
      </c>
      <c r="F606" t="s">
        <v>844</v>
      </c>
    </row>
    <row r="607" spans="1:6">
      <c r="A607" t="s">
        <v>548</v>
      </c>
      <c r="B607" t="s">
        <v>839</v>
      </c>
      <c r="C607" t="s">
        <v>840</v>
      </c>
      <c r="D607" t="str">
        <f>HYPERLINK("http://service.sap.com/sap/support/notes/1405106","1405106")</f>
        <v>1405106</v>
      </c>
      <c r="F607" t="s">
        <v>845</v>
      </c>
    </row>
    <row r="608" spans="1:6">
      <c r="A608" t="s">
        <v>548</v>
      </c>
      <c r="B608" t="s">
        <v>839</v>
      </c>
      <c r="C608" t="s">
        <v>840</v>
      </c>
      <c r="D608" t="str">
        <f>HYPERLINK("http://service.sap.com/sap/support/notes/1406776","1406776")</f>
        <v>1406776</v>
      </c>
      <c r="F608" t="s">
        <v>846</v>
      </c>
    </row>
    <row r="609" spans="1:6">
      <c r="A609" t="s">
        <v>548</v>
      </c>
      <c r="B609" t="s">
        <v>847</v>
      </c>
      <c r="C609" t="s">
        <v>848</v>
      </c>
      <c r="D609" t="str">
        <f>HYPERLINK("http://service.sap.com/sap/support/notes/1367123","1367123")</f>
        <v>1367123</v>
      </c>
      <c r="F609" t="s">
        <v>849</v>
      </c>
    </row>
    <row r="610" spans="1:6">
      <c r="A610" t="s">
        <v>548</v>
      </c>
      <c r="B610" t="s">
        <v>850</v>
      </c>
      <c r="C610" t="s">
        <v>851</v>
      </c>
      <c r="D610" t="str">
        <f>HYPERLINK("http://service.sap.com/sap/support/notes/1365675","1365675")</f>
        <v>1365675</v>
      </c>
      <c r="F610" t="s">
        <v>852</v>
      </c>
    </row>
    <row r="611" spans="1:6">
      <c r="A611" t="s">
        <v>548</v>
      </c>
      <c r="B611" t="s">
        <v>850</v>
      </c>
      <c r="C611" t="s">
        <v>851</v>
      </c>
      <c r="D611" t="str">
        <f>HYPERLINK("http://service.sap.com/sap/support/notes/1372240","1372240")</f>
        <v>1372240</v>
      </c>
      <c r="F611" t="s">
        <v>853</v>
      </c>
    </row>
    <row r="612" spans="1:6">
      <c r="A612" t="s">
        <v>548</v>
      </c>
      <c r="B612" t="s">
        <v>850</v>
      </c>
      <c r="C612" t="s">
        <v>851</v>
      </c>
      <c r="D612" t="str">
        <f>HYPERLINK("http://service.sap.com/sap/support/notes/1396067","1396067")</f>
        <v>1396067</v>
      </c>
      <c r="F612" t="s">
        <v>854</v>
      </c>
    </row>
    <row r="613" spans="1:6">
      <c r="A613" t="s">
        <v>548</v>
      </c>
      <c r="B613" t="s">
        <v>855</v>
      </c>
      <c r="C613" t="s">
        <v>856</v>
      </c>
      <c r="D613" t="str">
        <f>HYPERLINK("http://service.sap.com/sap/support/notes/1311222","1311222")</f>
        <v>1311222</v>
      </c>
      <c r="F613" t="s">
        <v>857</v>
      </c>
    </row>
    <row r="614" spans="1:6">
      <c r="A614" t="s">
        <v>548</v>
      </c>
      <c r="B614" t="s">
        <v>858</v>
      </c>
      <c r="C614" t="s">
        <v>859</v>
      </c>
      <c r="D614" t="str">
        <f>HYPERLINK("http://service.sap.com/sap/support/notes/1386848","1386848")</f>
        <v>1386848</v>
      </c>
      <c r="F614" t="s">
        <v>860</v>
      </c>
    </row>
    <row r="615" spans="1:6">
      <c r="A615" t="s">
        <v>548</v>
      </c>
      <c r="B615" t="s">
        <v>861</v>
      </c>
      <c r="C615" t="s">
        <v>862</v>
      </c>
      <c r="D615" t="str">
        <f>HYPERLINK("http://service.sap.com/sap/support/notes/1352510","1352510")</f>
        <v>1352510</v>
      </c>
      <c r="F615" t="s">
        <v>863</v>
      </c>
    </row>
    <row r="616" spans="1:6">
      <c r="A616" t="s">
        <v>548</v>
      </c>
      <c r="B616" t="s">
        <v>864</v>
      </c>
      <c r="C616" t="s">
        <v>865</v>
      </c>
      <c r="D616" t="str">
        <f>HYPERLINK("http://service.sap.com/sap/support/notes/1341424","1341424")</f>
        <v>1341424</v>
      </c>
      <c r="F616" t="s">
        <v>866</v>
      </c>
    </row>
    <row r="617" spans="1:6">
      <c r="A617" t="s">
        <v>548</v>
      </c>
      <c r="B617" t="s">
        <v>864</v>
      </c>
      <c r="C617" t="s">
        <v>865</v>
      </c>
      <c r="D617" t="str">
        <f>HYPERLINK("http://service.sap.com/sap/support/notes/1372657","1372657")</f>
        <v>1372657</v>
      </c>
      <c r="F617" t="s">
        <v>867</v>
      </c>
    </row>
    <row r="618" spans="1:6">
      <c r="A618" t="s">
        <v>548</v>
      </c>
      <c r="B618" t="s">
        <v>864</v>
      </c>
      <c r="C618" t="s">
        <v>865</v>
      </c>
      <c r="D618" t="str">
        <f>HYPERLINK("http://service.sap.com/sap/support/notes/1403484","1403484")</f>
        <v>1403484</v>
      </c>
      <c r="F618" t="s">
        <v>868</v>
      </c>
    </row>
    <row r="619" spans="1:6">
      <c r="A619" t="s">
        <v>548</v>
      </c>
      <c r="B619" t="s">
        <v>864</v>
      </c>
      <c r="C619" t="s">
        <v>865</v>
      </c>
      <c r="D619" t="str">
        <f>HYPERLINK("http://service.sap.com/sap/support/notes/1408865","1408865")</f>
        <v>1408865</v>
      </c>
      <c r="F619" t="s">
        <v>869</v>
      </c>
    </row>
    <row r="620" spans="1:6">
      <c r="A620" t="s">
        <v>548</v>
      </c>
      <c r="B620" t="s">
        <v>870</v>
      </c>
      <c r="C620" t="s">
        <v>871</v>
      </c>
      <c r="D620" t="str">
        <f>HYPERLINK("http://service.sap.com/sap/support/notes/841286","841286")</f>
        <v>841286</v>
      </c>
      <c r="F620" t="s">
        <v>872</v>
      </c>
    </row>
    <row r="621" spans="1:6">
      <c r="A621" t="s">
        <v>548</v>
      </c>
      <c r="B621" t="s">
        <v>870</v>
      </c>
      <c r="C621" t="s">
        <v>871</v>
      </c>
      <c r="D621" t="str">
        <f>HYPERLINK("http://service.sap.com/sap/support/notes/1327271","1327271")</f>
        <v>1327271</v>
      </c>
      <c r="F621" t="s">
        <v>873</v>
      </c>
    </row>
    <row r="622" spans="1:6">
      <c r="A622" t="s">
        <v>548</v>
      </c>
      <c r="B622" t="s">
        <v>870</v>
      </c>
      <c r="C622" t="s">
        <v>871</v>
      </c>
      <c r="D622" t="str">
        <f>HYPERLINK("http://service.sap.com/sap/support/notes/1336787","1336787")</f>
        <v>1336787</v>
      </c>
      <c r="F622" t="s">
        <v>874</v>
      </c>
    </row>
    <row r="623" spans="1:6">
      <c r="A623" t="s">
        <v>548</v>
      </c>
      <c r="B623" t="s">
        <v>870</v>
      </c>
      <c r="C623" t="s">
        <v>871</v>
      </c>
      <c r="D623" t="str">
        <f>HYPERLINK("http://service.sap.com/sap/support/notes/1353984","1353984")</f>
        <v>1353984</v>
      </c>
      <c r="F623" t="s">
        <v>875</v>
      </c>
    </row>
    <row r="624" spans="1:6">
      <c r="A624" t="s">
        <v>548</v>
      </c>
      <c r="B624" t="s">
        <v>870</v>
      </c>
      <c r="C624" t="s">
        <v>871</v>
      </c>
      <c r="D624" t="str">
        <f>HYPERLINK("http://service.sap.com/sap/support/notes/1363202","1363202")</f>
        <v>1363202</v>
      </c>
      <c r="F624" t="s">
        <v>876</v>
      </c>
    </row>
    <row r="625" spans="1:6">
      <c r="A625" t="s">
        <v>548</v>
      </c>
      <c r="B625" t="s">
        <v>870</v>
      </c>
      <c r="C625" t="s">
        <v>871</v>
      </c>
      <c r="D625" t="str">
        <f>HYPERLINK("http://service.sap.com/sap/support/notes/1364531","1364531")</f>
        <v>1364531</v>
      </c>
      <c r="F625" t="s">
        <v>877</v>
      </c>
    </row>
    <row r="626" spans="1:6">
      <c r="A626" t="s">
        <v>548</v>
      </c>
      <c r="B626" t="s">
        <v>870</v>
      </c>
      <c r="C626" t="s">
        <v>871</v>
      </c>
      <c r="D626" t="str">
        <f>HYPERLINK("http://service.sap.com/sap/support/notes/1373086","1373086")</f>
        <v>1373086</v>
      </c>
      <c r="F626" t="s">
        <v>878</v>
      </c>
    </row>
    <row r="627" spans="1:6">
      <c r="A627" t="s">
        <v>548</v>
      </c>
      <c r="B627" t="s">
        <v>870</v>
      </c>
      <c r="C627" t="s">
        <v>871</v>
      </c>
      <c r="D627" t="str">
        <f>HYPERLINK("http://service.sap.com/sap/support/notes/1373266","1373266")</f>
        <v>1373266</v>
      </c>
      <c r="F627" t="s">
        <v>879</v>
      </c>
    </row>
    <row r="628" spans="1:6">
      <c r="A628" t="s">
        <v>548</v>
      </c>
      <c r="B628" t="s">
        <v>870</v>
      </c>
      <c r="C628" t="s">
        <v>871</v>
      </c>
      <c r="D628" t="str">
        <f>HYPERLINK("http://service.sap.com/sap/support/notes/1375642","1375642")</f>
        <v>1375642</v>
      </c>
      <c r="F628" t="s">
        <v>880</v>
      </c>
    </row>
    <row r="629" spans="1:6">
      <c r="A629" t="s">
        <v>548</v>
      </c>
      <c r="B629" t="s">
        <v>870</v>
      </c>
      <c r="C629" t="s">
        <v>871</v>
      </c>
      <c r="D629" t="str">
        <f>HYPERLINK("http://service.sap.com/sap/support/notes/1382243","1382243")</f>
        <v>1382243</v>
      </c>
      <c r="F629" t="s">
        <v>881</v>
      </c>
    </row>
    <row r="630" spans="1:6">
      <c r="A630" t="s">
        <v>548</v>
      </c>
      <c r="B630" t="s">
        <v>870</v>
      </c>
      <c r="C630" t="s">
        <v>871</v>
      </c>
      <c r="D630" t="str">
        <f>HYPERLINK("http://service.sap.com/sap/support/notes/1393566","1393566")</f>
        <v>1393566</v>
      </c>
      <c r="F630" t="s">
        <v>882</v>
      </c>
    </row>
    <row r="631" spans="1:6">
      <c r="A631" t="s">
        <v>548</v>
      </c>
      <c r="B631" t="s">
        <v>870</v>
      </c>
      <c r="C631" t="s">
        <v>871</v>
      </c>
      <c r="D631" t="str">
        <f>HYPERLINK("http://service.sap.com/sap/support/notes/1398415","1398415")</f>
        <v>1398415</v>
      </c>
      <c r="F631" t="s">
        <v>883</v>
      </c>
    </row>
    <row r="632" spans="1:6">
      <c r="A632" t="s">
        <v>548</v>
      </c>
      <c r="B632" t="s">
        <v>870</v>
      </c>
      <c r="C632" t="s">
        <v>871</v>
      </c>
      <c r="D632" t="str">
        <f>HYPERLINK("http://service.sap.com/sap/support/notes/1403002","1403002")</f>
        <v>1403002</v>
      </c>
      <c r="F632" t="s">
        <v>884</v>
      </c>
    </row>
    <row r="633" spans="1:6">
      <c r="A633" t="s">
        <v>548</v>
      </c>
      <c r="B633" t="s">
        <v>870</v>
      </c>
      <c r="C633" t="s">
        <v>871</v>
      </c>
      <c r="D633" t="str">
        <f>HYPERLINK("http://service.sap.com/sap/support/notes/1406984","1406984")</f>
        <v>1406984</v>
      </c>
      <c r="F633" t="s">
        <v>885</v>
      </c>
    </row>
    <row r="634" spans="1:6">
      <c r="A634" t="s">
        <v>548</v>
      </c>
      <c r="B634" t="s">
        <v>886</v>
      </c>
      <c r="C634" t="s">
        <v>887</v>
      </c>
      <c r="D634" t="str">
        <f>HYPERLINK("http://service.sap.com/sap/support/notes/1308467","1308467")</f>
        <v>1308467</v>
      </c>
      <c r="F634" t="s">
        <v>888</v>
      </c>
    </row>
    <row r="635" spans="1:6">
      <c r="A635" t="s">
        <v>548</v>
      </c>
      <c r="B635" t="s">
        <v>886</v>
      </c>
      <c r="C635" t="s">
        <v>887</v>
      </c>
      <c r="D635" t="str">
        <f>HYPERLINK("http://service.sap.com/sap/support/notes/1386251","1386251")</f>
        <v>1386251</v>
      </c>
      <c r="F635" t="s">
        <v>889</v>
      </c>
    </row>
    <row r="636" spans="1:6">
      <c r="A636" t="s">
        <v>548</v>
      </c>
      <c r="B636" t="s">
        <v>886</v>
      </c>
      <c r="C636" t="s">
        <v>887</v>
      </c>
      <c r="D636" t="str">
        <f>HYPERLINK("http://service.sap.com/sap/support/notes/1389773","1389773")</f>
        <v>1389773</v>
      </c>
      <c r="F636" t="s">
        <v>890</v>
      </c>
    </row>
    <row r="637" spans="1:6">
      <c r="A637" t="s">
        <v>548</v>
      </c>
      <c r="B637" t="s">
        <v>891</v>
      </c>
      <c r="C637" t="s">
        <v>892</v>
      </c>
      <c r="D637" t="str">
        <f>HYPERLINK("http://service.sap.com/sap/support/notes/1334987","1334987")</f>
        <v>1334987</v>
      </c>
      <c r="F637" t="s">
        <v>893</v>
      </c>
    </row>
    <row r="638" spans="1:6">
      <c r="A638" t="s">
        <v>548</v>
      </c>
      <c r="B638" t="s">
        <v>891</v>
      </c>
      <c r="C638" t="s">
        <v>892</v>
      </c>
      <c r="D638" t="str">
        <f>HYPERLINK("http://service.sap.com/sap/support/notes/1373330","1373330")</f>
        <v>1373330</v>
      </c>
      <c r="F638" t="s">
        <v>894</v>
      </c>
    </row>
    <row r="639" spans="1:6">
      <c r="A639" t="s">
        <v>548</v>
      </c>
      <c r="B639" t="s">
        <v>895</v>
      </c>
      <c r="C639" t="s">
        <v>896</v>
      </c>
      <c r="D639" t="str">
        <f>HYPERLINK("http://service.sap.com/sap/support/notes/1353627","1353627")</f>
        <v>1353627</v>
      </c>
      <c r="F639" t="s">
        <v>897</v>
      </c>
    </row>
    <row r="640" spans="1:6">
      <c r="A640" t="s">
        <v>548</v>
      </c>
      <c r="B640" t="s">
        <v>895</v>
      </c>
      <c r="C640" t="s">
        <v>896</v>
      </c>
      <c r="D640" t="str">
        <f>HYPERLINK("http://service.sap.com/sap/support/notes/1373802","1373802")</f>
        <v>1373802</v>
      </c>
      <c r="F640" t="s">
        <v>898</v>
      </c>
    </row>
    <row r="641" spans="1:6">
      <c r="A641" t="s">
        <v>548</v>
      </c>
      <c r="B641" t="s">
        <v>899</v>
      </c>
    </row>
    <row r="642" spans="1:6">
      <c r="A642" t="s">
        <v>548</v>
      </c>
      <c r="B642" t="s">
        <v>900</v>
      </c>
      <c r="C642" t="s">
        <v>901</v>
      </c>
      <c r="D642" t="str">
        <f>HYPERLINK("http://service.sap.com/sap/support/notes/1287989","1287989")</f>
        <v>1287989</v>
      </c>
      <c r="F642" t="s">
        <v>902</v>
      </c>
    </row>
    <row r="643" spans="1:6">
      <c r="A643" t="s">
        <v>548</v>
      </c>
      <c r="B643" t="s">
        <v>900</v>
      </c>
      <c r="C643" t="s">
        <v>901</v>
      </c>
      <c r="D643" t="str">
        <f>HYPERLINK("http://service.sap.com/sap/support/notes/1362498","1362498")</f>
        <v>1362498</v>
      </c>
      <c r="F643" t="s">
        <v>903</v>
      </c>
    </row>
    <row r="644" spans="1:6">
      <c r="A644" t="s">
        <v>548</v>
      </c>
      <c r="B644" t="s">
        <v>148</v>
      </c>
      <c r="C644" t="s">
        <v>149</v>
      </c>
      <c r="D644" t="str">
        <f>HYPERLINK("http://service.sap.com/sap/support/notes/1345925","1345925")</f>
        <v>1345925</v>
      </c>
      <c r="F644" t="s">
        <v>904</v>
      </c>
    </row>
    <row r="645" spans="1:6">
      <c r="A645" t="s">
        <v>548</v>
      </c>
      <c r="B645" t="s">
        <v>148</v>
      </c>
      <c r="C645" t="s">
        <v>149</v>
      </c>
      <c r="D645" t="str">
        <f>HYPERLINK("http://service.sap.com/sap/support/notes/1405073","1405073")</f>
        <v>1405073</v>
      </c>
      <c r="F645" t="s">
        <v>905</v>
      </c>
    </row>
    <row r="646" spans="1:6">
      <c r="A646" t="s">
        <v>548</v>
      </c>
      <c r="B646" t="s">
        <v>148</v>
      </c>
      <c r="C646" t="s">
        <v>149</v>
      </c>
      <c r="D646" t="str">
        <f>HYPERLINK("http://service.sap.com/sap/support/notes/1405161","1405161")</f>
        <v>1405161</v>
      </c>
      <c r="F646" t="s">
        <v>906</v>
      </c>
    </row>
    <row r="647" spans="1:6">
      <c r="A647" t="s">
        <v>548</v>
      </c>
      <c r="B647" t="s">
        <v>148</v>
      </c>
      <c r="C647" t="s">
        <v>149</v>
      </c>
      <c r="D647" t="str">
        <f>HYPERLINK("http://service.sap.com/sap/support/notes/1406078","1406078")</f>
        <v>1406078</v>
      </c>
      <c r="F647" t="s">
        <v>907</v>
      </c>
    </row>
    <row r="648" spans="1:6">
      <c r="A648" t="s">
        <v>548</v>
      </c>
      <c r="B648" t="s">
        <v>154</v>
      </c>
      <c r="C648" t="s">
        <v>908</v>
      </c>
      <c r="D648" t="str">
        <f>HYPERLINK("http://service.sap.com/sap/support/notes/1409108","1409108")</f>
        <v>1409108</v>
      </c>
      <c r="F648" t="s">
        <v>909</v>
      </c>
    </row>
    <row r="649" spans="1:6">
      <c r="A649" t="s">
        <v>548</v>
      </c>
      <c r="B649" t="s">
        <v>158</v>
      </c>
    </row>
    <row r="650" spans="1:6">
      <c r="A650" t="s">
        <v>548</v>
      </c>
      <c r="B650" t="s">
        <v>160</v>
      </c>
      <c r="C650" t="s">
        <v>47</v>
      </c>
      <c r="D650" t="str">
        <f>HYPERLINK("http://service.sap.com/sap/support/notes/1320182","1320182")</f>
        <v>1320182</v>
      </c>
      <c r="F650" t="s">
        <v>910</v>
      </c>
    </row>
    <row r="651" spans="1:6">
      <c r="A651" t="s">
        <v>548</v>
      </c>
      <c r="B651" t="s">
        <v>160</v>
      </c>
      <c r="C651" t="s">
        <v>47</v>
      </c>
      <c r="D651" t="str">
        <f>HYPERLINK("http://service.sap.com/sap/support/notes/1380960","1380960")</f>
        <v>1380960</v>
      </c>
      <c r="F651" t="s">
        <v>911</v>
      </c>
    </row>
    <row r="652" spans="1:6">
      <c r="A652" t="s">
        <v>548</v>
      </c>
      <c r="B652" t="s">
        <v>160</v>
      </c>
      <c r="C652" t="s">
        <v>47</v>
      </c>
      <c r="D652" t="str">
        <f>HYPERLINK("http://service.sap.com/sap/support/notes/1384070","1384070")</f>
        <v>1384070</v>
      </c>
      <c r="F652" t="s">
        <v>912</v>
      </c>
    </row>
    <row r="653" spans="1:6">
      <c r="A653" t="s">
        <v>548</v>
      </c>
      <c r="B653" t="s">
        <v>160</v>
      </c>
      <c r="C653" t="s">
        <v>47</v>
      </c>
      <c r="D653" t="str">
        <f>HYPERLINK("http://service.sap.com/sap/support/notes/1391214","1391214")</f>
        <v>1391214</v>
      </c>
      <c r="F653" t="s">
        <v>913</v>
      </c>
    </row>
    <row r="654" spans="1:6">
      <c r="A654" t="s">
        <v>548</v>
      </c>
      <c r="B654" t="s">
        <v>160</v>
      </c>
      <c r="C654" t="s">
        <v>47</v>
      </c>
      <c r="D654" t="str">
        <f>HYPERLINK("http://service.sap.com/sap/support/notes/1392763","1392763")</f>
        <v>1392763</v>
      </c>
      <c r="F654" t="s">
        <v>914</v>
      </c>
    </row>
    <row r="655" spans="1:6">
      <c r="A655" t="s">
        <v>548</v>
      </c>
      <c r="B655" t="s">
        <v>160</v>
      </c>
      <c r="C655" t="s">
        <v>47</v>
      </c>
      <c r="D655" t="str">
        <f>HYPERLINK("http://service.sap.com/sap/support/notes/1393773","1393773")</f>
        <v>1393773</v>
      </c>
      <c r="F655" t="s">
        <v>915</v>
      </c>
    </row>
    <row r="656" spans="1:6">
      <c r="A656" t="s">
        <v>548</v>
      </c>
      <c r="B656" t="s">
        <v>160</v>
      </c>
      <c r="C656" t="s">
        <v>47</v>
      </c>
      <c r="D656" t="str">
        <f>HYPERLINK("http://service.sap.com/sap/support/notes/1395713","1395713")</f>
        <v>1395713</v>
      </c>
      <c r="F656" t="s">
        <v>916</v>
      </c>
    </row>
    <row r="657" spans="1:6">
      <c r="A657" t="s">
        <v>548</v>
      </c>
      <c r="B657" t="s">
        <v>160</v>
      </c>
      <c r="C657" t="s">
        <v>47</v>
      </c>
      <c r="D657" t="str">
        <f>HYPERLINK("http://service.sap.com/sap/support/notes/1396718","1396718")</f>
        <v>1396718</v>
      </c>
      <c r="F657" t="s">
        <v>917</v>
      </c>
    </row>
    <row r="658" spans="1:6">
      <c r="A658" t="s">
        <v>548</v>
      </c>
      <c r="B658" t="s">
        <v>160</v>
      </c>
      <c r="C658" t="s">
        <v>47</v>
      </c>
      <c r="D658" t="str">
        <f>HYPERLINK("http://service.sap.com/sap/support/notes/1400594","1400594")</f>
        <v>1400594</v>
      </c>
      <c r="F658" t="s">
        <v>918</v>
      </c>
    </row>
    <row r="659" spans="1:6">
      <c r="A659" t="s">
        <v>548</v>
      </c>
      <c r="B659" t="s">
        <v>160</v>
      </c>
      <c r="C659" t="s">
        <v>47</v>
      </c>
      <c r="D659" t="str">
        <f>HYPERLINK("http://service.sap.com/sap/support/notes/1401368","1401368")</f>
        <v>1401368</v>
      </c>
      <c r="F659" t="s">
        <v>919</v>
      </c>
    </row>
    <row r="660" spans="1:6">
      <c r="A660" t="s">
        <v>548</v>
      </c>
      <c r="B660" t="s">
        <v>160</v>
      </c>
      <c r="C660" t="s">
        <v>47</v>
      </c>
      <c r="D660" t="str">
        <f>HYPERLINK("http://service.sap.com/sap/support/notes/1403464","1403464")</f>
        <v>1403464</v>
      </c>
      <c r="F660" t="s">
        <v>920</v>
      </c>
    </row>
    <row r="661" spans="1:6">
      <c r="A661" t="s">
        <v>548</v>
      </c>
      <c r="B661" t="s">
        <v>160</v>
      </c>
      <c r="C661" t="s">
        <v>47</v>
      </c>
      <c r="D661" t="str">
        <f>HYPERLINK("http://service.sap.com/sap/support/notes/1407576","1407576")</f>
        <v>1407576</v>
      </c>
      <c r="F661" t="s">
        <v>921</v>
      </c>
    </row>
    <row r="662" spans="1:6">
      <c r="A662" t="s">
        <v>548</v>
      </c>
      <c r="B662" t="s">
        <v>160</v>
      </c>
      <c r="C662" t="s">
        <v>47</v>
      </c>
      <c r="D662" t="str">
        <f>HYPERLINK("http://service.sap.com/sap/support/notes/1407580","1407580")</f>
        <v>1407580</v>
      </c>
      <c r="F662" t="s">
        <v>922</v>
      </c>
    </row>
    <row r="663" spans="1:6">
      <c r="A663" t="s">
        <v>548</v>
      </c>
      <c r="B663" t="s">
        <v>160</v>
      </c>
      <c r="C663" t="s">
        <v>47</v>
      </c>
      <c r="D663" t="str">
        <f>HYPERLINK("http://service.sap.com/sap/support/notes/1408207","1408207")</f>
        <v>1408207</v>
      </c>
      <c r="F663" t="s">
        <v>923</v>
      </c>
    </row>
    <row r="664" spans="1:6">
      <c r="A664" t="s">
        <v>548</v>
      </c>
      <c r="B664" t="s">
        <v>160</v>
      </c>
      <c r="C664" t="s">
        <v>47</v>
      </c>
      <c r="D664" t="str">
        <f>HYPERLINK("http://service.sap.com/sap/support/notes/1408910","1408910")</f>
        <v>1408910</v>
      </c>
      <c r="F664" t="s">
        <v>924</v>
      </c>
    </row>
    <row r="665" spans="1:6">
      <c r="A665" t="s">
        <v>548</v>
      </c>
      <c r="B665" t="s">
        <v>166</v>
      </c>
      <c r="C665" t="s">
        <v>50</v>
      </c>
      <c r="D665" t="str">
        <f>HYPERLINK("http://service.sap.com/sap/support/notes/1307475","1307475")</f>
        <v>1307475</v>
      </c>
      <c r="F665" t="s">
        <v>925</v>
      </c>
    </row>
    <row r="666" spans="1:6">
      <c r="A666" t="s">
        <v>548</v>
      </c>
      <c r="B666" t="s">
        <v>166</v>
      </c>
      <c r="C666" t="s">
        <v>50</v>
      </c>
      <c r="D666" t="str">
        <f>HYPERLINK("http://service.sap.com/sap/support/notes/1311876","1311876")</f>
        <v>1311876</v>
      </c>
      <c r="F666" t="s">
        <v>926</v>
      </c>
    </row>
    <row r="667" spans="1:6">
      <c r="A667" t="s">
        <v>548</v>
      </c>
      <c r="B667" t="s">
        <v>166</v>
      </c>
      <c r="C667" t="s">
        <v>50</v>
      </c>
      <c r="D667" t="str">
        <f>HYPERLINK("http://service.sap.com/sap/support/notes/1343631","1343631")</f>
        <v>1343631</v>
      </c>
      <c r="F667" t="s">
        <v>927</v>
      </c>
    </row>
    <row r="668" spans="1:6">
      <c r="A668" t="s">
        <v>548</v>
      </c>
      <c r="B668" t="s">
        <v>166</v>
      </c>
      <c r="C668" t="s">
        <v>50</v>
      </c>
      <c r="D668" t="str">
        <f>HYPERLINK("http://service.sap.com/sap/support/notes/1349933","1349933")</f>
        <v>1349933</v>
      </c>
      <c r="F668" t="s">
        <v>928</v>
      </c>
    </row>
    <row r="669" spans="1:6">
      <c r="A669" t="s">
        <v>548</v>
      </c>
      <c r="B669" t="s">
        <v>166</v>
      </c>
      <c r="C669" t="s">
        <v>50</v>
      </c>
      <c r="D669" t="str">
        <f>HYPERLINK("http://service.sap.com/sap/support/notes/1374297","1374297")</f>
        <v>1374297</v>
      </c>
      <c r="F669" t="s">
        <v>929</v>
      </c>
    </row>
    <row r="670" spans="1:6">
      <c r="A670" t="s">
        <v>548</v>
      </c>
      <c r="B670" t="s">
        <v>166</v>
      </c>
      <c r="C670" t="s">
        <v>50</v>
      </c>
      <c r="D670" t="str">
        <f>HYPERLINK("http://service.sap.com/sap/support/notes/1376198","1376198")</f>
        <v>1376198</v>
      </c>
      <c r="F670" t="s">
        <v>930</v>
      </c>
    </row>
    <row r="671" spans="1:6">
      <c r="A671" t="s">
        <v>548</v>
      </c>
      <c r="B671" t="s">
        <v>166</v>
      </c>
      <c r="C671" t="s">
        <v>50</v>
      </c>
      <c r="D671" t="str">
        <f>HYPERLINK("http://service.sap.com/sap/support/notes/1389944","1389944")</f>
        <v>1389944</v>
      </c>
      <c r="F671" t="s">
        <v>931</v>
      </c>
    </row>
    <row r="672" spans="1:6">
      <c r="A672" t="s">
        <v>548</v>
      </c>
      <c r="B672" t="s">
        <v>166</v>
      </c>
      <c r="C672" t="s">
        <v>50</v>
      </c>
      <c r="D672" t="str">
        <f>HYPERLINK("http://service.sap.com/sap/support/notes/1397198","1397198")</f>
        <v>1397198</v>
      </c>
      <c r="F672" t="s">
        <v>932</v>
      </c>
    </row>
    <row r="673" spans="1:6">
      <c r="A673" t="s">
        <v>548</v>
      </c>
      <c r="B673" t="s">
        <v>166</v>
      </c>
      <c r="C673" t="s">
        <v>50</v>
      </c>
      <c r="D673" t="str">
        <f>HYPERLINK("http://service.sap.com/sap/support/notes/1398761","1398761")</f>
        <v>1398761</v>
      </c>
      <c r="F673" t="s">
        <v>933</v>
      </c>
    </row>
    <row r="674" spans="1:6">
      <c r="A674" t="s">
        <v>548</v>
      </c>
      <c r="B674" t="s">
        <v>166</v>
      </c>
      <c r="C674" t="s">
        <v>50</v>
      </c>
      <c r="D674" t="str">
        <f>HYPERLINK("http://service.sap.com/sap/support/notes/1399165","1399165")</f>
        <v>1399165</v>
      </c>
      <c r="F674" t="s">
        <v>934</v>
      </c>
    </row>
    <row r="675" spans="1:6">
      <c r="A675" t="s">
        <v>548</v>
      </c>
      <c r="B675" t="s">
        <v>166</v>
      </c>
      <c r="C675" t="s">
        <v>50</v>
      </c>
      <c r="D675" t="str">
        <f>HYPERLINK("http://service.sap.com/sap/support/notes/1402319","1402319")</f>
        <v>1402319</v>
      </c>
      <c r="F675" t="s">
        <v>935</v>
      </c>
    </row>
    <row r="676" spans="1:6">
      <c r="A676" t="s">
        <v>548</v>
      </c>
      <c r="B676" t="s">
        <v>166</v>
      </c>
      <c r="C676" t="s">
        <v>50</v>
      </c>
      <c r="D676" t="str">
        <f>HYPERLINK("http://service.sap.com/sap/support/notes/1402976","1402976")</f>
        <v>1402976</v>
      </c>
      <c r="F676" t="s">
        <v>936</v>
      </c>
    </row>
    <row r="677" spans="1:6">
      <c r="A677" t="s">
        <v>548</v>
      </c>
      <c r="B677" t="s">
        <v>166</v>
      </c>
      <c r="C677" t="s">
        <v>50</v>
      </c>
      <c r="D677" t="str">
        <f>HYPERLINK("http://service.sap.com/sap/support/notes/1403785","1403785")</f>
        <v>1403785</v>
      </c>
      <c r="F677" t="s">
        <v>937</v>
      </c>
    </row>
    <row r="678" spans="1:6">
      <c r="A678" t="s">
        <v>548</v>
      </c>
      <c r="B678" t="s">
        <v>166</v>
      </c>
      <c r="C678" t="s">
        <v>50</v>
      </c>
      <c r="D678" t="str">
        <f>HYPERLINK("http://service.sap.com/sap/support/notes/1405555","1405555")</f>
        <v>1405555</v>
      </c>
      <c r="F678" t="s">
        <v>938</v>
      </c>
    </row>
    <row r="679" spans="1:6">
      <c r="A679" t="s">
        <v>548</v>
      </c>
      <c r="B679" t="s">
        <v>166</v>
      </c>
      <c r="C679" t="s">
        <v>50</v>
      </c>
      <c r="D679" t="str">
        <f>HYPERLINK("http://service.sap.com/sap/support/notes/1406999","1406999")</f>
        <v>1406999</v>
      </c>
      <c r="F679" t="s">
        <v>939</v>
      </c>
    </row>
    <row r="680" spans="1:6">
      <c r="A680" t="s">
        <v>548</v>
      </c>
      <c r="B680" t="s">
        <v>166</v>
      </c>
      <c r="C680" t="s">
        <v>50</v>
      </c>
      <c r="D680" t="str">
        <f>HYPERLINK("http://service.sap.com/sap/support/notes/1407517","1407517")</f>
        <v>1407517</v>
      </c>
      <c r="F680" t="s">
        <v>940</v>
      </c>
    </row>
    <row r="681" spans="1:6">
      <c r="A681" t="s">
        <v>548</v>
      </c>
      <c r="B681" t="s">
        <v>941</v>
      </c>
      <c r="C681" t="s">
        <v>189</v>
      </c>
      <c r="D681" t="str">
        <f>HYPERLINK("http://service.sap.com/sap/support/notes/1392092","1392092")</f>
        <v>1392092</v>
      </c>
      <c r="F681" t="s">
        <v>942</v>
      </c>
    </row>
    <row r="682" spans="1:6">
      <c r="A682" t="s">
        <v>548</v>
      </c>
      <c r="B682" t="s">
        <v>174</v>
      </c>
      <c r="C682" t="s">
        <v>175</v>
      </c>
      <c r="D682" t="str">
        <f>HYPERLINK("http://service.sap.com/sap/support/notes/710613","710613")</f>
        <v>710613</v>
      </c>
      <c r="F682" t="s">
        <v>943</v>
      </c>
    </row>
    <row r="683" spans="1:6">
      <c r="A683" t="s">
        <v>548</v>
      </c>
      <c r="B683" t="s">
        <v>174</v>
      </c>
      <c r="C683" t="s">
        <v>175</v>
      </c>
      <c r="D683" t="str">
        <f>HYPERLINK("http://service.sap.com/sap/support/notes/815445","815445")</f>
        <v>815445</v>
      </c>
      <c r="F683" t="s">
        <v>176</v>
      </c>
    </row>
    <row r="684" spans="1:6">
      <c r="A684" t="s">
        <v>548</v>
      </c>
      <c r="B684" t="s">
        <v>174</v>
      </c>
      <c r="C684" t="s">
        <v>175</v>
      </c>
      <c r="D684" t="str">
        <f>HYPERLINK("http://service.sap.com/sap/support/notes/1389414","1389414")</f>
        <v>1389414</v>
      </c>
      <c r="F684" t="s">
        <v>944</v>
      </c>
    </row>
    <row r="685" spans="1:6">
      <c r="A685" t="s">
        <v>548</v>
      </c>
      <c r="B685" t="s">
        <v>174</v>
      </c>
      <c r="C685" t="s">
        <v>175</v>
      </c>
      <c r="D685" t="str">
        <f>HYPERLINK("http://service.sap.com/sap/support/notes/1393002","1393002")</f>
        <v>1393002</v>
      </c>
      <c r="F685" t="s">
        <v>945</v>
      </c>
    </row>
    <row r="686" spans="1:6">
      <c r="A686" t="s">
        <v>548</v>
      </c>
      <c r="B686" t="s">
        <v>174</v>
      </c>
      <c r="C686" t="s">
        <v>175</v>
      </c>
      <c r="D686" t="str">
        <f>HYPERLINK("http://service.sap.com/sap/support/notes/1395863","1395863")</f>
        <v>1395863</v>
      </c>
      <c r="F686" t="s">
        <v>946</v>
      </c>
    </row>
    <row r="687" spans="1:6">
      <c r="A687" t="s">
        <v>548</v>
      </c>
      <c r="B687" t="s">
        <v>174</v>
      </c>
      <c r="C687" t="s">
        <v>175</v>
      </c>
      <c r="D687" t="str">
        <f>HYPERLINK("http://service.sap.com/sap/support/notes/1396190","1396190")</f>
        <v>1396190</v>
      </c>
      <c r="F687" t="s">
        <v>947</v>
      </c>
    </row>
    <row r="688" spans="1:6">
      <c r="A688" t="s">
        <v>548</v>
      </c>
      <c r="B688" t="s">
        <v>174</v>
      </c>
      <c r="C688" t="s">
        <v>175</v>
      </c>
      <c r="D688" t="str">
        <f>HYPERLINK("http://service.sap.com/sap/support/notes/1399962","1399962")</f>
        <v>1399962</v>
      </c>
      <c r="F688" t="s">
        <v>948</v>
      </c>
    </row>
    <row r="689" spans="1:6">
      <c r="A689" t="s">
        <v>548</v>
      </c>
      <c r="B689" t="s">
        <v>174</v>
      </c>
      <c r="C689" t="s">
        <v>175</v>
      </c>
      <c r="D689" t="str">
        <f>HYPERLINK("http://service.sap.com/sap/support/notes/1401024","1401024")</f>
        <v>1401024</v>
      </c>
      <c r="F689" t="s">
        <v>949</v>
      </c>
    </row>
    <row r="690" spans="1:6">
      <c r="A690" t="s">
        <v>548</v>
      </c>
      <c r="B690" t="s">
        <v>174</v>
      </c>
      <c r="C690" t="s">
        <v>175</v>
      </c>
      <c r="D690" t="str">
        <f>HYPERLINK("http://service.sap.com/sap/support/notes/1402354","1402354")</f>
        <v>1402354</v>
      </c>
      <c r="F690" t="s">
        <v>950</v>
      </c>
    </row>
    <row r="691" spans="1:6">
      <c r="A691" t="s">
        <v>548</v>
      </c>
      <c r="B691" t="s">
        <v>174</v>
      </c>
      <c r="C691" t="s">
        <v>175</v>
      </c>
      <c r="D691" t="str">
        <f>HYPERLINK("http://service.sap.com/sap/support/notes/1402635","1402635")</f>
        <v>1402635</v>
      </c>
      <c r="F691" t="s">
        <v>951</v>
      </c>
    </row>
    <row r="692" spans="1:6">
      <c r="A692" t="s">
        <v>548</v>
      </c>
      <c r="B692" t="s">
        <v>174</v>
      </c>
      <c r="C692" t="s">
        <v>175</v>
      </c>
      <c r="D692" t="str">
        <f>HYPERLINK("http://service.sap.com/sap/support/notes/1402859","1402859")</f>
        <v>1402859</v>
      </c>
      <c r="F692" t="s">
        <v>952</v>
      </c>
    </row>
    <row r="693" spans="1:6">
      <c r="A693" t="s">
        <v>548</v>
      </c>
      <c r="B693" t="s">
        <v>174</v>
      </c>
      <c r="C693" t="s">
        <v>175</v>
      </c>
      <c r="D693" t="str">
        <f>HYPERLINK("http://service.sap.com/sap/support/notes/1403309","1403309")</f>
        <v>1403309</v>
      </c>
      <c r="F693" t="s">
        <v>953</v>
      </c>
    </row>
    <row r="694" spans="1:6">
      <c r="A694" t="s">
        <v>548</v>
      </c>
      <c r="B694" t="s">
        <v>174</v>
      </c>
      <c r="C694" t="s">
        <v>175</v>
      </c>
      <c r="D694" t="str">
        <f>HYPERLINK("http://service.sap.com/sap/support/notes/1404749","1404749")</f>
        <v>1404749</v>
      </c>
      <c r="F694" t="s">
        <v>954</v>
      </c>
    </row>
    <row r="695" spans="1:6">
      <c r="A695" t="s">
        <v>548</v>
      </c>
      <c r="B695" t="s">
        <v>174</v>
      </c>
      <c r="C695" t="s">
        <v>175</v>
      </c>
      <c r="D695" t="str">
        <f>HYPERLINK("http://service.sap.com/sap/support/notes/1405376","1405376")</f>
        <v>1405376</v>
      </c>
      <c r="F695" t="s">
        <v>955</v>
      </c>
    </row>
    <row r="696" spans="1:6">
      <c r="A696" t="s">
        <v>548</v>
      </c>
      <c r="B696" t="s">
        <v>174</v>
      </c>
      <c r="C696" t="s">
        <v>175</v>
      </c>
      <c r="D696" t="str">
        <f>HYPERLINK("http://service.sap.com/sap/support/notes/1406104","1406104")</f>
        <v>1406104</v>
      </c>
      <c r="F696" t="s">
        <v>956</v>
      </c>
    </row>
    <row r="697" spans="1:6">
      <c r="A697" t="s">
        <v>548</v>
      </c>
      <c r="B697" t="s">
        <v>174</v>
      </c>
      <c r="C697" t="s">
        <v>175</v>
      </c>
      <c r="D697" t="str">
        <f>HYPERLINK("http://service.sap.com/sap/support/notes/1407048","1407048")</f>
        <v>1407048</v>
      </c>
      <c r="F697" t="s">
        <v>957</v>
      </c>
    </row>
    <row r="698" spans="1:6">
      <c r="A698" t="s">
        <v>548</v>
      </c>
      <c r="B698" t="s">
        <v>174</v>
      </c>
      <c r="C698" t="s">
        <v>175</v>
      </c>
      <c r="D698" t="str">
        <f>HYPERLINK("http://service.sap.com/sap/support/notes/1408801","1408801")</f>
        <v>1408801</v>
      </c>
      <c r="F698" t="s">
        <v>958</v>
      </c>
    </row>
    <row r="699" spans="1:6">
      <c r="A699" t="s">
        <v>548</v>
      </c>
      <c r="B699" t="s">
        <v>174</v>
      </c>
      <c r="C699" t="s">
        <v>175</v>
      </c>
      <c r="D699" t="str">
        <f>HYPERLINK("http://service.sap.com/sap/support/notes/1410016","1410016")</f>
        <v>1410016</v>
      </c>
      <c r="F699" t="s">
        <v>959</v>
      </c>
    </row>
    <row r="700" spans="1:6">
      <c r="A700" t="s">
        <v>548</v>
      </c>
      <c r="B700" t="s">
        <v>188</v>
      </c>
      <c r="C700" t="s">
        <v>189</v>
      </c>
      <c r="D700" t="str">
        <f>HYPERLINK("http://service.sap.com/sap/support/notes/1378373","1378373")</f>
        <v>1378373</v>
      </c>
      <c r="F700" t="s">
        <v>960</v>
      </c>
    </row>
    <row r="701" spans="1:6">
      <c r="A701" t="s">
        <v>548</v>
      </c>
      <c r="B701" t="s">
        <v>188</v>
      </c>
      <c r="C701" t="s">
        <v>189</v>
      </c>
      <c r="D701" t="str">
        <f>HYPERLINK("http://service.sap.com/sap/support/notes/1390745","1390745")</f>
        <v>1390745</v>
      </c>
      <c r="F701" t="s">
        <v>961</v>
      </c>
    </row>
    <row r="702" spans="1:6">
      <c r="A702" t="s">
        <v>548</v>
      </c>
      <c r="B702" t="s">
        <v>188</v>
      </c>
      <c r="C702" t="s">
        <v>189</v>
      </c>
      <c r="D702" t="str">
        <f>HYPERLINK("http://service.sap.com/sap/support/notes/1393689","1393689")</f>
        <v>1393689</v>
      </c>
      <c r="F702" t="s">
        <v>962</v>
      </c>
    </row>
    <row r="703" spans="1:6">
      <c r="A703" t="s">
        <v>548</v>
      </c>
      <c r="B703" t="s">
        <v>188</v>
      </c>
      <c r="C703" t="s">
        <v>189</v>
      </c>
      <c r="D703" t="str">
        <f>HYPERLINK("http://service.sap.com/sap/support/notes/1399698","1399698")</f>
        <v>1399698</v>
      </c>
      <c r="F703" t="s">
        <v>963</v>
      </c>
    </row>
    <row r="704" spans="1:6">
      <c r="A704" t="s">
        <v>548</v>
      </c>
      <c r="B704" t="s">
        <v>188</v>
      </c>
      <c r="C704" t="s">
        <v>189</v>
      </c>
      <c r="D704" t="str">
        <f>HYPERLINK("http://service.sap.com/sap/support/notes/1406356","1406356")</f>
        <v>1406356</v>
      </c>
      <c r="F704" t="s">
        <v>964</v>
      </c>
    </row>
    <row r="705" spans="1:6">
      <c r="A705" t="s">
        <v>548</v>
      </c>
      <c r="B705" t="s">
        <v>188</v>
      </c>
      <c r="C705" t="s">
        <v>189</v>
      </c>
      <c r="D705" t="str">
        <f>HYPERLINK("http://service.sap.com/sap/support/notes/1407115","1407115")</f>
        <v>1407115</v>
      </c>
      <c r="F705" t="s">
        <v>965</v>
      </c>
    </row>
    <row r="706" spans="1:6">
      <c r="A706" t="s">
        <v>548</v>
      </c>
      <c r="B706" t="s">
        <v>192</v>
      </c>
      <c r="C706" t="s">
        <v>60</v>
      </c>
      <c r="D706" t="str">
        <f>HYPERLINK("http://service.sap.com/sap/support/notes/1395123","1395123")</f>
        <v>1395123</v>
      </c>
      <c r="F706" t="s">
        <v>966</v>
      </c>
    </row>
    <row r="707" spans="1:6">
      <c r="A707" t="s">
        <v>548</v>
      </c>
      <c r="B707" t="s">
        <v>192</v>
      </c>
      <c r="C707" t="s">
        <v>60</v>
      </c>
      <c r="D707" t="str">
        <f>HYPERLINK("http://service.sap.com/sap/support/notes/1395132","1395132")</f>
        <v>1395132</v>
      </c>
      <c r="F707" t="s">
        <v>967</v>
      </c>
    </row>
    <row r="708" spans="1:6">
      <c r="A708" t="s">
        <v>548</v>
      </c>
      <c r="B708" t="s">
        <v>192</v>
      </c>
      <c r="C708" t="s">
        <v>60</v>
      </c>
      <c r="D708" t="str">
        <f>HYPERLINK("http://service.sap.com/sap/support/notes/1398181","1398181")</f>
        <v>1398181</v>
      </c>
      <c r="F708" t="s">
        <v>968</v>
      </c>
    </row>
    <row r="709" spans="1:6">
      <c r="A709" t="s">
        <v>548</v>
      </c>
      <c r="B709" t="s">
        <v>192</v>
      </c>
      <c r="C709" t="s">
        <v>60</v>
      </c>
      <c r="D709" t="str">
        <f>HYPERLINK("http://service.sap.com/sap/support/notes/1400255","1400255")</f>
        <v>1400255</v>
      </c>
      <c r="F709" t="s">
        <v>969</v>
      </c>
    </row>
    <row r="710" spans="1:6">
      <c r="A710" t="s">
        <v>548</v>
      </c>
      <c r="B710" t="s">
        <v>192</v>
      </c>
      <c r="C710" t="s">
        <v>60</v>
      </c>
      <c r="D710" t="str">
        <f>HYPERLINK("http://service.sap.com/sap/support/notes/1400337","1400337")</f>
        <v>1400337</v>
      </c>
      <c r="F710" t="s">
        <v>970</v>
      </c>
    </row>
    <row r="711" spans="1:6">
      <c r="A711" t="s">
        <v>548</v>
      </c>
      <c r="B711" t="s">
        <v>192</v>
      </c>
      <c r="C711" t="s">
        <v>60</v>
      </c>
      <c r="D711" t="str">
        <f>HYPERLINK("http://service.sap.com/sap/support/notes/1400955","1400955")</f>
        <v>1400955</v>
      </c>
      <c r="F711" t="s">
        <v>971</v>
      </c>
    </row>
    <row r="712" spans="1:6">
      <c r="A712" t="s">
        <v>548</v>
      </c>
      <c r="B712" t="s">
        <v>192</v>
      </c>
      <c r="C712" t="s">
        <v>60</v>
      </c>
      <c r="D712" t="str">
        <f>HYPERLINK("http://service.sap.com/sap/support/notes/1401023","1401023")</f>
        <v>1401023</v>
      </c>
      <c r="F712" t="s">
        <v>972</v>
      </c>
    </row>
    <row r="713" spans="1:6">
      <c r="A713" t="s">
        <v>548</v>
      </c>
      <c r="B713" t="s">
        <v>192</v>
      </c>
      <c r="C713" t="s">
        <v>60</v>
      </c>
      <c r="D713" t="str">
        <f>HYPERLINK("http://service.sap.com/sap/support/notes/1401308","1401308")</f>
        <v>1401308</v>
      </c>
      <c r="F713" t="s">
        <v>973</v>
      </c>
    </row>
    <row r="714" spans="1:6">
      <c r="A714" t="s">
        <v>548</v>
      </c>
      <c r="B714" t="s">
        <v>192</v>
      </c>
      <c r="C714" t="s">
        <v>60</v>
      </c>
      <c r="D714" t="str">
        <f>HYPERLINK("http://service.sap.com/sap/support/notes/1401505","1401505")</f>
        <v>1401505</v>
      </c>
      <c r="F714" t="s">
        <v>974</v>
      </c>
    </row>
    <row r="715" spans="1:6">
      <c r="A715" t="s">
        <v>548</v>
      </c>
      <c r="B715" t="s">
        <v>192</v>
      </c>
      <c r="C715" t="s">
        <v>60</v>
      </c>
      <c r="D715" t="str">
        <f>HYPERLINK("http://service.sap.com/sap/support/notes/1401967","1401967")</f>
        <v>1401967</v>
      </c>
      <c r="F715" t="s">
        <v>975</v>
      </c>
    </row>
    <row r="716" spans="1:6">
      <c r="A716" t="s">
        <v>548</v>
      </c>
      <c r="B716" t="s">
        <v>192</v>
      </c>
      <c r="C716" t="s">
        <v>60</v>
      </c>
      <c r="D716" t="str">
        <f>HYPERLINK("http://service.sap.com/sap/support/notes/1401980","1401980")</f>
        <v>1401980</v>
      </c>
      <c r="F716" t="s">
        <v>976</v>
      </c>
    </row>
    <row r="717" spans="1:6">
      <c r="A717" t="s">
        <v>548</v>
      </c>
      <c r="B717" t="s">
        <v>192</v>
      </c>
      <c r="C717" t="s">
        <v>60</v>
      </c>
      <c r="D717" t="str">
        <f>HYPERLINK("http://service.sap.com/sap/support/notes/1402471","1402471")</f>
        <v>1402471</v>
      </c>
      <c r="F717" t="s">
        <v>977</v>
      </c>
    </row>
    <row r="718" spans="1:6">
      <c r="A718" t="s">
        <v>548</v>
      </c>
      <c r="B718" t="s">
        <v>192</v>
      </c>
      <c r="C718" t="s">
        <v>60</v>
      </c>
      <c r="D718" t="str">
        <f>HYPERLINK("http://service.sap.com/sap/support/notes/1403848","1403848")</f>
        <v>1403848</v>
      </c>
      <c r="F718" t="s">
        <v>978</v>
      </c>
    </row>
    <row r="719" spans="1:6">
      <c r="A719" t="s">
        <v>548</v>
      </c>
      <c r="B719" t="s">
        <v>192</v>
      </c>
      <c r="C719" t="s">
        <v>60</v>
      </c>
      <c r="D719" t="str">
        <f>HYPERLINK("http://service.sap.com/sap/support/notes/1404448","1404448")</f>
        <v>1404448</v>
      </c>
      <c r="F719" t="s">
        <v>979</v>
      </c>
    </row>
    <row r="720" spans="1:6">
      <c r="A720" t="s">
        <v>548</v>
      </c>
      <c r="B720" t="s">
        <v>192</v>
      </c>
      <c r="C720" t="s">
        <v>60</v>
      </c>
      <c r="D720" t="str">
        <f>HYPERLINK("http://service.sap.com/sap/support/notes/1408369","1408369")</f>
        <v>1408369</v>
      </c>
      <c r="F720" t="s">
        <v>980</v>
      </c>
    </row>
    <row r="721" spans="1:6">
      <c r="A721" t="s">
        <v>548</v>
      </c>
      <c r="B721" t="s">
        <v>192</v>
      </c>
      <c r="C721" t="s">
        <v>60</v>
      </c>
      <c r="D721" t="str">
        <f>HYPERLINK("http://service.sap.com/sap/support/notes/1409391","1409391")</f>
        <v>1409391</v>
      </c>
      <c r="F721" t="s">
        <v>981</v>
      </c>
    </row>
    <row r="722" spans="1:6">
      <c r="A722" t="s">
        <v>548</v>
      </c>
      <c r="B722" t="s">
        <v>197</v>
      </c>
      <c r="C722" t="s">
        <v>63</v>
      </c>
      <c r="D722" t="str">
        <f>HYPERLINK("http://service.sap.com/sap/support/notes/1084297","1084297")</f>
        <v>1084297</v>
      </c>
      <c r="F722" t="s">
        <v>982</v>
      </c>
    </row>
    <row r="723" spans="1:6">
      <c r="A723" t="s">
        <v>548</v>
      </c>
      <c r="B723" t="s">
        <v>197</v>
      </c>
      <c r="C723" t="s">
        <v>63</v>
      </c>
      <c r="D723" t="str">
        <f>HYPERLINK("http://service.sap.com/sap/support/notes/1372789","1372789")</f>
        <v>1372789</v>
      </c>
      <c r="F723" t="s">
        <v>983</v>
      </c>
    </row>
    <row r="724" spans="1:6">
      <c r="A724" t="s">
        <v>548</v>
      </c>
      <c r="B724" t="s">
        <v>197</v>
      </c>
      <c r="C724" t="s">
        <v>63</v>
      </c>
      <c r="D724" t="str">
        <f>HYPERLINK("http://service.sap.com/sap/support/notes/1408309","1408309")</f>
        <v>1408309</v>
      </c>
      <c r="F724" t="s">
        <v>984</v>
      </c>
    </row>
    <row r="725" spans="1:6">
      <c r="A725" t="s">
        <v>548</v>
      </c>
      <c r="B725" t="s">
        <v>204</v>
      </c>
      <c r="C725" t="s">
        <v>205</v>
      </c>
      <c r="D725" t="str">
        <f>HYPERLINK("http://service.sap.com/sap/support/notes/612934","612934")</f>
        <v>612934</v>
      </c>
      <c r="F725" t="s">
        <v>206</v>
      </c>
    </row>
    <row r="726" spans="1:6">
      <c r="A726" t="s">
        <v>548</v>
      </c>
      <c r="B726" t="s">
        <v>204</v>
      </c>
      <c r="C726" t="s">
        <v>205</v>
      </c>
      <c r="D726" t="str">
        <f>HYPERLINK("http://service.sap.com/sap/support/notes/1394786","1394786")</f>
        <v>1394786</v>
      </c>
      <c r="F726" t="s">
        <v>985</v>
      </c>
    </row>
    <row r="727" spans="1:6">
      <c r="A727" t="s">
        <v>548</v>
      </c>
      <c r="B727" t="s">
        <v>986</v>
      </c>
      <c r="C727" t="s">
        <v>987</v>
      </c>
      <c r="D727" t="str">
        <f>HYPERLINK("http://service.sap.com/sap/support/notes/1375336","1375336")</f>
        <v>1375336</v>
      </c>
      <c r="F727" t="s">
        <v>988</v>
      </c>
    </row>
    <row r="728" spans="1:6">
      <c r="A728" t="s">
        <v>548</v>
      </c>
      <c r="B728" t="s">
        <v>207</v>
      </c>
      <c r="C728" t="s">
        <v>208</v>
      </c>
      <c r="D728" t="str">
        <f>HYPERLINK("http://service.sap.com/sap/support/notes/1256487","1256487")</f>
        <v>1256487</v>
      </c>
      <c r="F728" t="s">
        <v>989</v>
      </c>
    </row>
    <row r="729" spans="1:6">
      <c r="A729" t="s">
        <v>548</v>
      </c>
      <c r="B729" t="s">
        <v>207</v>
      </c>
      <c r="C729" t="s">
        <v>208</v>
      </c>
      <c r="D729" t="str">
        <f>HYPERLINK("http://service.sap.com/sap/support/notes/1339713","1339713")</f>
        <v>1339713</v>
      </c>
      <c r="F729" t="s">
        <v>990</v>
      </c>
    </row>
    <row r="730" spans="1:6">
      <c r="A730" t="s">
        <v>548</v>
      </c>
      <c r="B730" t="s">
        <v>207</v>
      </c>
      <c r="C730" t="s">
        <v>208</v>
      </c>
      <c r="D730" t="str">
        <f>HYPERLINK("http://service.sap.com/sap/support/notes/1343883","1343883")</f>
        <v>1343883</v>
      </c>
      <c r="F730" t="s">
        <v>991</v>
      </c>
    </row>
    <row r="731" spans="1:6">
      <c r="A731" t="s">
        <v>548</v>
      </c>
      <c r="B731" t="s">
        <v>207</v>
      </c>
      <c r="C731" t="s">
        <v>208</v>
      </c>
      <c r="D731" t="str">
        <f>HYPERLINK("http://service.sap.com/sap/support/notes/1349810","1349810")</f>
        <v>1349810</v>
      </c>
      <c r="F731" t="s">
        <v>992</v>
      </c>
    </row>
    <row r="732" spans="1:6">
      <c r="A732" t="s">
        <v>548</v>
      </c>
      <c r="B732" t="s">
        <v>207</v>
      </c>
      <c r="C732" t="s">
        <v>208</v>
      </c>
      <c r="D732" t="str">
        <f>HYPERLINK("http://service.sap.com/sap/support/notes/1370268","1370268")</f>
        <v>1370268</v>
      </c>
      <c r="F732" t="s">
        <v>993</v>
      </c>
    </row>
    <row r="733" spans="1:6">
      <c r="A733" t="s">
        <v>548</v>
      </c>
      <c r="B733" t="s">
        <v>207</v>
      </c>
      <c r="C733" t="s">
        <v>208</v>
      </c>
      <c r="D733" t="str">
        <f>HYPERLINK("http://service.sap.com/sap/support/notes/1389058","1389058")</f>
        <v>1389058</v>
      </c>
      <c r="F733" t="s">
        <v>994</v>
      </c>
    </row>
    <row r="734" spans="1:6">
      <c r="A734" t="s">
        <v>548</v>
      </c>
      <c r="B734" t="s">
        <v>207</v>
      </c>
      <c r="C734" t="s">
        <v>208</v>
      </c>
      <c r="D734" t="str">
        <f>HYPERLINK("http://service.sap.com/sap/support/notes/1390939","1390939")</f>
        <v>1390939</v>
      </c>
      <c r="F734" t="s">
        <v>995</v>
      </c>
    </row>
    <row r="735" spans="1:6">
      <c r="A735" t="s">
        <v>548</v>
      </c>
      <c r="B735" t="s">
        <v>207</v>
      </c>
      <c r="C735" t="s">
        <v>208</v>
      </c>
      <c r="D735" t="str">
        <f>HYPERLINK("http://service.sap.com/sap/support/notes/1391018","1391018")</f>
        <v>1391018</v>
      </c>
      <c r="F735" t="s">
        <v>996</v>
      </c>
    </row>
    <row r="736" spans="1:6">
      <c r="A736" t="s">
        <v>548</v>
      </c>
      <c r="B736" t="s">
        <v>207</v>
      </c>
      <c r="C736" t="s">
        <v>208</v>
      </c>
      <c r="D736" t="str">
        <f>HYPERLINK("http://service.sap.com/sap/support/notes/1396728","1396728")</f>
        <v>1396728</v>
      </c>
      <c r="F736" t="s">
        <v>997</v>
      </c>
    </row>
    <row r="737" spans="1:6">
      <c r="A737" t="s">
        <v>548</v>
      </c>
      <c r="B737" t="s">
        <v>207</v>
      </c>
      <c r="C737" t="s">
        <v>208</v>
      </c>
      <c r="D737" t="str">
        <f>HYPERLINK("http://service.sap.com/sap/support/notes/1399104","1399104")</f>
        <v>1399104</v>
      </c>
      <c r="F737" t="s">
        <v>998</v>
      </c>
    </row>
    <row r="738" spans="1:6">
      <c r="A738" t="s">
        <v>548</v>
      </c>
      <c r="B738" t="s">
        <v>207</v>
      </c>
      <c r="C738" t="s">
        <v>208</v>
      </c>
      <c r="D738" t="str">
        <f>HYPERLINK("http://service.sap.com/sap/support/notes/1400050","1400050")</f>
        <v>1400050</v>
      </c>
      <c r="F738" t="s">
        <v>999</v>
      </c>
    </row>
    <row r="739" spans="1:6">
      <c r="A739" t="s">
        <v>548</v>
      </c>
      <c r="B739" t="s">
        <v>207</v>
      </c>
      <c r="C739" t="s">
        <v>208</v>
      </c>
      <c r="D739" t="str">
        <f>HYPERLINK("http://service.sap.com/sap/support/notes/1400700","1400700")</f>
        <v>1400700</v>
      </c>
      <c r="F739" t="s">
        <v>1000</v>
      </c>
    </row>
    <row r="740" spans="1:6">
      <c r="A740" t="s">
        <v>548</v>
      </c>
      <c r="B740" t="s">
        <v>207</v>
      </c>
      <c r="C740" t="s">
        <v>208</v>
      </c>
      <c r="D740" t="str">
        <f>HYPERLINK("http://service.sap.com/sap/support/notes/1403301","1403301")</f>
        <v>1403301</v>
      </c>
      <c r="F740" t="s">
        <v>1001</v>
      </c>
    </row>
    <row r="741" spans="1:6">
      <c r="A741" t="s">
        <v>548</v>
      </c>
      <c r="B741" t="s">
        <v>207</v>
      </c>
      <c r="C741" t="s">
        <v>208</v>
      </c>
      <c r="D741" t="str">
        <f>HYPERLINK("http://service.sap.com/sap/support/notes/1404920","1404920")</f>
        <v>1404920</v>
      </c>
      <c r="F741" t="s">
        <v>1002</v>
      </c>
    </row>
    <row r="742" spans="1:6">
      <c r="A742" t="s">
        <v>548</v>
      </c>
      <c r="B742" t="s">
        <v>1003</v>
      </c>
      <c r="C742" t="s">
        <v>1004</v>
      </c>
      <c r="D742" t="str">
        <f>HYPERLINK("http://service.sap.com/sap/support/notes/1328283","1328283")</f>
        <v>1328283</v>
      </c>
      <c r="F742" t="s">
        <v>1005</v>
      </c>
    </row>
    <row r="743" spans="1:6">
      <c r="A743" t="s">
        <v>548</v>
      </c>
      <c r="B743" t="s">
        <v>1003</v>
      </c>
      <c r="C743" t="s">
        <v>1004</v>
      </c>
      <c r="D743" t="str">
        <f>HYPERLINK("http://service.sap.com/sap/support/notes/1361655","1361655")</f>
        <v>1361655</v>
      </c>
      <c r="F743" t="s">
        <v>1006</v>
      </c>
    </row>
    <row r="744" spans="1:6">
      <c r="A744" t="s">
        <v>548</v>
      </c>
      <c r="B744" t="s">
        <v>1003</v>
      </c>
      <c r="C744" t="s">
        <v>1004</v>
      </c>
      <c r="D744" t="str">
        <f>HYPERLINK("http://service.sap.com/sap/support/notes/1371353","1371353")</f>
        <v>1371353</v>
      </c>
      <c r="F744" t="s">
        <v>1007</v>
      </c>
    </row>
    <row r="745" spans="1:6">
      <c r="A745" t="s">
        <v>548</v>
      </c>
      <c r="B745" t="s">
        <v>211</v>
      </c>
      <c r="C745" t="s">
        <v>212</v>
      </c>
      <c r="D745" t="str">
        <f>HYPERLINK("http://service.sap.com/sap/support/notes/1133224","1133224")</f>
        <v>1133224</v>
      </c>
      <c r="F745" t="s">
        <v>213</v>
      </c>
    </row>
    <row r="746" spans="1:6">
      <c r="A746" t="s">
        <v>548</v>
      </c>
      <c r="B746" t="s">
        <v>211</v>
      </c>
      <c r="C746" t="s">
        <v>212</v>
      </c>
      <c r="D746" t="str">
        <f>HYPERLINK("http://service.sap.com/sap/support/notes/1303885","1303885")</f>
        <v>1303885</v>
      </c>
      <c r="F746" t="s">
        <v>1008</v>
      </c>
    </row>
    <row r="747" spans="1:6">
      <c r="A747" t="s">
        <v>548</v>
      </c>
      <c r="B747" t="s">
        <v>211</v>
      </c>
      <c r="C747" t="s">
        <v>212</v>
      </c>
      <c r="D747" t="str">
        <f>HYPERLINK("http://service.sap.com/sap/support/notes/1364406","1364406")</f>
        <v>1364406</v>
      </c>
      <c r="F747" t="s">
        <v>1009</v>
      </c>
    </row>
    <row r="748" spans="1:6">
      <c r="A748" t="s">
        <v>548</v>
      </c>
      <c r="B748" t="s">
        <v>211</v>
      </c>
      <c r="C748" t="s">
        <v>212</v>
      </c>
      <c r="D748" t="str">
        <f>HYPERLINK("http://service.sap.com/sap/support/notes/1375677","1375677")</f>
        <v>1375677</v>
      </c>
      <c r="F748" t="s">
        <v>1010</v>
      </c>
    </row>
    <row r="749" spans="1:6">
      <c r="A749" t="s">
        <v>548</v>
      </c>
      <c r="B749" t="s">
        <v>211</v>
      </c>
      <c r="C749" t="s">
        <v>212</v>
      </c>
      <c r="D749" t="str">
        <f>HYPERLINK("http://service.sap.com/sap/support/notes/1381121","1381121")</f>
        <v>1381121</v>
      </c>
      <c r="F749" t="s">
        <v>1011</v>
      </c>
    </row>
    <row r="750" spans="1:6">
      <c r="A750" t="s">
        <v>548</v>
      </c>
      <c r="B750" t="s">
        <v>211</v>
      </c>
      <c r="C750" t="s">
        <v>212</v>
      </c>
      <c r="D750" t="str">
        <f>HYPERLINK("http://service.sap.com/sap/support/notes/1397740","1397740")</f>
        <v>1397740</v>
      </c>
      <c r="F750" t="s">
        <v>1012</v>
      </c>
    </row>
    <row r="751" spans="1:6">
      <c r="A751" t="s">
        <v>548</v>
      </c>
      <c r="B751" t="s">
        <v>211</v>
      </c>
      <c r="C751" t="s">
        <v>212</v>
      </c>
      <c r="D751" t="str">
        <f>HYPERLINK("http://service.sap.com/sap/support/notes/1399853","1399853")</f>
        <v>1399853</v>
      </c>
      <c r="F751" t="s">
        <v>1013</v>
      </c>
    </row>
    <row r="752" spans="1:6">
      <c r="A752" t="s">
        <v>548</v>
      </c>
      <c r="B752" t="s">
        <v>211</v>
      </c>
      <c r="C752" t="s">
        <v>212</v>
      </c>
      <c r="D752" t="str">
        <f>HYPERLINK("http://service.sap.com/sap/support/notes/1406560","1406560")</f>
        <v>1406560</v>
      </c>
      <c r="F752" t="s">
        <v>1014</v>
      </c>
    </row>
    <row r="753" spans="1:6">
      <c r="A753" t="s">
        <v>548</v>
      </c>
      <c r="B753" t="s">
        <v>218</v>
      </c>
      <c r="C753" t="s">
        <v>219</v>
      </c>
      <c r="D753" t="str">
        <f>HYPERLINK("http://service.sap.com/sap/support/notes/1278793","1278793")</f>
        <v>1278793</v>
      </c>
      <c r="F753" t="s">
        <v>220</v>
      </c>
    </row>
    <row r="754" spans="1:6">
      <c r="A754" t="s">
        <v>548</v>
      </c>
      <c r="B754" t="s">
        <v>218</v>
      </c>
      <c r="C754" t="s">
        <v>219</v>
      </c>
      <c r="D754" t="str">
        <f>HYPERLINK("http://service.sap.com/sap/support/notes/1399461","1399461")</f>
        <v>1399461</v>
      </c>
      <c r="F754" t="s">
        <v>222</v>
      </c>
    </row>
    <row r="755" spans="1:6">
      <c r="A755" t="s">
        <v>548</v>
      </c>
      <c r="B755" t="s">
        <v>218</v>
      </c>
      <c r="C755" t="s">
        <v>219</v>
      </c>
      <c r="D755" t="str">
        <f>HYPERLINK("http://service.sap.com/sap/support/notes/1399462","1399462")</f>
        <v>1399462</v>
      </c>
      <c r="F755" t="s">
        <v>223</v>
      </c>
    </row>
    <row r="756" spans="1:6">
      <c r="A756" t="s">
        <v>548</v>
      </c>
      <c r="B756" t="s">
        <v>218</v>
      </c>
      <c r="C756" t="s">
        <v>219</v>
      </c>
      <c r="D756" t="str">
        <f>HYPERLINK("http://service.sap.com/sap/support/notes/1399533","1399533")</f>
        <v>1399533</v>
      </c>
      <c r="F756" t="s">
        <v>224</v>
      </c>
    </row>
    <row r="757" spans="1:6">
      <c r="A757" t="s">
        <v>548</v>
      </c>
      <c r="B757" t="s">
        <v>218</v>
      </c>
      <c r="C757" t="s">
        <v>219</v>
      </c>
      <c r="D757" t="str">
        <f>HYPERLINK("http://service.sap.com/sap/support/notes/1403461","1403461")</f>
        <v>1403461</v>
      </c>
      <c r="F757" t="s">
        <v>1015</v>
      </c>
    </row>
    <row r="758" spans="1:6">
      <c r="A758" t="s">
        <v>548</v>
      </c>
      <c r="B758" t="s">
        <v>225</v>
      </c>
      <c r="C758" t="s">
        <v>66</v>
      </c>
      <c r="D758" t="str">
        <f>HYPERLINK("http://service.sap.com/sap/support/notes/1302933","1302933")</f>
        <v>1302933</v>
      </c>
      <c r="F758" t="s">
        <v>1016</v>
      </c>
    </row>
    <row r="759" spans="1:6">
      <c r="A759" t="s">
        <v>548</v>
      </c>
      <c r="B759" t="s">
        <v>225</v>
      </c>
      <c r="C759" t="s">
        <v>66</v>
      </c>
      <c r="D759" t="str">
        <f>HYPERLINK("http://service.sap.com/sap/support/notes/1358848","1358848")</f>
        <v>1358848</v>
      </c>
      <c r="F759" t="s">
        <v>1017</v>
      </c>
    </row>
    <row r="760" spans="1:6">
      <c r="A760" t="s">
        <v>548</v>
      </c>
      <c r="B760" t="s">
        <v>225</v>
      </c>
      <c r="C760" t="s">
        <v>66</v>
      </c>
      <c r="D760" t="str">
        <f>HYPERLINK("http://service.sap.com/sap/support/notes/1401760","1401760")</f>
        <v>1401760</v>
      </c>
      <c r="F760" t="s">
        <v>1018</v>
      </c>
    </row>
    <row r="761" spans="1:6">
      <c r="A761" t="s">
        <v>548</v>
      </c>
      <c r="B761" t="s">
        <v>228</v>
      </c>
      <c r="C761" t="s">
        <v>69</v>
      </c>
      <c r="D761" t="str">
        <f>HYPERLINK("http://service.sap.com/sap/support/notes/1390388","1390388")</f>
        <v>1390388</v>
      </c>
      <c r="F761" t="s">
        <v>1019</v>
      </c>
    </row>
    <row r="762" spans="1:6">
      <c r="A762" t="s">
        <v>548</v>
      </c>
      <c r="B762" t="s">
        <v>228</v>
      </c>
      <c r="C762" t="s">
        <v>69</v>
      </c>
      <c r="D762" t="str">
        <f>HYPERLINK("http://service.sap.com/sap/support/notes/1398088","1398088")</f>
        <v>1398088</v>
      </c>
      <c r="F762" t="s">
        <v>1020</v>
      </c>
    </row>
    <row r="763" spans="1:6">
      <c r="A763" t="s">
        <v>548</v>
      </c>
      <c r="B763" t="s">
        <v>228</v>
      </c>
      <c r="C763" t="s">
        <v>69</v>
      </c>
      <c r="D763" t="str">
        <f>HYPERLINK("http://service.sap.com/sap/support/notes/1398562","1398562")</f>
        <v>1398562</v>
      </c>
      <c r="F763" t="s">
        <v>1021</v>
      </c>
    </row>
    <row r="764" spans="1:6">
      <c r="A764" t="s">
        <v>548</v>
      </c>
      <c r="B764" t="s">
        <v>228</v>
      </c>
      <c r="C764" t="s">
        <v>69</v>
      </c>
      <c r="D764" t="str">
        <f>HYPERLINK("http://service.sap.com/sap/support/notes/1400108","1400108")</f>
        <v>1400108</v>
      </c>
      <c r="F764" t="s">
        <v>1022</v>
      </c>
    </row>
    <row r="765" spans="1:6">
      <c r="A765" t="s">
        <v>548</v>
      </c>
      <c r="B765" t="s">
        <v>228</v>
      </c>
      <c r="C765" t="s">
        <v>69</v>
      </c>
      <c r="D765" t="str">
        <f>HYPERLINK("http://service.sap.com/sap/support/notes/1408776","1408776")</f>
        <v>1408776</v>
      </c>
      <c r="F765" t="s">
        <v>1023</v>
      </c>
    </row>
    <row r="766" spans="1:6">
      <c r="A766" t="s">
        <v>548</v>
      </c>
      <c r="B766" t="s">
        <v>1024</v>
      </c>
      <c r="C766" t="s">
        <v>1025</v>
      </c>
      <c r="D766" t="str">
        <f>HYPERLINK("http://service.sap.com/sap/support/notes/1360026","1360026")</f>
        <v>1360026</v>
      </c>
      <c r="F766" t="s">
        <v>1026</v>
      </c>
    </row>
    <row r="767" spans="1:6">
      <c r="A767" t="s">
        <v>548</v>
      </c>
      <c r="B767" t="s">
        <v>1024</v>
      </c>
      <c r="C767" t="s">
        <v>1025</v>
      </c>
      <c r="D767" t="str">
        <f>HYPERLINK("http://service.sap.com/sap/support/notes/1366982","1366982")</f>
        <v>1366982</v>
      </c>
      <c r="F767" t="s">
        <v>1027</v>
      </c>
    </row>
    <row r="768" spans="1:6">
      <c r="A768" t="s">
        <v>548</v>
      </c>
      <c r="B768" t="s">
        <v>1024</v>
      </c>
      <c r="C768" t="s">
        <v>1025</v>
      </c>
      <c r="D768" t="str">
        <f>HYPERLINK("http://service.sap.com/sap/support/notes/1379097","1379097")</f>
        <v>1379097</v>
      </c>
      <c r="F768" t="s">
        <v>1028</v>
      </c>
    </row>
    <row r="769" spans="1:6">
      <c r="A769" t="s">
        <v>548</v>
      </c>
      <c r="B769" t="s">
        <v>1024</v>
      </c>
      <c r="C769" t="s">
        <v>1025</v>
      </c>
      <c r="D769" t="str">
        <f>HYPERLINK("http://service.sap.com/sap/support/notes/1380664","1380664")</f>
        <v>1380664</v>
      </c>
      <c r="F769" t="s">
        <v>1029</v>
      </c>
    </row>
    <row r="770" spans="1:6">
      <c r="A770" t="s">
        <v>548</v>
      </c>
      <c r="B770" t="s">
        <v>1024</v>
      </c>
      <c r="C770" t="s">
        <v>1025</v>
      </c>
      <c r="D770" t="str">
        <f>HYPERLINK("http://service.sap.com/sap/support/notes/1389981","1389981")</f>
        <v>1389981</v>
      </c>
      <c r="F770" t="s">
        <v>1030</v>
      </c>
    </row>
    <row r="771" spans="1:6">
      <c r="A771" t="s">
        <v>548</v>
      </c>
      <c r="B771" t="s">
        <v>1024</v>
      </c>
      <c r="C771" t="s">
        <v>1025</v>
      </c>
      <c r="D771" t="str">
        <f>HYPERLINK("http://service.sap.com/sap/support/notes/1400887","1400887")</f>
        <v>1400887</v>
      </c>
      <c r="F771" t="s">
        <v>1031</v>
      </c>
    </row>
    <row r="772" spans="1:6">
      <c r="A772" t="s">
        <v>548</v>
      </c>
      <c r="B772" t="s">
        <v>1024</v>
      </c>
      <c r="C772" t="s">
        <v>1025</v>
      </c>
      <c r="D772" t="str">
        <f>HYPERLINK("http://service.sap.com/sap/support/notes/1403233","1403233")</f>
        <v>1403233</v>
      </c>
      <c r="F772" t="s">
        <v>1032</v>
      </c>
    </row>
    <row r="773" spans="1:6">
      <c r="A773" t="s">
        <v>548</v>
      </c>
      <c r="B773" t="s">
        <v>1024</v>
      </c>
      <c r="C773" t="s">
        <v>1025</v>
      </c>
      <c r="D773" t="str">
        <f>HYPERLINK("http://service.sap.com/sap/support/notes/1407351","1407351")</f>
        <v>1407351</v>
      </c>
      <c r="F773" t="s">
        <v>1033</v>
      </c>
    </row>
    <row r="774" spans="1:6">
      <c r="A774" t="s">
        <v>548</v>
      </c>
      <c r="B774" t="s">
        <v>230</v>
      </c>
      <c r="C774" t="s">
        <v>1034</v>
      </c>
      <c r="D774" t="str">
        <f>HYPERLINK("http://service.sap.com/sap/support/notes/1389792","1389792")</f>
        <v>1389792</v>
      </c>
      <c r="F774" t="s">
        <v>1035</v>
      </c>
    </row>
    <row r="775" spans="1:6">
      <c r="A775" t="s">
        <v>548</v>
      </c>
      <c r="B775" t="s">
        <v>230</v>
      </c>
      <c r="C775" t="s">
        <v>1034</v>
      </c>
      <c r="D775" t="str">
        <f>HYPERLINK("http://service.sap.com/sap/support/notes/1401962","1401962")</f>
        <v>1401962</v>
      </c>
      <c r="F775" t="s">
        <v>1036</v>
      </c>
    </row>
    <row r="776" spans="1:6">
      <c r="A776" t="s">
        <v>548</v>
      </c>
      <c r="B776" t="s">
        <v>230</v>
      </c>
      <c r="C776" t="s">
        <v>1034</v>
      </c>
      <c r="D776" t="str">
        <f>HYPERLINK("http://service.sap.com/sap/support/notes/1402249","1402249")</f>
        <v>1402249</v>
      </c>
      <c r="F776" t="s">
        <v>1037</v>
      </c>
    </row>
    <row r="777" spans="1:6">
      <c r="A777" t="s">
        <v>548</v>
      </c>
      <c r="B777" t="s">
        <v>230</v>
      </c>
      <c r="C777" t="s">
        <v>1034</v>
      </c>
      <c r="D777" t="str">
        <f>HYPERLINK("http://service.sap.com/sap/support/notes/1403526","1403526")</f>
        <v>1403526</v>
      </c>
      <c r="F777" t="s">
        <v>1038</v>
      </c>
    </row>
    <row r="778" spans="1:6">
      <c r="A778" t="s">
        <v>548</v>
      </c>
      <c r="B778" t="s">
        <v>233</v>
      </c>
    </row>
    <row r="779" spans="1:6">
      <c r="A779" t="s">
        <v>548</v>
      </c>
      <c r="B779" t="s">
        <v>235</v>
      </c>
      <c r="C779" t="s">
        <v>236</v>
      </c>
      <c r="D779" t="str">
        <f>HYPERLINK("http://service.sap.com/sap/support/notes/1366902","1366902")</f>
        <v>1366902</v>
      </c>
      <c r="F779" t="s">
        <v>1039</v>
      </c>
    </row>
    <row r="780" spans="1:6">
      <c r="A780" t="s">
        <v>548</v>
      </c>
      <c r="B780" t="s">
        <v>235</v>
      </c>
      <c r="C780" t="s">
        <v>236</v>
      </c>
      <c r="D780" t="str">
        <f>HYPERLINK("http://service.sap.com/sap/support/notes/1387796","1387796")</f>
        <v>1387796</v>
      </c>
      <c r="F780" t="s">
        <v>1040</v>
      </c>
    </row>
    <row r="781" spans="1:6">
      <c r="A781" t="s">
        <v>548</v>
      </c>
      <c r="B781" t="s">
        <v>235</v>
      </c>
      <c r="C781" t="s">
        <v>236</v>
      </c>
      <c r="D781" t="str">
        <f>HYPERLINK("http://service.sap.com/sap/support/notes/1396462","1396462")</f>
        <v>1396462</v>
      </c>
      <c r="F781" t="s">
        <v>1041</v>
      </c>
    </row>
    <row r="782" spans="1:6">
      <c r="A782" t="s">
        <v>548</v>
      </c>
      <c r="B782" t="s">
        <v>235</v>
      </c>
      <c r="C782" t="s">
        <v>236</v>
      </c>
      <c r="D782" t="str">
        <f>HYPERLINK("http://service.sap.com/sap/support/notes/1403028","1403028")</f>
        <v>1403028</v>
      </c>
      <c r="F782" t="s">
        <v>1042</v>
      </c>
    </row>
    <row r="783" spans="1:6">
      <c r="A783" t="s">
        <v>548</v>
      </c>
      <c r="B783" t="s">
        <v>235</v>
      </c>
      <c r="C783" t="s">
        <v>236</v>
      </c>
      <c r="D783" t="str">
        <f>HYPERLINK("http://service.sap.com/sap/support/notes/1403990","1403990")</f>
        <v>1403990</v>
      </c>
      <c r="F783" t="s">
        <v>1043</v>
      </c>
    </row>
    <row r="784" spans="1:6">
      <c r="A784" t="s">
        <v>548</v>
      </c>
      <c r="B784" t="s">
        <v>1044</v>
      </c>
      <c r="C784" t="s">
        <v>1045</v>
      </c>
      <c r="D784" t="str">
        <f>HYPERLINK("http://service.sap.com/sap/support/notes/1385395","1385395")</f>
        <v>1385395</v>
      </c>
      <c r="F784" t="s">
        <v>1046</v>
      </c>
    </row>
    <row r="785" spans="1:6">
      <c r="A785" t="s">
        <v>548</v>
      </c>
      <c r="B785" t="s">
        <v>238</v>
      </c>
    </row>
    <row r="786" spans="1:6">
      <c r="A786" t="s">
        <v>548</v>
      </c>
      <c r="B786" t="s">
        <v>1047</v>
      </c>
      <c r="C786" t="s">
        <v>1048</v>
      </c>
      <c r="D786" t="str">
        <f>HYPERLINK("http://service.sap.com/sap/support/notes/1397288","1397288")</f>
        <v>1397288</v>
      </c>
      <c r="F786" t="s">
        <v>1049</v>
      </c>
    </row>
    <row r="787" spans="1:6">
      <c r="A787" t="s">
        <v>548</v>
      </c>
      <c r="B787" t="s">
        <v>1047</v>
      </c>
      <c r="C787" t="s">
        <v>1048</v>
      </c>
      <c r="D787" t="str">
        <f>HYPERLINK("http://service.sap.com/sap/support/notes/1399064","1399064")</f>
        <v>1399064</v>
      </c>
      <c r="F787" t="s">
        <v>1050</v>
      </c>
    </row>
    <row r="788" spans="1:6">
      <c r="A788" t="s">
        <v>548</v>
      </c>
      <c r="B788" t="s">
        <v>244</v>
      </c>
      <c r="C788" t="s">
        <v>245</v>
      </c>
      <c r="D788" t="str">
        <f>HYPERLINK("http://service.sap.com/sap/support/notes/1385405","1385405")</f>
        <v>1385405</v>
      </c>
      <c r="F788" t="s">
        <v>1051</v>
      </c>
    </row>
    <row r="789" spans="1:6">
      <c r="A789" t="s">
        <v>548</v>
      </c>
      <c r="B789" t="s">
        <v>244</v>
      </c>
      <c r="C789" t="s">
        <v>245</v>
      </c>
      <c r="D789" t="str">
        <f>HYPERLINK("http://service.sap.com/sap/support/notes/1401404","1401404")</f>
        <v>1401404</v>
      </c>
      <c r="F789" t="s">
        <v>1052</v>
      </c>
    </row>
    <row r="790" spans="1:6">
      <c r="A790" t="s">
        <v>548</v>
      </c>
      <c r="B790" t="s">
        <v>249</v>
      </c>
      <c r="C790" t="s">
        <v>1053</v>
      </c>
      <c r="D790" t="str">
        <f>HYPERLINK("http://service.sap.com/sap/support/notes/1366203","1366203")</f>
        <v>1366203</v>
      </c>
      <c r="F790" t="s">
        <v>1054</v>
      </c>
    </row>
    <row r="791" spans="1:6">
      <c r="A791" t="s">
        <v>548</v>
      </c>
      <c r="B791" t="s">
        <v>249</v>
      </c>
      <c r="C791" t="s">
        <v>1053</v>
      </c>
      <c r="D791" t="str">
        <f>HYPERLINK("http://service.sap.com/sap/support/notes/1403489","1403489")</f>
        <v>1403489</v>
      </c>
      <c r="F791" t="s">
        <v>1055</v>
      </c>
    </row>
    <row r="792" spans="1:6">
      <c r="A792" t="s">
        <v>548</v>
      </c>
      <c r="B792" t="s">
        <v>249</v>
      </c>
      <c r="C792" t="s">
        <v>1053</v>
      </c>
      <c r="D792" t="str">
        <f>HYPERLINK("http://service.sap.com/sap/support/notes/1404555","1404555")</f>
        <v>1404555</v>
      </c>
      <c r="F792" t="s">
        <v>1056</v>
      </c>
    </row>
    <row r="793" spans="1:6">
      <c r="A793" t="s">
        <v>548</v>
      </c>
      <c r="B793" t="s">
        <v>249</v>
      </c>
      <c r="C793" t="s">
        <v>1053</v>
      </c>
      <c r="D793" t="str">
        <f>HYPERLINK("http://service.sap.com/sap/support/notes/1409696","1409696")</f>
        <v>1409696</v>
      </c>
      <c r="F793" t="s">
        <v>1057</v>
      </c>
    </row>
    <row r="794" spans="1:6">
      <c r="A794" t="s">
        <v>548</v>
      </c>
      <c r="B794" t="s">
        <v>1058</v>
      </c>
      <c r="C794" t="s">
        <v>1059</v>
      </c>
      <c r="D794" t="str">
        <f>HYPERLINK("http://service.sap.com/sap/support/notes/1400780","1400780")</f>
        <v>1400780</v>
      </c>
      <c r="F794" t="s">
        <v>1060</v>
      </c>
    </row>
    <row r="795" spans="1:6">
      <c r="A795" t="s">
        <v>548</v>
      </c>
      <c r="B795" t="s">
        <v>1058</v>
      </c>
      <c r="C795" t="s">
        <v>1059</v>
      </c>
      <c r="D795" t="str">
        <f>HYPERLINK("http://service.sap.com/sap/support/notes/1400889","1400889")</f>
        <v>1400889</v>
      </c>
      <c r="F795" t="s">
        <v>1061</v>
      </c>
    </row>
    <row r="796" spans="1:6">
      <c r="A796" t="s">
        <v>548</v>
      </c>
      <c r="B796" t="s">
        <v>254</v>
      </c>
      <c r="C796" t="s">
        <v>255</v>
      </c>
      <c r="D796" t="str">
        <f>HYPERLINK("http://service.sap.com/sap/support/notes/1376639","1376639")</f>
        <v>1376639</v>
      </c>
      <c r="F796" t="s">
        <v>1062</v>
      </c>
    </row>
    <row r="797" spans="1:6">
      <c r="A797" t="s">
        <v>548</v>
      </c>
      <c r="B797" t="s">
        <v>254</v>
      </c>
      <c r="C797" t="s">
        <v>255</v>
      </c>
      <c r="D797" t="str">
        <f>HYPERLINK("http://service.sap.com/sap/support/notes/1387258","1387258")</f>
        <v>1387258</v>
      </c>
      <c r="F797" t="s">
        <v>1063</v>
      </c>
    </row>
    <row r="798" spans="1:6">
      <c r="A798" t="s">
        <v>548</v>
      </c>
      <c r="B798" t="s">
        <v>254</v>
      </c>
      <c r="C798" t="s">
        <v>255</v>
      </c>
      <c r="D798" t="str">
        <f>HYPERLINK("http://service.sap.com/sap/support/notes/1398257","1398257")</f>
        <v>1398257</v>
      </c>
      <c r="F798" t="s">
        <v>1064</v>
      </c>
    </row>
    <row r="799" spans="1:6">
      <c r="A799" t="s">
        <v>548</v>
      </c>
      <c r="B799" t="s">
        <v>254</v>
      </c>
      <c r="C799" t="s">
        <v>255</v>
      </c>
      <c r="D799" t="str">
        <f>HYPERLINK("http://service.sap.com/sap/support/notes/1400920","1400920")</f>
        <v>1400920</v>
      </c>
      <c r="F799" t="s">
        <v>1065</v>
      </c>
    </row>
    <row r="800" spans="1:6">
      <c r="A800" t="s">
        <v>548</v>
      </c>
      <c r="B800" t="s">
        <v>254</v>
      </c>
      <c r="C800" t="s">
        <v>255</v>
      </c>
      <c r="D800" t="str">
        <f>HYPERLINK("http://service.sap.com/sap/support/notes/1404508","1404508")</f>
        <v>1404508</v>
      </c>
      <c r="F800" t="s">
        <v>1066</v>
      </c>
    </row>
    <row r="801" spans="1:6">
      <c r="A801" t="s">
        <v>548</v>
      </c>
      <c r="B801" t="s">
        <v>258</v>
      </c>
      <c r="C801" t="s">
        <v>189</v>
      </c>
      <c r="D801" t="str">
        <f>HYPERLINK("http://service.sap.com/sap/support/notes/1251458","1251458")</f>
        <v>1251458</v>
      </c>
      <c r="F801" t="s">
        <v>1067</v>
      </c>
    </row>
    <row r="802" spans="1:6">
      <c r="A802" t="s">
        <v>548</v>
      </c>
      <c r="B802" t="s">
        <v>258</v>
      </c>
      <c r="C802" t="s">
        <v>189</v>
      </c>
      <c r="D802" t="str">
        <f>HYPERLINK("http://service.sap.com/sap/support/notes/1360049","1360049")</f>
        <v>1360049</v>
      </c>
      <c r="F802" t="s">
        <v>1068</v>
      </c>
    </row>
    <row r="803" spans="1:6">
      <c r="A803" t="s">
        <v>548</v>
      </c>
      <c r="B803" t="s">
        <v>258</v>
      </c>
      <c r="C803" t="s">
        <v>189</v>
      </c>
      <c r="D803" t="str">
        <f>HYPERLINK("http://service.sap.com/sap/support/notes/1365125","1365125")</f>
        <v>1365125</v>
      </c>
      <c r="F803" t="s">
        <v>1069</v>
      </c>
    </row>
    <row r="804" spans="1:6">
      <c r="A804" t="s">
        <v>548</v>
      </c>
      <c r="B804" t="s">
        <v>258</v>
      </c>
      <c r="C804" t="s">
        <v>189</v>
      </c>
      <c r="D804" t="str">
        <f>HYPERLINK("http://service.sap.com/sap/support/notes/1380601","1380601")</f>
        <v>1380601</v>
      </c>
      <c r="F804" t="s">
        <v>1070</v>
      </c>
    </row>
    <row r="805" spans="1:6">
      <c r="A805" t="s">
        <v>548</v>
      </c>
      <c r="B805" t="s">
        <v>258</v>
      </c>
      <c r="C805" t="s">
        <v>189</v>
      </c>
      <c r="D805" t="str">
        <f>HYPERLINK("http://service.sap.com/sap/support/notes/1390426","1390426")</f>
        <v>1390426</v>
      </c>
      <c r="F805" t="s">
        <v>1071</v>
      </c>
    </row>
    <row r="806" spans="1:6">
      <c r="A806" t="s">
        <v>548</v>
      </c>
      <c r="B806" t="s">
        <v>258</v>
      </c>
      <c r="C806" t="s">
        <v>189</v>
      </c>
      <c r="D806" t="str">
        <f>HYPERLINK("http://service.sap.com/sap/support/notes/1394676","1394676")</f>
        <v>1394676</v>
      </c>
      <c r="F806" t="s">
        <v>1072</v>
      </c>
    </row>
    <row r="807" spans="1:6">
      <c r="A807" t="s">
        <v>548</v>
      </c>
      <c r="B807" t="s">
        <v>258</v>
      </c>
      <c r="C807" t="s">
        <v>189</v>
      </c>
      <c r="D807" t="str">
        <f>HYPERLINK("http://service.sap.com/sap/support/notes/1394906","1394906")</f>
        <v>1394906</v>
      </c>
      <c r="F807" t="s">
        <v>1073</v>
      </c>
    </row>
    <row r="808" spans="1:6">
      <c r="A808" t="s">
        <v>548</v>
      </c>
      <c r="B808" t="s">
        <v>258</v>
      </c>
      <c r="C808" t="s">
        <v>189</v>
      </c>
      <c r="D808" t="str">
        <f>HYPERLINK("http://service.sap.com/sap/support/notes/1396928","1396928")</f>
        <v>1396928</v>
      </c>
      <c r="F808" t="s">
        <v>1074</v>
      </c>
    </row>
    <row r="809" spans="1:6">
      <c r="A809" t="s">
        <v>548</v>
      </c>
      <c r="B809" t="s">
        <v>258</v>
      </c>
      <c r="C809" t="s">
        <v>189</v>
      </c>
      <c r="D809" t="str">
        <f>HYPERLINK("http://service.sap.com/sap/support/notes/1397455","1397455")</f>
        <v>1397455</v>
      </c>
      <c r="F809" t="s">
        <v>1075</v>
      </c>
    </row>
    <row r="810" spans="1:6">
      <c r="A810" t="s">
        <v>548</v>
      </c>
      <c r="B810" t="s">
        <v>258</v>
      </c>
      <c r="C810" t="s">
        <v>189</v>
      </c>
      <c r="D810" t="str">
        <f>HYPERLINK("http://service.sap.com/sap/support/notes/1399567","1399567")</f>
        <v>1399567</v>
      </c>
      <c r="F810" t="s">
        <v>1076</v>
      </c>
    </row>
    <row r="811" spans="1:6">
      <c r="A811" t="s">
        <v>548</v>
      </c>
      <c r="B811" t="s">
        <v>258</v>
      </c>
      <c r="C811" t="s">
        <v>189</v>
      </c>
      <c r="D811" t="str">
        <f>HYPERLINK("http://service.sap.com/sap/support/notes/1400896","1400896")</f>
        <v>1400896</v>
      </c>
      <c r="F811" t="s">
        <v>1077</v>
      </c>
    </row>
    <row r="812" spans="1:6">
      <c r="A812" t="s">
        <v>548</v>
      </c>
      <c r="B812" t="s">
        <v>258</v>
      </c>
      <c r="C812" t="s">
        <v>189</v>
      </c>
      <c r="D812" t="str">
        <f>HYPERLINK("http://service.sap.com/sap/support/notes/1402300","1402300")</f>
        <v>1402300</v>
      </c>
      <c r="F812" t="s">
        <v>1078</v>
      </c>
    </row>
    <row r="813" spans="1:6">
      <c r="A813" t="s">
        <v>548</v>
      </c>
      <c r="B813" t="s">
        <v>258</v>
      </c>
      <c r="C813" t="s">
        <v>189</v>
      </c>
      <c r="D813" t="str">
        <f>HYPERLINK("http://service.sap.com/sap/support/notes/1403899","1403899")</f>
        <v>1403899</v>
      </c>
      <c r="F813" t="s">
        <v>1079</v>
      </c>
    </row>
    <row r="814" spans="1:6">
      <c r="A814" t="s">
        <v>548</v>
      </c>
      <c r="B814" t="s">
        <v>258</v>
      </c>
      <c r="C814" t="s">
        <v>189</v>
      </c>
      <c r="D814" t="str">
        <f>HYPERLINK("http://service.sap.com/sap/support/notes/1404314","1404314")</f>
        <v>1404314</v>
      </c>
      <c r="F814" t="s">
        <v>1080</v>
      </c>
    </row>
    <row r="815" spans="1:6">
      <c r="A815" t="s">
        <v>548</v>
      </c>
      <c r="B815" t="s">
        <v>258</v>
      </c>
      <c r="C815" t="s">
        <v>189</v>
      </c>
      <c r="D815" t="str">
        <f>HYPERLINK("http://service.sap.com/sap/support/notes/1404390","1404390")</f>
        <v>1404390</v>
      </c>
      <c r="F815" t="s">
        <v>1081</v>
      </c>
    </row>
    <row r="816" spans="1:6">
      <c r="A816" t="s">
        <v>548</v>
      </c>
      <c r="B816" t="s">
        <v>258</v>
      </c>
      <c r="C816" t="s">
        <v>189</v>
      </c>
      <c r="D816" t="str">
        <f>HYPERLINK("http://service.sap.com/sap/support/notes/1405672","1405672")</f>
        <v>1405672</v>
      </c>
      <c r="F816" t="s">
        <v>1082</v>
      </c>
    </row>
    <row r="817" spans="1:6">
      <c r="A817" t="s">
        <v>548</v>
      </c>
      <c r="B817" t="s">
        <v>258</v>
      </c>
      <c r="C817" t="s">
        <v>189</v>
      </c>
      <c r="D817" t="str">
        <f>HYPERLINK("http://service.sap.com/sap/support/notes/1407644","1407644")</f>
        <v>1407644</v>
      </c>
      <c r="F817" t="s">
        <v>1083</v>
      </c>
    </row>
    <row r="818" spans="1:6">
      <c r="A818" t="s">
        <v>548</v>
      </c>
      <c r="B818" t="s">
        <v>258</v>
      </c>
      <c r="C818" t="s">
        <v>189</v>
      </c>
      <c r="D818" t="str">
        <f>HYPERLINK("http://service.sap.com/sap/support/notes/1407741","1407741")</f>
        <v>1407741</v>
      </c>
      <c r="F818" t="s">
        <v>1084</v>
      </c>
    </row>
    <row r="819" spans="1:6">
      <c r="A819" t="s">
        <v>548</v>
      </c>
      <c r="B819" t="s">
        <v>258</v>
      </c>
      <c r="C819" t="s">
        <v>189</v>
      </c>
      <c r="D819" t="str">
        <f>HYPERLINK("http://service.sap.com/sap/support/notes/1408708","1408708")</f>
        <v>1408708</v>
      </c>
      <c r="F819" t="s">
        <v>1085</v>
      </c>
    </row>
    <row r="820" spans="1:6">
      <c r="A820" t="s">
        <v>548</v>
      </c>
      <c r="B820" t="s">
        <v>273</v>
      </c>
      <c r="C820" t="s">
        <v>1086</v>
      </c>
      <c r="D820" t="str">
        <f>HYPERLINK("http://service.sap.com/sap/support/notes/1382463","1382463")</f>
        <v>1382463</v>
      </c>
      <c r="F820" t="s">
        <v>1087</v>
      </c>
    </row>
    <row r="821" spans="1:6">
      <c r="A821" t="s">
        <v>548</v>
      </c>
      <c r="B821" t="s">
        <v>279</v>
      </c>
      <c r="C821" t="s">
        <v>1088</v>
      </c>
      <c r="D821" t="str">
        <f>HYPERLINK("http://service.sap.com/sap/support/notes/1376297","1376297")</f>
        <v>1376297</v>
      </c>
      <c r="F821" t="s">
        <v>1089</v>
      </c>
    </row>
    <row r="822" spans="1:6">
      <c r="A822" t="s">
        <v>548</v>
      </c>
      <c r="B822" t="s">
        <v>279</v>
      </c>
      <c r="C822" t="s">
        <v>1088</v>
      </c>
      <c r="D822" t="str">
        <f>HYPERLINK("http://service.sap.com/sap/support/notes/1378460","1378460")</f>
        <v>1378460</v>
      </c>
      <c r="F822" t="s">
        <v>1090</v>
      </c>
    </row>
    <row r="823" spans="1:6">
      <c r="A823" t="s">
        <v>548</v>
      </c>
      <c r="B823" t="s">
        <v>279</v>
      </c>
      <c r="C823" t="s">
        <v>1088</v>
      </c>
      <c r="D823" t="str">
        <f>HYPERLINK("http://service.sap.com/sap/support/notes/1384489","1384489")</f>
        <v>1384489</v>
      </c>
      <c r="F823" t="s">
        <v>1091</v>
      </c>
    </row>
    <row r="824" spans="1:6">
      <c r="A824" t="s">
        <v>548</v>
      </c>
      <c r="B824" t="s">
        <v>279</v>
      </c>
      <c r="C824" t="s">
        <v>1088</v>
      </c>
      <c r="D824" t="str">
        <f>HYPERLINK("http://service.sap.com/sap/support/notes/1400100","1400100")</f>
        <v>1400100</v>
      </c>
      <c r="F824" t="s">
        <v>1092</v>
      </c>
    </row>
    <row r="825" spans="1:6">
      <c r="A825" t="s">
        <v>548</v>
      </c>
      <c r="B825" t="s">
        <v>279</v>
      </c>
      <c r="C825" t="s">
        <v>1088</v>
      </c>
      <c r="D825" t="str">
        <f>HYPERLINK("http://service.sap.com/sap/support/notes/1402376","1402376")</f>
        <v>1402376</v>
      </c>
      <c r="F825" t="s">
        <v>1093</v>
      </c>
    </row>
    <row r="826" spans="1:6">
      <c r="A826" t="s">
        <v>548</v>
      </c>
      <c r="B826" t="s">
        <v>279</v>
      </c>
      <c r="C826" t="s">
        <v>1088</v>
      </c>
      <c r="D826" t="str">
        <f>HYPERLINK("http://service.sap.com/sap/support/notes/1402465","1402465")</f>
        <v>1402465</v>
      </c>
      <c r="F826" t="s">
        <v>1094</v>
      </c>
    </row>
    <row r="827" spans="1:6">
      <c r="A827" t="s">
        <v>548</v>
      </c>
      <c r="B827" t="s">
        <v>279</v>
      </c>
      <c r="C827" t="s">
        <v>1088</v>
      </c>
      <c r="D827" t="str">
        <f>HYPERLINK("http://service.sap.com/sap/support/notes/1402687","1402687")</f>
        <v>1402687</v>
      </c>
      <c r="F827" t="s">
        <v>1095</v>
      </c>
    </row>
    <row r="828" spans="1:6">
      <c r="A828" t="s">
        <v>548</v>
      </c>
      <c r="B828" t="s">
        <v>279</v>
      </c>
      <c r="C828" t="s">
        <v>1088</v>
      </c>
      <c r="D828" t="str">
        <f>HYPERLINK("http://service.sap.com/sap/support/notes/1403460","1403460")</f>
        <v>1403460</v>
      </c>
      <c r="F828" t="s">
        <v>1096</v>
      </c>
    </row>
    <row r="829" spans="1:6">
      <c r="A829" t="s">
        <v>548</v>
      </c>
      <c r="B829" t="s">
        <v>292</v>
      </c>
      <c r="C829" t="s">
        <v>293</v>
      </c>
      <c r="D829" t="str">
        <f>HYPERLINK("http://service.sap.com/sap/support/notes/1157196","1157196")</f>
        <v>1157196</v>
      </c>
      <c r="F829" t="s">
        <v>1097</v>
      </c>
    </row>
    <row r="830" spans="1:6">
      <c r="A830" t="s">
        <v>548</v>
      </c>
      <c r="B830" t="s">
        <v>292</v>
      </c>
      <c r="C830" t="s">
        <v>293</v>
      </c>
      <c r="D830" t="str">
        <f>HYPERLINK("http://service.sap.com/sap/support/notes/1385741","1385741")</f>
        <v>1385741</v>
      </c>
      <c r="F830" t="s">
        <v>1098</v>
      </c>
    </row>
    <row r="831" spans="1:6">
      <c r="A831" t="s">
        <v>548</v>
      </c>
      <c r="B831" t="s">
        <v>292</v>
      </c>
      <c r="C831" t="s">
        <v>293</v>
      </c>
      <c r="D831" t="str">
        <f>HYPERLINK("http://service.sap.com/sap/support/notes/1398212","1398212")</f>
        <v>1398212</v>
      </c>
      <c r="F831" t="s">
        <v>1099</v>
      </c>
    </row>
    <row r="832" spans="1:6">
      <c r="A832" t="s">
        <v>548</v>
      </c>
      <c r="B832" t="s">
        <v>292</v>
      </c>
      <c r="C832" t="s">
        <v>293</v>
      </c>
      <c r="D832" t="str">
        <f>HYPERLINK("http://service.sap.com/sap/support/notes/1404383","1404383")</f>
        <v>1404383</v>
      </c>
      <c r="F832" t="s">
        <v>1100</v>
      </c>
    </row>
    <row r="833" spans="1:6">
      <c r="A833" t="s">
        <v>548</v>
      </c>
      <c r="B833" t="s">
        <v>292</v>
      </c>
      <c r="C833" t="s">
        <v>293</v>
      </c>
      <c r="D833" t="str">
        <f>HYPERLINK("http://service.sap.com/sap/support/notes/1408066","1408066")</f>
        <v>1408066</v>
      </c>
      <c r="F833" t="s">
        <v>1101</v>
      </c>
    </row>
    <row r="834" spans="1:6">
      <c r="A834" t="s">
        <v>548</v>
      </c>
      <c r="B834" t="s">
        <v>292</v>
      </c>
      <c r="C834" t="s">
        <v>293</v>
      </c>
      <c r="D834" t="str">
        <f>HYPERLINK("http://service.sap.com/sap/support/notes/1409554","1409554")</f>
        <v>1409554</v>
      </c>
      <c r="F834" t="s">
        <v>1102</v>
      </c>
    </row>
    <row r="835" spans="1:6">
      <c r="A835" t="s">
        <v>548</v>
      </c>
      <c r="B835" t="s">
        <v>292</v>
      </c>
      <c r="C835" t="s">
        <v>293</v>
      </c>
      <c r="D835" t="str">
        <f>HYPERLINK("http://service.sap.com/sap/support/notes/1411415","1411415")</f>
        <v>1411415</v>
      </c>
      <c r="F835" t="s">
        <v>1103</v>
      </c>
    </row>
    <row r="836" spans="1:6">
      <c r="A836" t="s">
        <v>548</v>
      </c>
      <c r="B836" t="s">
        <v>295</v>
      </c>
    </row>
    <row r="837" spans="1:6">
      <c r="A837" t="s">
        <v>548</v>
      </c>
      <c r="B837" t="s">
        <v>296</v>
      </c>
      <c r="C837" t="s">
        <v>1104</v>
      </c>
      <c r="D837" t="str">
        <f>HYPERLINK("http://service.sap.com/sap/support/notes/1402007","1402007")</f>
        <v>1402007</v>
      </c>
      <c r="F837" t="s">
        <v>1105</v>
      </c>
    </row>
    <row r="838" spans="1:6">
      <c r="A838" t="s">
        <v>548</v>
      </c>
      <c r="B838" t="s">
        <v>296</v>
      </c>
      <c r="C838" t="s">
        <v>1104</v>
      </c>
      <c r="D838" t="str">
        <f>HYPERLINK("http://service.sap.com/sap/support/notes/1402662","1402662")</f>
        <v>1402662</v>
      </c>
      <c r="F838" t="s">
        <v>1106</v>
      </c>
    </row>
    <row r="839" spans="1:6">
      <c r="A839" t="s">
        <v>548</v>
      </c>
      <c r="B839" t="s">
        <v>296</v>
      </c>
      <c r="C839" t="s">
        <v>1104</v>
      </c>
      <c r="D839" t="str">
        <f>HYPERLINK("http://service.sap.com/sap/support/notes/1402877","1402877")</f>
        <v>1402877</v>
      </c>
      <c r="F839" t="s">
        <v>1107</v>
      </c>
    </row>
    <row r="840" spans="1:6">
      <c r="A840" t="s">
        <v>548</v>
      </c>
      <c r="B840" t="s">
        <v>299</v>
      </c>
      <c r="C840" t="s">
        <v>300</v>
      </c>
      <c r="D840" t="str">
        <f>HYPERLINK("http://service.sap.com/sap/support/notes/1356580","1356580")</f>
        <v>1356580</v>
      </c>
      <c r="F840" t="s">
        <v>1108</v>
      </c>
    </row>
    <row r="841" spans="1:6">
      <c r="A841" t="s">
        <v>548</v>
      </c>
      <c r="B841" t="s">
        <v>299</v>
      </c>
      <c r="C841" t="s">
        <v>300</v>
      </c>
      <c r="D841" t="str">
        <f>HYPERLINK("http://service.sap.com/sap/support/notes/1364200","1364200")</f>
        <v>1364200</v>
      </c>
      <c r="F841" t="s">
        <v>1109</v>
      </c>
    </row>
    <row r="842" spans="1:6">
      <c r="A842" t="s">
        <v>548</v>
      </c>
      <c r="B842" t="s">
        <v>299</v>
      </c>
      <c r="C842" t="s">
        <v>300</v>
      </c>
      <c r="D842" t="str">
        <f>HYPERLINK("http://service.sap.com/sap/support/notes/1375265","1375265")</f>
        <v>1375265</v>
      </c>
      <c r="F842" t="s">
        <v>1110</v>
      </c>
    </row>
    <row r="843" spans="1:6">
      <c r="A843" t="s">
        <v>548</v>
      </c>
      <c r="B843" t="s">
        <v>299</v>
      </c>
      <c r="C843" t="s">
        <v>300</v>
      </c>
      <c r="D843" t="str">
        <f>HYPERLINK("http://service.sap.com/sap/support/notes/1394158","1394158")</f>
        <v>1394158</v>
      </c>
      <c r="F843" t="s">
        <v>1111</v>
      </c>
    </row>
    <row r="844" spans="1:6">
      <c r="A844" t="s">
        <v>548</v>
      </c>
      <c r="B844" t="s">
        <v>299</v>
      </c>
      <c r="C844" t="s">
        <v>300</v>
      </c>
      <c r="D844" t="str">
        <f>HYPERLINK("http://service.sap.com/sap/support/notes/1398283","1398283")</f>
        <v>1398283</v>
      </c>
      <c r="F844" t="s">
        <v>1112</v>
      </c>
    </row>
    <row r="845" spans="1:6">
      <c r="A845" t="s">
        <v>548</v>
      </c>
      <c r="B845" t="s">
        <v>299</v>
      </c>
      <c r="C845" t="s">
        <v>300</v>
      </c>
      <c r="D845" t="str">
        <f>HYPERLINK("http://service.sap.com/sap/support/notes/1400367","1400367")</f>
        <v>1400367</v>
      </c>
      <c r="F845" t="s">
        <v>1113</v>
      </c>
    </row>
    <row r="846" spans="1:6">
      <c r="A846" t="s">
        <v>548</v>
      </c>
      <c r="B846" t="s">
        <v>305</v>
      </c>
      <c r="C846" t="s">
        <v>306</v>
      </c>
      <c r="D846" t="str">
        <f>HYPERLINK("http://service.sap.com/sap/support/notes/1017716","1017716")</f>
        <v>1017716</v>
      </c>
      <c r="F846" t="s">
        <v>307</v>
      </c>
    </row>
    <row r="847" spans="1:6">
      <c r="A847" t="s">
        <v>548</v>
      </c>
      <c r="B847" t="s">
        <v>305</v>
      </c>
      <c r="C847" t="s">
        <v>306</v>
      </c>
      <c r="D847" t="str">
        <f>HYPERLINK("http://service.sap.com/sap/support/notes/1303347","1303347")</f>
        <v>1303347</v>
      </c>
      <c r="F847" t="s">
        <v>308</v>
      </c>
    </row>
    <row r="848" spans="1:6">
      <c r="A848" t="s">
        <v>548</v>
      </c>
      <c r="B848" t="s">
        <v>305</v>
      </c>
      <c r="C848" t="s">
        <v>306</v>
      </c>
      <c r="D848" t="str">
        <f>HYPERLINK("http://service.sap.com/sap/support/notes/1369006","1369006")</f>
        <v>1369006</v>
      </c>
      <c r="F848" t="s">
        <v>312</v>
      </c>
    </row>
    <row r="849" spans="1:6">
      <c r="A849" t="s">
        <v>548</v>
      </c>
      <c r="B849" t="s">
        <v>305</v>
      </c>
      <c r="C849" t="s">
        <v>306</v>
      </c>
      <c r="D849" t="str">
        <f>HYPERLINK("http://service.sap.com/sap/support/notes/1380425","1380425")</f>
        <v>1380425</v>
      </c>
      <c r="F849" t="s">
        <v>1114</v>
      </c>
    </row>
    <row r="850" spans="1:6">
      <c r="A850" t="s">
        <v>548</v>
      </c>
      <c r="B850" t="s">
        <v>305</v>
      </c>
      <c r="C850" t="s">
        <v>306</v>
      </c>
      <c r="D850" t="str">
        <f>HYPERLINK("http://service.sap.com/sap/support/notes/1380878","1380878")</f>
        <v>1380878</v>
      </c>
      <c r="F850" t="s">
        <v>1115</v>
      </c>
    </row>
    <row r="851" spans="1:6">
      <c r="A851" t="s">
        <v>548</v>
      </c>
      <c r="B851" t="s">
        <v>305</v>
      </c>
      <c r="C851" t="s">
        <v>306</v>
      </c>
      <c r="D851" t="str">
        <f>HYPERLINK("http://service.sap.com/sap/support/notes/1383510","1383510")</f>
        <v>1383510</v>
      </c>
      <c r="F851" t="s">
        <v>1116</v>
      </c>
    </row>
    <row r="852" spans="1:6">
      <c r="A852" t="s">
        <v>548</v>
      </c>
      <c r="B852" t="s">
        <v>305</v>
      </c>
      <c r="C852" t="s">
        <v>306</v>
      </c>
      <c r="D852" t="str">
        <f>HYPERLINK("http://service.sap.com/sap/support/notes/1388820","1388820")</f>
        <v>1388820</v>
      </c>
      <c r="F852" t="s">
        <v>1117</v>
      </c>
    </row>
    <row r="853" spans="1:6">
      <c r="A853" t="s">
        <v>548</v>
      </c>
      <c r="B853" t="s">
        <v>305</v>
      </c>
      <c r="C853" t="s">
        <v>306</v>
      </c>
      <c r="D853" t="str">
        <f>HYPERLINK("http://service.sap.com/sap/support/notes/1388913","1388913")</f>
        <v>1388913</v>
      </c>
      <c r="F853" t="s">
        <v>1118</v>
      </c>
    </row>
    <row r="854" spans="1:6">
      <c r="A854" t="s">
        <v>548</v>
      </c>
      <c r="B854" t="s">
        <v>305</v>
      </c>
      <c r="C854" t="s">
        <v>306</v>
      </c>
      <c r="D854" t="str">
        <f>HYPERLINK("http://service.sap.com/sap/support/notes/1390659","1390659")</f>
        <v>1390659</v>
      </c>
      <c r="F854" t="s">
        <v>1119</v>
      </c>
    </row>
    <row r="855" spans="1:6">
      <c r="A855" t="s">
        <v>548</v>
      </c>
      <c r="B855" t="s">
        <v>305</v>
      </c>
      <c r="C855" t="s">
        <v>306</v>
      </c>
      <c r="D855" t="str">
        <f>HYPERLINK("http://service.sap.com/sap/support/notes/1391285","1391285")</f>
        <v>1391285</v>
      </c>
      <c r="F855" t="s">
        <v>1120</v>
      </c>
    </row>
    <row r="856" spans="1:6">
      <c r="A856" t="s">
        <v>548</v>
      </c>
      <c r="B856" t="s">
        <v>305</v>
      </c>
      <c r="C856" t="s">
        <v>306</v>
      </c>
      <c r="D856" t="str">
        <f>HYPERLINK("http://service.sap.com/sap/support/notes/1392754","1392754")</f>
        <v>1392754</v>
      </c>
      <c r="F856" t="s">
        <v>1121</v>
      </c>
    </row>
    <row r="857" spans="1:6">
      <c r="A857" t="s">
        <v>548</v>
      </c>
      <c r="B857" t="s">
        <v>305</v>
      </c>
      <c r="C857" t="s">
        <v>306</v>
      </c>
      <c r="D857" t="str">
        <f>HYPERLINK("http://service.sap.com/sap/support/notes/1396077","1396077")</f>
        <v>1396077</v>
      </c>
      <c r="F857" t="s">
        <v>1122</v>
      </c>
    </row>
    <row r="858" spans="1:6">
      <c r="A858" t="s">
        <v>548</v>
      </c>
      <c r="B858" t="s">
        <v>305</v>
      </c>
      <c r="C858" t="s">
        <v>306</v>
      </c>
      <c r="D858" t="str">
        <f>HYPERLINK("http://service.sap.com/sap/support/notes/1396642","1396642")</f>
        <v>1396642</v>
      </c>
      <c r="F858" t="s">
        <v>1123</v>
      </c>
    </row>
    <row r="859" spans="1:6">
      <c r="A859" t="s">
        <v>548</v>
      </c>
      <c r="B859" t="s">
        <v>305</v>
      </c>
      <c r="C859" t="s">
        <v>306</v>
      </c>
      <c r="D859" t="str">
        <f>HYPERLINK("http://service.sap.com/sap/support/notes/1397416","1397416")</f>
        <v>1397416</v>
      </c>
      <c r="F859" t="s">
        <v>1124</v>
      </c>
    </row>
    <row r="860" spans="1:6">
      <c r="A860" t="s">
        <v>548</v>
      </c>
      <c r="B860" t="s">
        <v>305</v>
      </c>
      <c r="C860" t="s">
        <v>306</v>
      </c>
      <c r="D860" t="str">
        <f>HYPERLINK("http://service.sap.com/sap/support/notes/1397573","1397573")</f>
        <v>1397573</v>
      </c>
      <c r="F860" t="s">
        <v>1125</v>
      </c>
    </row>
    <row r="861" spans="1:6">
      <c r="A861" t="s">
        <v>548</v>
      </c>
      <c r="B861" t="s">
        <v>305</v>
      </c>
      <c r="C861" t="s">
        <v>306</v>
      </c>
      <c r="D861" t="str">
        <f>HYPERLINK("http://service.sap.com/sap/support/notes/1398344","1398344")</f>
        <v>1398344</v>
      </c>
      <c r="F861" t="s">
        <v>1126</v>
      </c>
    </row>
    <row r="862" spans="1:6">
      <c r="A862" t="s">
        <v>548</v>
      </c>
      <c r="B862" t="s">
        <v>305</v>
      </c>
      <c r="C862" t="s">
        <v>306</v>
      </c>
      <c r="D862" t="str">
        <f>HYPERLINK("http://service.sap.com/sap/support/notes/1398451","1398451")</f>
        <v>1398451</v>
      </c>
      <c r="F862" t="s">
        <v>1127</v>
      </c>
    </row>
    <row r="863" spans="1:6">
      <c r="A863" t="s">
        <v>548</v>
      </c>
      <c r="B863" t="s">
        <v>305</v>
      </c>
      <c r="C863" t="s">
        <v>306</v>
      </c>
      <c r="D863" t="str">
        <f>HYPERLINK("http://service.sap.com/sap/support/notes/1398970","1398970")</f>
        <v>1398970</v>
      </c>
      <c r="F863" t="s">
        <v>1128</v>
      </c>
    </row>
    <row r="864" spans="1:6">
      <c r="A864" t="s">
        <v>548</v>
      </c>
      <c r="B864" t="s">
        <v>305</v>
      </c>
      <c r="C864" t="s">
        <v>306</v>
      </c>
      <c r="D864" t="str">
        <f>HYPERLINK("http://service.sap.com/sap/support/notes/1398972","1398972")</f>
        <v>1398972</v>
      </c>
      <c r="F864" t="s">
        <v>1129</v>
      </c>
    </row>
    <row r="865" spans="1:6">
      <c r="A865" t="s">
        <v>548</v>
      </c>
      <c r="B865" t="s">
        <v>305</v>
      </c>
      <c r="C865" t="s">
        <v>306</v>
      </c>
      <c r="D865" t="str">
        <f>HYPERLINK("http://service.sap.com/sap/support/notes/1398996","1398996")</f>
        <v>1398996</v>
      </c>
      <c r="F865" t="s">
        <v>1130</v>
      </c>
    </row>
    <row r="866" spans="1:6">
      <c r="A866" t="s">
        <v>548</v>
      </c>
      <c r="B866" t="s">
        <v>305</v>
      </c>
      <c r="C866" t="s">
        <v>306</v>
      </c>
      <c r="D866" t="str">
        <f>HYPERLINK("http://service.sap.com/sap/support/notes/1400562","1400562")</f>
        <v>1400562</v>
      </c>
      <c r="F866" t="s">
        <v>1131</v>
      </c>
    </row>
    <row r="867" spans="1:6">
      <c r="A867" t="s">
        <v>548</v>
      </c>
      <c r="B867" t="s">
        <v>305</v>
      </c>
      <c r="C867" t="s">
        <v>306</v>
      </c>
      <c r="D867" t="str">
        <f>HYPERLINK("http://service.sap.com/sap/support/notes/1401114","1401114")</f>
        <v>1401114</v>
      </c>
      <c r="F867" t="s">
        <v>1132</v>
      </c>
    </row>
    <row r="868" spans="1:6">
      <c r="A868" t="s">
        <v>548</v>
      </c>
      <c r="B868" t="s">
        <v>305</v>
      </c>
      <c r="C868" t="s">
        <v>306</v>
      </c>
      <c r="D868" t="str">
        <f>HYPERLINK("http://service.sap.com/sap/support/notes/1401115","1401115")</f>
        <v>1401115</v>
      </c>
      <c r="F868" t="s">
        <v>1133</v>
      </c>
    </row>
    <row r="869" spans="1:6">
      <c r="A869" t="s">
        <v>548</v>
      </c>
      <c r="B869" t="s">
        <v>305</v>
      </c>
      <c r="C869" t="s">
        <v>306</v>
      </c>
      <c r="D869" t="str">
        <f>HYPERLINK("http://service.sap.com/sap/support/notes/1401372","1401372")</f>
        <v>1401372</v>
      </c>
      <c r="F869" t="s">
        <v>1134</v>
      </c>
    </row>
    <row r="870" spans="1:6">
      <c r="A870" t="s">
        <v>548</v>
      </c>
      <c r="B870" t="s">
        <v>305</v>
      </c>
      <c r="C870" t="s">
        <v>306</v>
      </c>
      <c r="D870" t="str">
        <f>HYPERLINK("http://service.sap.com/sap/support/notes/1401393","1401393")</f>
        <v>1401393</v>
      </c>
      <c r="F870" t="s">
        <v>1135</v>
      </c>
    </row>
    <row r="871" spans="1:6">
      <c r="A871" t="s">
        <v>548</v>
      </c>
      <c r="B871" t="s">
        <v>305</v>
      </c>
      <c r="C871" t="s">
        <v>306</v>
      </c>
      <c r="D871" t="str">
        <f>HYPERLINK("http://service.sap.com/sap/support/notes/1401577","1401577")</f>
        <v>1401577</v>
      </c>
      <c r="F871" t="s">
        <v>1136</v>
      </c>
    </row>
    <row r="872" spans="1:6">
      <c r="A872" t="s">
        <v>548</v>
      </c>
      <c r="B872" t="s">
        <v>305</v>
      </c>
      <c r="C872" t="s">
        <v>306</v>
      </c>
      <c r="D872" t="str">
        <f>HYPERLINK("http://service.sap.com/sap/support/notes/1403966","1403966")</f>
        <v>1403966</v>
      </c>
      <c r="F872" t="s">
        <v>1137</v>
      </c>
    </row>
    <row r="873" spans="1:6">
      <c r="A873" t="s">
        <v>548</v>
      </c>
      <c r="B873" t="s">
        <v>305</v>
      </c>
      <c r="C873" t="s">
        <v>306</v>
      </c>
      <c r="D873" t="str">
        <f>HYPERLINK("http://service.sap.com/sap/support/notes/1404630","1404630")</f>
        <v>1404630</v>
      </c>
      <c r="F873" t="s">
        <v>1138</v>
      </c>
    </row>
    <row r="874" spans="1:6">
      <c r="A874" t="s">
        <v>548</v>
      </c>
      <c r="B874" t="s">
        <v>305</v>
      </c>
      <c r="C874" t="s">
        <v>306</v>
      </c>
      <c r="D874" t="str">
        <f>HYPERLINK("http://service.sap.com/sap/support/notes/1405566","1405566")</f>
        <v>1405566</v>
      </c>
      <c r="F874" t="s">
        <v>1139</v>
      </c>
    </row>
    <row r="875" spans="1:6">
      <c r="A875" t="s">
        <v>548</v>
      </c>
      <c r="B875" t="s">
        <v>305</v>
      </c>
      <c r="C875" t="s">
        <v>306</v>
      </c>
      <c r="D875" t="str">
        <f>HYPERLINK("http://service.sap.com/sap/support/notes/1406208","1406208")</f>
        <v>1406208</v>
      </c>
      <c r="F875" t="s">
        <v>1140</v>
      </c>
    </row>
    <row r="876" spans="1:6">
      <c r="A876" t="s">
        <v>548</v>
      </c>
      <c r="B876" t="s">
        <v>305</v>
      </c>
      <c r="C876" t="s">
        <v>306</v>
      </c>
      <c r="D876" t="str">
        <f>HYPERLINK("http://service.sap.com/sap/support/notes/1406712","1406712")</f>
        <v>1406712</v>
      </c>
      <c r="F876" t="s">
        <v>1141</v>
      </c>
    </row>
    <row r="877" spans="1:6">
      <c r="A877" t="s">
        <v>548</v>
      </c>
      <c r="B877" t="s">
        <v>305</v>
      </c>
      <c r="C877" t="s">
        <v>306</v>
      </c>
      <c r="D877" t="str">
        <f>HYPERLINK("http://service.sap.com/sap/support/notes/1407209","1407209")</f>
        <v>1407209</v>
      </c>
      <c r="F877" t="s">
        <v>1142</v>
      </c>
    </row>
    <row r="878" spans="1:6">
      <c r="A878" t="s">
        <v>548</v>
      </c>
      <c r="B878" t="s">
        <v>305</v>
      </c>
      <c r="C878" t="s">
        <v>306</v>
      </c>
      <c r="D878" t="str">
        <f>HYPERLINK("http://service.sap.com/sap/support/notes/1409985","1409985")</f>
        <v>1409985</v>
      </c>
      <c r="F878" t="s">
        <v>1143</v>
      </c>
    </row>
    <row r="879" spans="1:6">
      <c r="A879" t="s">
        <v>548</v>
      </c>
      <c r="B879" t="s">
        <v>352</v>
      </c>
      <c r="C879" t="s">
        <v>353</v>
      </c>
      <c r="D879" t="str">
        <f>HYPERLINK("http://service.sap.com/sap/support/notes/1393216","1393216")</f>
        <v>1393216</v>
      </c>
      <c r="F879" t="s">
        <v>1144</v>
      </c>
    </row>
    <row r="880" spans="1:6">
      <c r="A880" t="s">
        <v>548</v>
      </c>
      <c r="B880" t="s">
        <v>352</v>
      </c>
      <c r="C880" t="s">
        <v>353</v>
      </c>
      <c r="D880" t="str">
        <f>HYPERLINK("http://service.sap.com/sap/support/notes/1393828","1393828")</f>
        <v>1393828</v>
      </c>
      <c r="F880" t="s">
        <v>1145</v>
      </c>
    </row>
    <row r="881" spans="1:6">
      <c r="A881" t="s">
        <v>548</v>
      </c>
      <c r="B881" t="s">
        <v>352</v>
      </c>
      <c r="C881" t="s">
        <v>353</v>
      </c>
      <c r="D881" t="str">
        <f>HYPERLINK("http://service.sap.com/sap/support/notes/1401198","1401198")</f>
        <v>1401198</v>
      </c>
      <c r="F881" t="s">
        <v>1146</v>
      </c>
    </row>
    <row r="882" spans="1:6">
      <c r="A882" t="s">
        <v>548</v>
      </c>
      <c r="B882" t="s">
        <v>352</v>
      </c>
      <c r="C882" t="s">
        <v>353</v>
      </c>
      <c r="D882" t="str">
        <f>HYPERLINK("http://service.sap.com/sap/support/notes/1405280","1405280")</f>
        <v>1405280</v>
      </c>
      <c r="F882" t="s">
        <v>1147</v>
      </c>
    </row>
    <row r="883" spans="1:6">
      <c r="A883" t="s">
        <v>548</v>
      </c>
      <c r="B883" t="s">
        <v>352</v>
      </c>
      <c r="C883" t="s">
        <v>353</v>
      </c>
      <c r="D883" t="str">
        <f>HYPERLINK("http://service.sap.com/sap/support/notes/1406820","1406820")</f>
        <v>1406820</v>
      </c>
      <c r="F883" t="s">
        <v>1148</v>
      </c>
    </row>
    <row r="884" spans="1:6">
      <c r="A884" t="s">
        <v>548</v>
      </c>
      <c r="B884" t="s">
        <v>357</v>
      </c>
      <c r="C884" t="s">
        <v>76</v>
      </c>
      <c r="D884" t="str">
        <f>HYPERLINK("http://service.sap.com/sap/support/notes/1145639","1145639")</f>
        <v>1145639</v>
      </c>
      <c r="F884" t="s">
        <v>1149</v>
      </c>
    </row>
    <row r="885" spans="1:6">
      <c r="A885" t="s">
        <v>548</v>
      </c>
      <c r="B885" t="s">
        <v>357</v>
      </c>
      <c r="C885" t="s">
        <v>76</v>
      </c>
      <c r="D885" t="str">
        <f>HYPERLINK("http://service.sap.com/sap/support/notes/1356980","1356980")</f>
        <v>1356980</v>
      </c>
      <c r="F885" t="s">
        <v>1150</v>
      </c>
    </row>
    <row r="886" spans="1:6">
      <c r="A886" t="s">
        <v>548</v>
      </c>
      <c r="B886" t="s">
        <v>357</v>
      </c>
      <c r="C886" t="s">
        <v>76</v>
      </c>
      <c r="D886" t="str">
        <f>HYPERLINK("http://service.sap.com/sap/support/notes/1399669","1399669")</f>
        <v>1399669</v>
      </c>
      <c r="F886" t="s">
        <v>1151</v>
      </c>
    </row>
    <row r="887" spans="1:6">
      <c r="A887" t="s">
        <v>548</v>
      </c>
      <c r="B887" t="s">
        <v>357</v>
      </c>
      <c r="C887" t="s">
        <v>76</v>
      </c>
      <c r="D887" t="str">
        <f>HYPERLINK("http://service.sap.com/sap/support/notes/1401062","1401062")</f>
        <v>1401062</v>
      </c>
      <c r="F887" t="s">
        <v>1152</v>
      </c>
    </row>
    <row r="888" spans="1:6">
      <c r="A888" t="s">
        <v>548</v>
      </c>
      <c r="B888" t="s">
        <v>357</v>
      </c>
      <c r="C888" t="s">
        <v>76</v>
      </c>
      <c r="D888" t="str">
        <f>HYPERLINK("http://service.sap.com/sap/support/notes/1401771","1401771")</f>
        <v>1401771</v>
      </c>
      <c r="F888" t="s">
        <v>1153</v>
      </c>
    </row>
    <row r="889" spans="1:6">
      <c r="A889" t="s">
        <v>548</v>
      </c>
      <c r="B889" t="s">
        <v>357</v>
      </c>
      <c r="C889" t="s">
        <v>76</v>
      </c>
      <c r="D889" t="str">
        <f>HYPERLINK("http://service.sap.com/sap/support/notes/1402308","1402308")</f>
        <v>1402308</v>
      </c>
      <c r="F889" t="s">
        <v>1154</v>
      </c>
    </row>
    <row r="890" spans="1:6">
      <c r="A890" t="s">
        <v>548</v>
      </c>
      <c r="B890" t="s">
        <v>357</v>
      </c>
      <c r="C890" t="s">
        <v>76</v>
      </c>
      <c r="D890" t="str">
        <f>HYPERLINK("http://service.sap.com/sap/support/notes/1402785","1402785")</f>
        <v>1402785</v>
      </c>
      <c r="F890" t="s">
        <v>1155</v>
      </c>
    </row>
    <row r="891" spans="1:6">
      <c r="A891" t="s">
        <v>548</v>
      </c>
      <c r="B891" t="s">
        <v>357</v>
      </c>
      <c r="C891" t="s">
        <v>76</v>
      </c>
      <c r="D891" t="str">
        <f>HYPERLINK("http://service.sap.com/sap/support/notes/1403240","1403240")</f>
        <v>1403240</v>
      </c>
      <c r="F891" t="s">
        <v>1156</v>
      </c>
    </row>
    <row r="892" spans="1:6">
      <c r="A892" t="s">
        <v>548</v>
      </c>
      <c r="B892" t="s">
        <v>357</v>
      </c>
      <c r="C892" t="s">
        <v>76</v>
      </c>
      <c r="D892" t="str">
        <f>HYPERLINK("http://service.sap.com/sap/support/notes/1403958","1403958")</f>
        <v>1403958</v>
      </c>
      <c r="F892" t="s">
        <v>1157</v>
      </c>
    </row>
    <row r="893" spans="1:6">
      <c r="A893" t="s">
        <v>548</v>
      </c>
      <c r="B893" t="s">
        <v>357</v>
      </c>
      <c r="C893" t="s">
        <v>76</v>
      </c>
      <c r="D893" t="str">
        <f>HYPERLINK("http://service.sap.com/sap/support/notes/1405453","1405453")</f>
        <v>1405453</v>
      </c>
      <c r="F893" t="s">
        <v>1158</v>
      </c>
    </row>
    <row r="894" spans="1:6">
      <c r="A894" t="s">
        <v>548</v>
      </c>
      <c r="B894" t="s">
        <v>357</v>
      </c>
      <c r="C894" t="s">
        <v>76</v>
      </c>
      <c r="D894" t="str">
        <f>HYPERLINK("http://service.sap.com/sap/support/notes/1405495","1405495")</f>
        <v>1405495</v>
      </c>
      <c r="F894" t="s">
        <v>1159</v>
      </c>
    </row>
    <row r="895" spans="1:6">
      <c r="A895" t="s">
        <v>548</v>
      </c>
      <c r="B895" t="s">
        <v>357</v>
      </c>
      <c r="C895" t="s">
        <v>76</v>
      </c>
      <c r="D895" t="str">
        <f>HYPERLINK("http://service.sap.com/sap/support/notes/1408681","1408681")</f>
        <v>1408681</v>
      </c>
      <c r="F895" t="s">
        <v>1160</v>
      </c>
    </row>
    <row r="896" spans="1:6">
      <c r="A896" t="s">
        <v>548</v>
      </c>
      <c r="B896" t="s">
        <v>357</v>
      </c>
      <c r="C896" t="s">
        <v>76</v>
      </c>
      <c r="D896" t="str">
        <f>HYPERLINK("http://service.sap.com/sap/support/notes/1409160","1409160")</f>
        <v>1409160</v>
      </c>
      <c r="F896" t="s">
        <v>1161</v>
      </c>
    </row>
    <row r="897" spans="1:6">
      <c r="A897" t="s">
        <v>548</v>
      </c>
      <c r="B897" t="s">
        <v>357</v>
      </c>
      <c r="C897" t="s">
        <v>76</v>
      </c>
      <c r="D897" t="str">
        <f>HYPERLINK("http://service.sap.com/sap/support/notes/1409867","1409867")</f>
        <v>1409867</v>
      </c>
      <c r="F897" t="s">
        <v>1162</v>
      </c>
    </row>
    <row r="898" spans="1:6">
      <c r="A898" t="s">
        <v>548</v>
      </c>
      <c r="B898" t="s">
        <v>367</v>
      </c>
      <c r="C898" t="s">
        <v>189</v>
      </c>
      <c r="D898" t="str">
        <f>HYPERLINK("http://service.sap.com/sap/support/notes/1364657","1364657")</f>
        <v>1364657</v>
      </c>
      <c r="F898" t="s">
        <v>1163</v>
      </c>
    </row>
    <row r="899" spans="1:6">
      <c r="A899" t="s">
        <v>548</v>
      </c>
      <c r="B899" t="s">
        <v>369</v>
      </c>
      <c r="C899" t="s">
        <v>370</v>
      </c>
      <c r="D899" t="str">
        <f>HYPERLINK("http://service.sap.com/sap/support/notes/1129168","1129168")</f>
        <v>1129168</v>
      </c>
      <c r="F899" t="s">
        <v>371</v>
      </c>
    </row>
    <row r="900" spans="1:6">
      <c r="A900" t="s">
        <v>548</v>
      </c>
      <c r="B900" t="s">
        <v>369</v>
      </c>
      <c r="C900" t="s">
        <v>370</v>
      </c>
      <c r="D900" t="str">
        <f>HYPERLINK("http://service.sap.com/sap/support/notes/1350667","1350667")</f>
        <v>1350667</v>
      </c>
      <c r="F900" t="s">
        <v>1164</v>
      </c>
    </row>
    <row r="901" spans="1:6">
      <c r="A901" t="s">
        <v>548</v>
      </c>
      <c r="B901" t="s">
        <v>369</v>
      </c>
      <c r="C901" t="s">
        <v>370</v>
      </c>
      <c r="D901" t="str">
        <f>HYPERLINK("http://service.sap.com/sap/support/notes/1360723","1360723")</f>
        <v>1360723</v>
      </c>
      <c r="F901" t="s">
        <v>1165</v>
      </c>
    </row>
    <row r="902" spans="1:6">
      <c r="A902" t="s">
        <v>548</v>
      </c>
      <c r="B902" t="s">
        <v>1166</v>
      </c>
    </row>
    <row r="903" spans="1:6">
      <c r="A903" t="s">
        <v>548</v>
      </c>
      <c r="B903" t="s">
        <v>1167</v>
      </c>
      <c r="C903" t="s">
        <v>1168</v>
      </c>
      <c r="D903" t="str">
        <f>HYPERLINK("http://service.sap.com/sap/support/notes/1398705","1398705")</f>
        <v>1398705</v>
      </c>
      <c r="F903" t="s">
        <v>1169</v>
      </c>
    </row>
    <row r="904" spans="1:6">
      <c r="A904" t="s">
        <v>548</v>
      </c>
      <c r="B904" t="s">
        <v>1170</v>
      </c>
    </row>
    <row r="905" spans="1:6">
      <c r="A905" t="s">
        <v>548</v>
      </c>
      <c r="B905" t="s">
        <v>1171</v>
      </c>
      <c r="C905" t="s">
        <v>1172</v>
      </c>
      <c r="D905" t="str">
        <f>HYPERLINK("http://service.sap.com/sap/support/notes/1384164","1384164")</f>
        <v>1384164</v>
      </c>
      <c r="F905" t="s">
        <v>1173</v>
      </c>
    </row>
    <row r="906" spans="1:6">
      <c r="A906" t="s">
        <v>548</v>
      </c>
      <c r="B906" t="s">
        <v>1171</v>
      </c>
      <c r="C906" t="s">
        <v>1172</v>
      </c>
      <c r="D906" t="str">
        <f>HYPERLINK("http://service.sap.com/sap/support/notes/1391598","1391598")</f>
        <v>1391598</v>
      </c>
      <c r="F906" t="s">
        <v>1174</v>
      </c>
    </row>
    <row r="907" spans="1:6">
      <c r="A907" t="s">
        <v>548</v>
      </c>
      <c r="B907" t="s">
        <v>1171</v>
      </c>
      <c r="C907" t="s">
        <v>1172</v>
      </c>
      <c r="D907" t="str">
        <f>HYPERLINK("http://service.sap.com/sap/support/notes/1395896","1395896")</f>
        <v>1395896</v>
      </c>
      <c r="F907" t="s">
        <v>1175</v>
      </c>
    </row>
    <row r="908" spans="1:6">
      <c r="A908" t="s">
        <v>548</v>
      </c>
      <c r="B908" t="s">
        <v>1176</v>
      </c>
      <c r="C908" t="s">
        <v>1177</v>
      </c>
      <c r="D908" t="str">
        <f>HYPERLINK("http://service.sap.com/sap/support/notes/1398502","1398502")</f>
        <v>1398502</v>
      </c>
      <c r="F908" t="s">
        <v>1178</v>
      </c>
    </row>
    <row r="909" spans="1:6">
      <c r="A909" t="s">
        <v>548</v>
      </c>
      <c r="B909" t="s">
        <v>1179</v>
      </c>
      <c r="C909" t="s">
        <v>1180</v>
      </c>
      <c r="D909" t="str">
        <f>HYPERLINK("http://service.sap.com/sap/support/notes/1388001","1388001")</f>
        <v>1388001</v>
      </c>
      <c r="F909" t="s">
        <v>1181</v>
      </c>
    </row>
    <row r="910" spans="1:6">
      <c r="A910" t="s">
        <v>548</v>
      </c>
      <c r="B910" t="s">
        <v>1182</v>
      </c>
      <c r="C910" t="s">
        <v>255</v>
      </c>
      <c r="D910" t="str">
        <f>HYPERLINK("http://service.sap.com/sap/support/notes/1402329","1402329")</f>
        <v>1402329</v>
      </c>
      <c r="F910" t="s">
        <v>1183</v>
      </c>
    </row>
    <row r="911" spans="1:6">
      <c r="A911" t="s">
        <v>548</v>
      </c>
      <c r="B911" t="s">
        <v>374</v>
      </c>
      <c r="C911" t="s">
        <v>189</v>
      </c>
      <c r="D911" t="str">
        <f>HYPERLINK("http://service.sap.com/sap/support/notes/1396780","1396780")</f>
        <v>1396780</v>
      </c>
      <c r="F911" t="s">
        <v>1184</v>
      </c>
    </row>
    <row r="912" spans="1:6">
      <c r="A912" t="s">
        <v>548</v>
      </c>
      <c r="B912" t="s">
        <v>374</v>
      </c>
      <c r="C912" t="s">
        <v>189</v>
      </c>
      <c r="D912" t="str">
        <f>HYPERLINK("http://service.sap.com/sap/support/notes/1399586","1399586")</f>
        <v>1399586</v>
      </c>
      <c r="F912" t="s">
        <v>1185</v>
      </c>
    </row>
    <row r="913" spans="1:6">
      <c r="A913" t="s">
        <v>548</v>
      </c>
      <c r="B913" t="s">
        <v>374</v>
      </c>
      <c r="C913" t="s">
        <v>189</v>
      </c>
      <c r="D913" t="str">
        <f>HYPERLINK("http://service.sap.com/sap/support/notes/1401305","1401305")</f>
        <v>1401305</v>
      </c>
      <c r="F913" t="s">
        <v>1186</v>
      </c>
    </row>
    <row r="914" spans="1:6">
      <c r="A914" t="s">
        <v>548</v>
      </c>
      <c r="B914" t="s">
        <v>374</v>
      </c>
      <c r="C914" t="s">
        <v>189</v>
      </c>
      <c r="D914" t="str">
        <f>HYPERLINK("http://service.sap.com/sap/support/notes/1402196","1402196")</f>
        <v>1402196</v>
      </c>
      <c r="F914" t="s">
        <v>1187</v>
      </c>
    </row>
    <row r="915" spans="1:6">
      <c r="A915" t="s">
        <v>548</v>
      </c>
      <c r="B915" t="s">
        <v>374</v>
      </c>
      <c r="C915" t="s">
        <v>189</v>
      </c>
      <c r="D915" t="str">
        <f>HYPERLINK("http://service.sap.com/sap/support/notes/1405985","1405985")</f>
        <v>1405985</v>
      </c>
      <c r="F915" t="s">
        <v>1188</v>
      </c>
    </row>
    <row r="916" spans="1:6">
      <c r="A916" t="s">
        <v>548</v>
      </c>
      <c r="B916" t="s">
        <v>385</v>
      </c>
    </row>
    <row r="917" spans="1:6">
      <c r="A917" t="s">
        <v>548</v>
      </c>
      <c r="B917" t="s">
        <v>386</v>
      </c>
      <c r="C917" t="s">
        <v>387</v>
      </c>
      <c r="D917" t="str">
        <f>HYPERLINK("http://service.sap.com/sap/support/notes/1366839","1366839")</f>
        <v>1366839</v>
      </c>
      <c r="F917" t="s">
        <v>1189</v>
      </c>
    </row>
    <row r="918" spans="1:6">
      <c r="A918" t="s">
        <v>548</v>
      </c>
      <c r="B918" t="s">
        <v>386</v>
      </c>
      <c r="C918" t="s">
        <v>387</v>
      </c>
      <c r="D918" t="str">
        <f>HYPERLINK("http://service.sap.com/sap/support/notes/1371281","1371281")</f>
        <v>1371281</v>
      </c>
      <c r="F918" t="s">
        <v>1190</v>
      </c>
    </row>
    <row r="919" spans="1:6">
      <c r="A919" t="s">
        <v>548</v>
      </c>
      <c r="B919" t="s">
        <v>386</v>
      </c>
      <c r="C919" t="s">
        <v>387</v>
      </c>
      <c r="D919" t="str">
        <f>HYPERLINK("http://service.sap.com/sap/support/notes/1378987","1378987")</f>
        <v>1378987</v>
      </c>
      <c r="F919" t="s">
        <v>1191</v>
      </c>
    </row>
    <row r="920" spans="1:6">
      <c r="A920" t="s">
        <v>548</v>
      </c>
      <c r="B920" t="s">
        <v>386</v>
      </c>
      <c r="C920" t="s">
        <v>387</v>
      </c>
      <c r="D920" t="str">
        <f>HYPERLINK("http://service.sap.com/sap/support/notes/1389552","1389552")</f>
        <v>1389552</v>
      </c>
      <c r="F920" t="s">
        <v>1192</v>
      </c>
    </row>
    <row r="921" spans="1:6">
      <c r="A921" t="s">
        <v>548</v>
      </c>
      <c r="B921" t="s">
        <v>386</v>
      </c>
      <c r="C921" t="s">
        <v>387</v>
      </c>
      <c r="D921" t="str">
        <f>HYPERLINK("http://service.sap.com/sap/support/notes/1395778","1395778")</f>
        <v>1395778</v>
      </c>
      <c r="F921" t="s">
        <v>1193</v>
      </c>
    </row>
    <row r="922" spans="1:6">
      <c r="A922" t="s">
        <v>548</v>
      </c>
      <c r="B922" t="s">
        <v>386</v>
      </c>
      <c r="C922" t="s">
        <v>387</v>
      </c>
      <c r="D922" t="str">
        <f>HYPERLINK("http://service.sap.com/sap/support/notes/1399097","1399097")</f>
        <v>1399097</v>
      </c>
      <c r="F922" t="s">
        <v>1194</v>
      </c>
    </row>
    <row r="923" spans="1:6">
      <c r="A923" t="s">
        <v>548</v>
      </c>
      <c r="B923" t="s">
        <v>386</v>
      </c>
      <c r="C923" t="s">
        <v>387</v>
      </c>
      <c r="D923" t="str">
        <f>HYPERLINK("http://service.sap.com/sap/support/notes/1400194","1400194")</f>
        <v>1400194</v>
      </c>
      <c r="F923" t="s">
        <v>1195</v>
      </c>
    </row>
    <row r="924" spans="1:6">
      <c r="A924" t="s">
        <v>548</v>
      </c>
      <c r="B924" t="s">
        <v>386</v>
      </c>
      <c r="C924" t="s">
        <v>387</v>
      </c>
      <c r="D924" t="str">
        <f>HYPERLINK("http://service.sap.com/sap/support/notes/1400639","1400639")</f>
        <v>1400639</v>
      </c>
      <c r="F924" t="s">
        <v>1196</v>
      </c>
    </row>
    <row r="925" spans="1:6">
      <c r="A925" t="s">
        <v>548</v>
      </c>
      <c r="B925" t="s">
        <v>386</v>
      </c>
      <c r="C925" t="s">
        <v>387</v>
      </c>
      <c r="D925" t="str">
        <f>HYPERLINK("http://service.sap.com/sap/support/notes/1400735","1400735")</f>
        <v>1400735</v>
      </c>
      <c r="F925" t="s">
        <v>1197</v>
      </c>
    </row>
    <row r="926" spans="1:6">
      <c r="A926" t="s">
        <v>548</v>
      </c>
      <c r="B926" t="s">
        <v>386</v>
      </c>
      <c r="C926" t="s">
        <v>387</v>
      </c>
      <c r="D926" t="str">
        <f>HYPERLINK("http://service.sap.com/sap/support/notes/1403255","1403255")</f>
        <v>1403255</v>
      </c>
      <c r="F926" t="s">
        <v>1198</v>
      </c>
    </row>
    <row r="927" spans="1:6">
      <c r="A927" t="s">
        <v>548</v>
      </c>
      <c r="B927" t="s">
        <v>391</v>
      </c>
      <c r="C927" t="s">
        <v>392</v>
      </c>
      <c r="D927" t="str">
        <f>HYPERLINK("http://service.sap.com/sap/support/notes/1401808","1401808")</f>
        <v>1401808</v>
      </c>
      <c r="F927" t="s">
        <v>1199</v>
      </c>
    </row>
    <row r="928" spans="1:6">
      <c r="A928" t="s">
        <v>548</v>
      </c>
      <c r="B928" t="s">
        <v>391</v>
      </c>
      <c r="C928" t="s">
        <v>392</v>
      </c>
      <c r="D928" t="str">
        <f>HYPERLINK("http://service.sap.com/sap/support/notes/1404865","1404865")</f>
        <v>1404865</v>
      </c>
      <c r="F928" t="s">
        <v>1200</v>
      </c>
    </row>
    <row r="929" spans="1:6">
      <c r="A929" t="s">
        <v>548</v>
      </c>
      <c r="B929" t="s">
        <v>391</v>
      </c>
      <c r="C929" t="s">
        <v>392</v>
      </c>
      <c r="D929" t="str">
        <f>HYPERLINK("http://service.sap.com/sap/support/notes/1405241","1405241")</f>
        <v>1405241</v>
      </c>
      <c r="F929" t="s">
        <v>1201</v>
      </c>
    </row>
    <row r="930" spans="1:6">
      <c r="A930" t="s">
        <v>548</v>
      </c>
      <c r="B930" t="s">
        <v>391</v>
      </c>
      <c r="C930" t="s">
        <v>392</v>
      </c>
      <c r="D930" t="str">
        <f>HYPERLINK("http://service.sap.com/sap/support/notes/1407321","1407321")</f>
        <v>1407321</v>
      </c>
      <c r="F930" t="s">
        <v>1202</v>
      </c>
    </row>
    <row r="931" spans="1:6">
      <c r="A931" t="s">
        <v>548</v>
      </c>
      <c r="B931" t="s">
        <v>397</v>
      </c>
      <c r="C931" t="s">
        <v>398</v>
      </c>
      <c r="D931" t="str">
        <f>HYPERLINK("http://service.sap.com/sap/support/notes/1406973","1406973")</f>
        <v>1406973</v>
      </c>
      <c r="F931" t="s">
        <v>1203</v>
      </c>
    </row>
    <row r="932" spans="1:6">
      <c r="A932" t="s">
        <v>548</v>
      </c>
      <c r="B932" t="s">
        <v>401</v>
      </c>
      <c r="C932" t="s">
        <v>402</v>
      </c>
      <c r="D932" t="str">
        <f>HYPERLINK("http://service.sap.com/sap/support/notes/1331344","1331344")</f>
        <v>1331344</v>
      </c>
      <c r="F932" t="s">
        <v>1204</v>
      </c>
    </row>
    <row r="933" spans="1:6">
      <c r="A933" t="s">
        <v>548</v>
      </c>
      <c r="B933" t="s">
        <v>401</v>
      </c>
      <c r="C933" t="s">
        <v>402</v>
      </c>
      <c r="D933" t="str">
        <f>HYPERLINK("http://service.sap.com/sap/support/notes/1334753","1334753")</f>
        <v>1334753</v>
      </c>
      <c r="F933" t="s">
        <v>1205</v>
      </c>
    </row>
    <row r="934" spans="1:6">
      <c r="A934" t="s">
        <v>548</v>
      </c>
      <c r="B934" t="s">
        <v>401</v>
      </c>
      <c r="C934" t="s">
        <v>402</v>
      </c>
      <c r="D934" t="str">
        <f>HYPERLINK("http://service.sap.com/sap/support/notes/1398747","1398747")</f>
        <v>1398747</v>
      </c>
      <c r="F934" t="s">
        <v>409</v>
      </c>
    </row>
    <row r="935" spans="1:6">
      <c r="A935" t="s">
        <v>548</v>
      </c>
      <c r="B935" t="s">
        <v>401</v>
      </c>
      <c r="C935" t="s">
        <v>402</v>
      </c>
      <c r="D935" t="str">
        <f>HYPERLINK("http://service.sap.com/sap/support/notes/1401249","1401249")</f>
        <v>1401249</v>
      </c>
      <c r="F935" t="s">
        <v>1206</v>
      </c>
    </row>
    <row r="936" spans="1:6">
      <c r="A936" t="s">
        <v>548</v>
      </c>
      <c r="B936" t="s">
        <v>401</v>
      </c>
      <c r="C936" t="s">
        <v>402</v>
      </c>
      <c r="D936" t="str">
        <f>HYPERLINK("http://service.sap.com/sap/support/notes/1406543","1406543")</f>
        <v>1406543</v>
      </c>
      <c r="F936" t="s">
        <v>1207</v>
      </c>
    </row>
    <row r="937" spans="1:6">
      <c r="A937" t="s">
        <v>548</v>
      </c>
      <c r="B937" t="s">
        <v>401</v>
      </c>
      <c r="C937" t="s">
        <v>402</v>
      </c>
      <c r="D937" t="str">
        <f>HYPERLINK("http://service.sap.com/sap/support/notes/1406597","1406597")</f>
        <v>1406597</v>
      </c>
      <c r="F937" t="s">
        <v>1208</v>
      </c>
    </row>
    <row r="938" spans="1:6">
      <c r="A938" t="s">
        <v>548</v>
      </c>
      <c r="B938" t="s">
        <v>401</v>
      </c>
      <c r="C938" t="s">
        <v>402</v>
      </c>
      <c r="D938" t="str">
        <f>HYPERLINK("http://service.sap.com/sap/support/notes/1407038","1407038")</f>
        <v>1407038</v>
      </c>
      <c r="F938" t="s">
        <v>1209</v>
      </c>
    </row>
    <row r="939" spans="1:6">
      <c r="A939" t="s">
        <v>548</v>
      </c>
      <c r="B939" t="s">
        <v>401</v>
      </c>
      <c r="C939" t="s">
        <v>402</v>
      </c>
      <c r="D939" t="str">
        <f>HYPERLINK("http://service.sap.com/sap/support/notes/1408724","1408724")</f>
        <v>1408724</v>
      </c>
      <c r="F939" t="s">
        <v>1210</v>
      </c>
    </row>
    <row r="940" spans="1:6">
      <c r="A940" t="s">
        <v>548</v>
      </c>
      <c r="B940" t="s">
        <v>410</v>
      </c>
      <c r="C940" t="s">
        <v>411</v>
      </c>
      <c r="D940" t="str">
        <f>HYPERLINK("http://service.sap.com/sap/support/notes/1333549","1333549")</f>
        <v>1333549</v>
      </c>
      <c r="F940" t="s">
        <v>1211</v>
      </c>
    </row>
    <row r="941" spans="1:6">
      <c r="A941" t="s">
        <v>548</v>
      </c>
      <c r="B941" t="s">
        <v>410</v>
      </c>
      <c r="C941" t="s">
        <v>411</v>
      </c>
      <c r="D941" t="str">
        <f>HYPERLINK("http://service.sap.com/sap/support/notes/1343590","1343590")</f>
        <v>1343590</v>
      </c>
      <c r="F941" t="s">
        <v>1212</v>
      </c>
    </row>
    <row r="942" spans="1:6">
      <c r="A942" t="s">
        <v>548</v>
      </c>
      <c r="B942" t="s">
        <v>410</v>
      </c>
      <c r="C942" t="s">
        <v>411</v>
      </c>
      <c r="D942" t="str">
        <f>HYPERLINK("http://service.sap.com/sap/support/notes/1349044","1349044")</f>
        <v>1349044</v>
      </c>
      <c r="F942" t="s">
        <v>1213</v>
      </c>
    </row>
    <row r="943" spans="1:6">
      <c r="A943" t="s">
        <v>548</v>
      </c>
      <c r="B943" t="s">
        <v>410</v>
      </c>
      <c r="C943" t="s">
        <v>411</v>
      </c>
      <c r="D943" t="str">
        <f>HYPERLINK("http://service.sap.com/sap/support/notes/1358511","1358511")</f>
        <v>1358511</v>
      </c>
      <c r="F943" t="s">
        <v>1214</v>
      </c>
    </row>
    <row r="944" spans="1:6">
      <c r="A944" t="s">
        <v>548</v>
      </c>
      <c r="B944" t="s">
        <v>410</v>
      </c>
      <c r="C944" t="s">
        <v>411</v>
      </c>
      <c r="D944" t="str">
        <f>HYPERLINK("http://service.sap.com/sap/support/notes/1371774","1371774")</f>
        <v>1371774</v>
      </c>
      <c r="F944" t="s">
        <v>1215</v>
      </c>
    </row>
    <row r="945" spans="1:6">
      <c r="A945" t="s">
        <v>548</v>
      </c>
      <c r="B945" t="s">
        <v>410</v>
      </c>
      <c r="C945" t="s">
        <v>411</v>
      </c>
      <c r="D945" t="str">
        <f>HYPERLINK("http://service.sap.com/sap/support/notes/1372553","1372553")</f>
        <v>1372553</v>
      </c>
      <c r="F945" t="s">
        <v>1216</v>
      </c>
    </row>
    <row r="946" spans="1:6">
      <c r="A946" t="s">
        <v>548</v>
      </c>
      <c r="B946" t="s">
        <v>410</v>
      </c>
      <c r="C946" t="s">
        <v>411</v>
      </c>
      <c r="D946" t="str">
        <f>HYPERLINK("http://service.sap.com/sap/support/notes/1378333","1378333")</f>
        <v>1378333</v>
      </c>
      <c r="F946" t="s">
        <v>1217</v>
      </c>
    </row>
    <row r="947" spans="1:6">
      <c r="A947" t="s">
        <v>548</v>
      </c>
      <c r="B947" t="s">
        <v>410</v>
      </c>
      <c r="C947" t="s">
        <v>411</v>
      </c>
      <c r="D947" t="str">
        <f>HYPERLINK("http://service.sap.com/sap/support/notes/1379621","1379621")</f>
        <v>1379621</v>
      </c>
      <c r="F947" t="s">
        <v>1218</v>
      </c>
    </row>
    <row r="948" spans="1:6">
      <c r="A948" t="s">
        <v>548</v>
      </c>
      <c r="B948" t="s">
        <v>410</v>
      </c>
      <c r="C948" t="s">
        <v>411</v>
      </c>
      <c r="D948" t="str">
        <f>HYPERLINK("http://service.sap.com/sap/support/notes/1383422","1383422")</f>
        <v>1383422</v>
      </c>
      <c r="F948" t="s">
        <v>1219</v>
      </c>
    </row>
    <row r="949" spans="1:6">
      <c r="A949" t="s">
        <v>548</v>
      </c>
      <c r="B949" t="s">
        <v>410</v>
      </c>
      <c r="C949" t="s">
        <v>411</v>
      </c>
      <c r="D949" t="str">
        <f>HYPERLINK("http://service.sap.com/sap/support/notes/1384638","1384638")</f>
        <v>1384638</v>
      </c>
      <c r="F949" t="s">
        <v>1220</v>
      </c>
    </row>
    <row r="950" spans="1:6">
      <c r="A950" t="s">
        <v>548</v>
      </c>
      <c r="B950" t="s">
        <v>410</v>
      </c>
      <c r="C950" t="s">
        <v>411</v>
      </c>
      <c r="D950" t="str">
        <f>HYPERLINK("http://service.sap.com/sap/support/notes/1386564","1386564")</f>
        <v>1386564</v>
      </c>
      <c r="F950" t="s">
        <v>1221</v>
      </c>
    </row>
    <row r="951" spans="1:6">
      <c r="A951" t="s">
        <v>548</v>
      </c>
      <c r="B951" t="s">
        <v>410</v>
      </c>
      <c r="C951" t="s">
        <v>411</v>
      </c>
      <c r="D951" t="str">
        <f>HYPERLINK("http://service.sap.com/sap/support/notes/1390302","1390302")</f>
        <v>1390302</v>
      </c>
      <c r="F951" t="s">
        <v>1222</v>
      </c>
    </row>
    <row r="952" spans="1:6">
      <c r="A952" t="s">
        <v>548</v>
      </c>
      <c r="B952" t="s">
        <v>410</v>
      </c>
      <c r="C952" t="s">
        <v>411</v>
      </c>
      <c r="D952" t="str">
        <f>HYPERLINK("http://service.sap.com/sap/support/notes/1399148","1399148")</f>
        <v>1399148</v>
      </c>
      <c r="F952" t="s">
        <v>1223</v>
      </c>
    </row>
    <row r="953" spans="1:6">
      <c r="A953" t="s">
        <v>548</v>
      </c>
      <c r="B953" t="s">
        <v>410</v>
      </c>
      <c r="C953" t="s">
        <v>411</v>
      </c>
      <c r="D953" t="str">
        <f>HYPERLINK("http://service.sap.com/sap/support/notes/1399813","1399813")</f>
        <v>1399813</v>
      </c>
      <c r="F953" t="s">
        <v>1224</v>
      </c>
    </row>
    <row r="954" spans="1:6">
      <c r="A954" t="s">
        <v>548</v>
      </c>
      <c r="B954" t="s">
        <v>410</v>
      </c>
      <c r="C954" t="s">
        <v>411</v>
      </c>
      <c r="D954" t="str">
        <f>HYPERLINK("http://service.sap.com/sap/support/notes/1400096","1400096")</f>
        <v>1400096</v>
      </c>
      <c r="F954" t="s">
        <v>1225</v>
      </c>
    </row>
    <row r="955" spans="1:6">
      <c r="A955" t="s">
        <v>548</v>
      </c>
      <c r="B955" t="s">
        <v>410</v>
      </c>
      <c r="C955" t="s">
        <v>411</v>
      </c>
      <c r="D955" t="str">
        <f>HYPERLINK("http://service.sap.com/sap/support/notes/1403619","1403619")</f>
        <v>1403619</v>
      </c>
      <c r="F955" t="s">
        <v>1226</v>
      </c>
    </row>
    <row r="956" spans="1:6">
      <c r="A956" t="s">
        <v>548</v>
      </c>
      <c r="B956" t="s">
        <v>410</v>
      </c>
      <c r="C956" t="s">
        <v>411</v>
      </c>
      <c r="D956" t="str">
        <f>HYPERLINK("http://service.sap.com/sap/support/notes/1404351","1404351")</f>
        <v>1404351</v>
      </c>
      <c r="F956" t="s">
        <v>1227</v>
      </c>
    </row>
    <row r="957" spans="1:6">
      <c r="A957" t="s">
        <v>548</v>
      </c>
      <c r="B957" t="s">
        <v>410</v>
      </c>
      <c r="C957" t="s">
        <v>411</v>
      </c>
      <c r="D957" t="str">
        <f>HYPERLINK("http://service.sap.com/sap/support/notes/1407476","1407476")</f>
        <v>1407476</v>
      </c>
      <c r="F957" t="s">
        <v>1228</v>
      </c>
    </row>
    <row r="958" spans="1:6">
      <c r="A958" t="s">
        <v>548</v>
      </c>
      <c r="B958" t="s">
        <v>410</v>
      </c>
      <c r="C958" t="s">
        <v>411</v>
      </c>
      <c r="D958" t="str">
        <f>HYPERLINK("http://service.sap.com/sap/support/notes/1408184","1408184")</f>
        <v>1408184</v>
      </c>
      <c r="F958" t="s">
        <v>1229</v>
      </c>
    </row>
    <row r="959" spans="1:6">
      <c r="A959" t="s">
        <v>548</v>
      </c>
      <c r="B959" t="s">
        <v>1230</v>
      </c>
      <c r="C959" t="s">
        <v>1231</v>
      </c>
      <c r="D959" t="str">
        <f>HYPERLINK("http://service.sap.com/sap/support/notes/1378818","1378818")</f>
        <v>1378818</v>
      </c>
      <c r="F959" t="s">
        <v>1232</v>
      </c>
    </row>
    <row r="960" spans="1:6">
      <c r="A960" t="s">
        <v>548</v>
      </c>
      <c r="B960" t="s">
        <v>424</v>
      </c>
      <c r="C960" t="s">
        <v>425</v>
      </c>
      <c r="D960" t="str">
        <f>HYPERLINK("http://service.sap.com/sap/support/notes/1258387","1258387")</f>
        <v>1258387</v>
      </c>
      <c r="F960" t="s">
        <v>1233</v>
      </c>
    </row>
    <row r="961" spans="1:6">
      <c r="A961" t="s">
        <v>548</v>
      </c>
      <c r="B961" t="s">
        <v>424</v>
      </c>
      <c r="C961" t="s">
        <v>425</v>
      </c>
      <c r="D961" t="str">
        <f>HYPERLINK("http://service.sap.com/sap/support/notes/1293443","1293443")</f>
        <v>1293443</v>
      </c>
      <c r="F961" t="s">
        <v>428</v>
      </c>
    </row>
    <row r="962" spans="1:6">
      <c r="A962" t="s">
        <v>548</v>
      </c>
      <c r="B962" t="s">
        <v>424</v>
      </c>
      <c r="C962" t="s">
        <v>425</v>
      </c>
      <c r="D962" t="str">
        <f>HYPERLINK("http://service.sap.com/sap/support/notes/1351169","1351169")</f>
        <v>1351169</v>
      </c>
      <c r="F962" t="s">
        <v>1234</v>
      </c>
    </row>
    <row r="963" spans="1:6">
      <c r="A963" t="s">
        <v>548</v>
      </c>
      <c r="B963" t="s">
        <v>424</v>
      </c>
      <c r="C963" t="s">
        <v>425</v>
      </c>
      <c r="D963" t="str">
        <f>HYPERLINK("http://service.sap.com/sap/support/notes/1378713","1378713")</f>
        <v>1378713</v>
      </c>
      <c r="F963" t="s">
        <v>1235</v>
      </c>
    </row>
    <row r="964" spans="1:6">
      <c r="A964" t="s">
        <v>548</v>
      </c>
      <c r="B964" t="s">
        <v>424</v>
      </c>
      <c r="C964" t="s">
        <v>425</v>
      </c>
      <c r="D964" t="str">
        <f>HYPERLINK("http://service.sap.com/sap/support/notes/1389407","1389407")</f>
        <v>1389407</v>
      </c>
      <c r="F964" t="s">
        <v>432</v>
      </c>
    </row>
    <row r="965" spans="1:6">
      <c r="A965" t="s">
        <v>548</v>
      </c>
      <c r="B965" t="s">
        <v>424</v>
      </c>
      <c r="C965" t="s">
        <v>425</v>
      </c>
      <c r="D965" t="str">
        <f>HYPERLINK("http://service.sap.com/sap/support/notes/1395710","1395710")</f>
        <v>1395710</v>
      </c>
      <c r="F965" t="s">
        <v>1236</v>
      </c>
    </row>
    <row r="966" spans="1:6">
      <c r="A966" t="s">
        <v>548</v>
      </c>
      <c r="B966" t="s">
        <v>424</v>
      </c>
      <c r="C966" t="s">
        <v>425</v>
      </c>
      <c r="D966" t="str">
        <f>HYPERLINK("http://service.sap.com/sap/support/notes/1398820","1398820")</f>
        <v>1398820</v>
      </c>
      <c r="F966" t="s">
        <v>437</v>
      </c>
    </row>
    <row r="967" spans="1:6">
      <c r="A967" t="s">
        <v>548</v>
      </c>
      <c r="B967" t="s">
        <v>424</v>
      </c>
      <c r="C967" t="s">
        <v>425</v>
      </c>
      <c r="D967" t="str">
        <f>HYPERLINK("http://service.sap.com/sap/support/notes/1399543","1399543")</f>
        <v>1399543</v>
      </c>
      <c r="F967" t="s">
        <v>438</v>
      </c>
    </row>
    <row r="968" spans="1:6">
      <c r="A968" t="s">
        <v>548</v>
      </c>
      <c r="B968" t="s">
        <v>424</v>
      </c>
      <c r="C968" t="s">
        <v>425</v>
      </c>
      <c r="D968" t="str">
        <f>HYPERLINK("http://service.sap.com/sap/support/notes/1405473","1405473")</f>
        <v>1405473</v>
      </c>
      <c r="F968" t="s">
        <v>1237</v>
      </c>
    </row>
    <row r="969" spans="1:6">
      <c r="A969" t="s">
        <v>548</v>
      </c>
      <c r="B969" t="s">
        <v>424</v>
      </c>
      <c r="C969" t="s">
        <v>425</v>
      </c>
      <c r="D969" t="str">
        <f>HYPERLINK("http://service.sap.com/sap/support/notes/1405795","1405795")</f>
        <v>1405795</v>
      </c>
      <c r="F969" t="s">
        <v>1238</v>
      </c>
    </row>
    <row r="970" spans="1:6">
      <c r="A970" t="s">
        <v>548</v>
      </c>
      <c r="B970" t="s">
        <v>424</v>
      </c>
      <c r="C970" t="s">
        <v>425</v>
      </c>
      <c r="D970" t="str">
        <f>HYPERLINK("http://service.sap.com/sap/support/notes/1407119","1407119")</f>
        <v>1407119</v>
      </c>
      <c r="F970" t="s">
        <v>1239</v>
      </c>
    </row>
    <row r="971" spans="1:6">
      <c r="A971" t="s">
        <v>548</v>
      </c>
      <c r="B971" t="s">
        <v>424</v>
      </c>
      <c r="C971" t="s">
        <v>425</v>
      </c>
      <c r="D971" t="str">
        <f>HYPERLINK("http://service.sap.com/sap/support/notes/1408032","1408032")</f>
        <v>1408032</v>
      </c>
      <c r="F971" t="s">
        <v>1240</v>
      </c>
    </row>
    <row r="972" spans="1:6">
      <c r="A972" t="s">
        <v>548</v>
      </c>
      <c r="B972" t="s">
        <v>439</v>
      </c>
      <c r="C972" t="s">
        <v>189</v>
      </c>
      <c r="D972" t="str">
        <f>HYPERLINK("http://service.sap.com/sap/support/notes/1391921","1391921")</f>
        <v>1391921</v>
      </c>
      <c r="F972" t="s">
        <v>440</v>
      </c>
    </row>
    <row r="973" spans="1:6">
      <c r="A973" t="s">
        <v>548</v>
      </c>
      <c r="B973" t="s">
        <v>441</v>
      </c>
      <c r="C973" t="s">
        <v>442</v>
      </c>
      <c r="D973" t="str">
        <f>HYPERLINK("http://service.sap.com/sap/support/notes/1132738","1132738")</f>
        <v>1132738</v>
      </c>
      <c r="F973" t="s">
        <v>443</v>
      </c>
    </row>
    <row r="974" spans="1:6">
      <c r="A974" t="s">
        <v>548</v>
      </c>
      <c r="B974" t="s">
        <v>441</v>
      </c>
      <c r="C974" t="s">
        <v>442</v>
      </c>
      <c r="D974" t="str">
        <f>HYPERLINK("http://service.sap.com/sap/support/notes/1360744","1360744")</f>
        <v>1360744</v>
      </c>
      <c r="F974" t="s">
        <v>444</v>
      </c>
    </row>
    <row r="975" spans="1:6">
      <c r="A975" t="s">
        <v>548</v>
      </c>
      <c r="B975" t="s">
        <v>441</v>
      </c>
      <c r="C975" t="s">
        <v>442</v>
      </c>
      <c r="D975" t="str">
        <f>HYPERLINK("http://service.sap.com/sap/support/notes/1397654","1397654")</f>
        <v>1397654</v>
      </c>
      <c r="F975" t="s">
        <v>1241</v>
      </c>
    </row>
    <row r="976" spans="1:6">
      <c r="A976" t="s">
        <v>548</v>
      </c>
      <c r="B976" t="s">
        <v>441</v>
      </c>
      <c r="C976" t="s">
        <v>442</v>
      </c>
      <c r="D976" t="str">
        <f>HYPERLINK("http://service.sap.com/sap/support/notes/1398532","1398532")</f>
        <v>1398532</v>
      </c>
      <c r="F976" t="s">
        <v>1242</v>
      </c>
    </row>
    <row r="977" spans="1:6">
      <c r="A977" t="s">
        <v>548</v>
      </c>
      <c r="B977" t="s">
        <v>441</v>
      </c>
      <c r="C977" t="s">
        <v>442</v>
      </c>
      <c r="D977" t="str">
        <f>HYPERLINK("http://service.sap.com/sap/support/notes/1399188","1399188")</f>
        <v>1399188</v>
      </c>
      <c r="F977" t="s">
        <v>1243</v>
      </c>
    </row>
    <row r="978" spans="1:6">
      <c r="A978" t="s">
        <v>548</v>
      </c>
      <c r="B978" t="s">
        <v>441</v>
      </c>
      <c r="C978" t="s">
        <v>442</v>
      </c>
      <c r="D978" t="str">
        <f>HYPERLINK("http://service.sap.com/sap/support/notes/1404253","1404253")</f>
        <v>1404253</v>
      </c>
      <c r="F978" t="s">
        <v>1244</v>
      </c>
    </row>
    <row r="979" spans="1:6">
      <c r="A979" t="s">
        <v>548</v>
      </c>
      <c r="B979" t="s">
        <v>1245</v>
      </c>
      <c r="C979" t="s">
        <v>208</v>
      </c>
      <c r="D979" t="str">
        <f>HYPERLINK("http://service.sap.com/sap/support/notes/1402588","1402588")</f>
        <v>1402588</v>
      </c>
      <c r="F979" t="s">
        <v>1246</v>
      </c>
    </row>
    <row r="980" spans="1:6">
      <c r="A980" t="s">
        <v>548</v>
      </c>
      <c r="B980" t="s">
        <v>1247</v>
      </c>
      <c r="C980" t="s">
        <v>87</v>
      </c>
      <c r="D980" t="str">
        <f>HYPERLINK("http://service.sap.com/sap/support/notes/1400195","1400195")</f>
        <v>1400195</v>
      </c>
      <c r="F980" t="s">
        <v>1248</v>
      </c>
    </row>
    <row r="981" spans="1:6">
      <c r="A981" t="s">
        <v>548</v>
      </c>
      <c r="B981" t="s">
        <v>1247</v>
      </c>
      <c r="C981" t="s">
        <v>87</v>
      </c>
      <c r="D981" t="str">
        <f>HYPERLINK("http://service.sap.com/sap/support/notes/1401589","1401589")</f>
        <v>1401589</v>
      </c>
      <c r="F981" t="s">
        <v>1249</v>
      </c>
    </row>
    <row r="982" spans="1:6">
      <c r="A982" t="s">
        <v>548</v>
      </c>
      <c r="B982" t="s">
        <v>450</v>
      </c>
      <c r="C982" t="s">
        <v>451</v>
      </c>
      <c r="D982" t="str">
        <f>HYPERLINK("http://service.sap.com/sap/support/notes/1360670","1360670")</f>
        <v>1360670</v>
      </c>
      <c r="F982" t="s">
        <v>1250</v>
      </c>
    </row>
    <row r="983" spans="1:6">
      <c r="A983" t="s">
        <v>548</v>
      </c>
      <c r="B983" t="s">
        <v>450</v>
      </c>
      <c r="C983" t="s">
        <v>451</v>
      </c>
      <c r="D983" t="str">
        <f>HYPERLINK("http://service.sap.com/sap/support/notes/1392686","1392686")</f>
        <v>1392686</v>
      </c>
      <c r="F983" t="s">
        <v>1251</v>
      </c>
    </row>
    <row r="984" spans="1:6">
      <c r="A984" t="s">
        <v>548</v>
      </c>
      <c r="B984" t="s">
        <v>450</v>
      </c>
      <c r="C984" t="s">
        <v>451</v>
      </c>
      <c r="D984" t="str">
        <f>HYPERLINK("http://service.sap.com/sap/support/notes/1394224","1394224")</f>
        <v>1394224</v>
      </c>
      <c r="F984" t="s">
        <v>1252</v>
      </c>
    </row>
    <row r="985" spans="1:6">
      <c r="A985" t="s">
        <v>548</v>
      </c>
      <c r="B985" t="s">
        <v>450</v>
      </c>
      <c r="C985" t="s">
        <v>451</v>
      </c>
      <c r="D985" t="str">
        <f>HYPERLINK("http://service.sap.com/sap/support/notes/1401118","1401118")</f>
        <v>1401118</v>
      </c>
      <c r="F985" t="s">
        <v>1253</v>
      </c>
    </row>
    <row r="986" spans="1:6">
      <c r="A986" t="s">
        <v>548</v>
      </c>
      <c r="B986" t="s">
        <v>455</v>
      </c>
      <c r="C986" t="s">
        <v>456</v>
      </c>
      <c r="D986" t="str">
        <f>HYPERLINK("http://service.sap.com/sap/support/notes/1407592","1407592")</f>
        <v>1407592</v>
      </c>
      <c r="F986" t="s">
        <v>1254</v>
      </c>
    </row>
    <row r="987" spans="1:6">
      <c r="A987" t="s">
        <v>548</v>
      </c>
      <c r="B987" t="s">
        <v>458</v>
      </c>
      <c r="C987" t="s">
        <v>90</v>
      </c>
      <c r="D987" t="str">
        <f>HYPERLINK("http://service.sap.com/sap/support/notes/645372","645372")</f>
        <v>645372</v>
      </c>
      <c r="F987" t="s">
        <v>459</v>
      </c>
    </row>
    <row r="988" spans="1:6">
      <c r="A988" t="s">
        <v>548</v>
      </c>
      <c r="B988" t="s">
        <v>458</v>
      </c>
      <c r="C988" t="s">
        <v>90</v>
      </c>
      <c r="D988" t="str">
        <f>HYPERLINK("http://service.sap.com/sap/support/notes/1393317","1393317")</f>
        <v>1393317</v>
      </c>
      <c r="F988" t="s">
        <v>1255</v>
      </c>
    </row>
    <row r="989" spans="1:6">
      <c r="A989" t="s">
        <v>548</v>
      </c>
      <c r="B989" t="s">
        <v>458</v>
      </c>
      <c r="C989" t="s">
        <v>90</v>
      </c>
      <c r="D989" t="str">
        <f>HYPERLINK("http://service.sap.com/sap/support/notes/1399711","1399711")</f>
        <v>1399711</v>
      </c>
      <c r="F989" t="s">
        <v>1256</v>
      </c>
    </row>
    <row r="990" spans="1:6">
      <c r="A990" t="s">
        <v>548</v>
      </c>
      <c r="B990" t="s">
        <v>458</v>
      </c>
      <c r="C990" t="s">
        <v>90</v>
      </c>
      <c r="D990" t="str">
        <f>HYPERLINK("http://service.sap.com/sap/support/notes/1401699","1401699")</f>
        <v>1401699</v>
      </c>
      <c r="F990" t="s">
        <v>1257</v>
      </c>
    </row>
    <row r="991" spans="1:6">
      <c r="A991" t="s">
        <v>548</v>
      </c>
      <c r="B991" t="s">
        <v>458</v>
      </c>
      <c r="C991" t="s">
        <v>90</v>
      </c>
      <c r="D991" t="str">
        <f>HYPERLINK("http://service.sap.com/sap/support/notes/1402203","1402203")</f>
        <v>1402203</v>
      </c>
      <c r="F991" t="s">
        <v>1258</v>
      </c>
    </row>
    <row r="992" spans="1:6">
      <c r="A992" t="s">
        <v>548</v>
      </c>
      <c r="B992" t="s">
        <v>458</v>
      </c>
      <c r="C992" t="s">
        <v>90</v>
      </c>
      <c r="D992" t="str">
        <f>HYPERLINK("http://service.sap.com/sap/support/notes/1403696","1403696")</f>
        <v>1403696</v>
      </c>
      <c r="F992" t="s">
        <v>1259</v>
      </c>
    </row>
    <row r="993" spans="1:6">
      <c r="A993" t="s">
        <v>548</v>
      </c>
      <c r="B993" t="s">
        <v>458</v>
      </c>
      <c r="C993" t="s">
        <v>90</v>
      </c>
      <c r="D993" t="str">
        <f>HYPERLINK("http://service.sap.com/sap/support/notes/1403743","1403743")</f>
        <v>1403743</v>
      </c>
      <c r="F993" t="s">
        <v>1260</v>
      </c>
    </row>
    <row r="994" spans="1:6">
      <c r="A994" t="s">
        <v>548</v>
      </c>
      <c r="B994" t="s">
        <v>463</v>
      </c>
      <c r="C994" t="s">
        <v>93</v>
      </c>
      <c r="D994" t="str">
        <f>HYPERLINK("http://service.sap.com/sap/support/notes/1370955","1370955")</f>
        <v>1370955</v>
      </c>
      <c r="F994" t="s">
        <v>1261</v>
      </c>
    </row>
    <row r="995" spans="1:6">
      <c r="A995" t="s">
        <v>548</v>
      </c>
      <c r="B995" t="s">
        <v>463</v>
      </c>
      <c r="C995" t="s">
        <v>93</v>
      </c>
      <c r="D995" t="str">
        <f>HYPERLINK("http://service.sap.com/sap/support/notes/1398324","1398324")</f>
        <v>1398324</v>
      </c>
      <c r="F995" t="s">
        <v>1262</v>
      </c>
    </row>
    <row r="996" spans="1:6">
      <c r="A996" t="s">
        <v>548</v>
      </c>
      <c r="B996" t="s">
        <v>463</v>
      </c>
      <c r="C996" t="s">
        <v>93</v>
      </c>
      <c r="D996" t="str">
        <f>HYPERLINK("http://service.sap.com/sap/support/notes/1399559","1399559")</f>
        <v>1399559</v>
      </c>
      <c r="F996" t="s">
        <v>1263</v>
      </c>
    </row>
    <row r="997" spans="1:6">
      <c r="A997" t="s">
        <v>548</v>
      </c>
      <c r="B997" t="s">
        <v>463</v>
      </c>
      <c r="C997" t="s">
        <v>93</v>
      </c>
      <c r="D997" t="str">
        <f>HYPERLINK("http://service.sap.com/sap/support/notes/1400231","1400231")</f>
        <v>1400231</v>
      </c>
      <c r="F997" t="s">
        <v>1264</v>
      </c>
    </row>
    <row r="998" spans="1:6">
      <c r="A998" t="s">
        <v>548</v>
      </c>
      <c r="B998" t="s">
        <v>463</v>
      </c>
      <c r="C998" t="s">
        <v>93</v>
      </c>
      <c r="D998" t="str">
        <f>HYPERLINK("http://service.sap.com/sap/support/notes/1400355","1400355")</f>
        <v>1400355</v>
      </c>
      <c r="F998" t="s">
        <v>1265</v>
      </c>
    </row>
    <row r="999" spans="1:6">
      <c r="A999" t="s">
        <v>548</v>
      </c>
      <c r="B999" t="s">
        <v>463</v>
      </c>
      <c r="C999" t="s">
        <v>93</v>
      </c>
      <c r="D999" t="str">
        <f>HYPERLINK("http://service.sap.com/sap/support/notes/1400476","1400476")</f>
        <v>1400476</v>
      </c>
      <c r="F999" t="s">
        <v>1266</v>
      </c>
    </row>
    <row r="1000" spans="1:6">
      <c r="A1000" t="s">
        <v>548</v>
      </c>
      <c r="B1000" t="s">
        <v>463</v>
      </c>
      <c r="C1000" t="s">
        <v>93</v>
      </c>
      <c r="D1000" t="str">
        <f>HYPERLINK("http://service.sap.com/sap/support/notes/1400739","1400739")</f>
        <v>1400739</v>
      </c>
      <c r="F1000" t="s">
        <v>1267</v>
      </c>
    </row>
    <row r="1001" spans="1:6">
      <c r="A1001" t="s">
        <v>548</v>
      </c>
      <c r="B1001" t="s">
        <v>463</v>
      </c>
      <c r="C1001" t="s">
        <v>93</v>
      </c>
      <c r="D1001" t="str">
        <f>HYPERLINK("http://service.sap.com/sap/support/notes/1401221","1401221")</f>
        <v>1401221</v>
      </c>
      <c r="F1001" t="s">
        <v>1268</v>
      </c>
    </row>
    <row r="1002" spans="1:6">
      <c r="A1002" t="s">
        <v>548</v>
      </c>
      <c r="B1002" t="s">
        <v>463</v>
      </c>
      <c r="C1002" t="s">
        <v>93</v>
      </c>
      <c r="D1002" t="str">
        <f>HYPERLINK("http://service.sap.com/sap/support/notes/1407659","1407659")</f>
        <v>1407659</v>
      </c>
      <c r="F1002" t="s">
        <v>1269</v>
      </c>
    </row>
    <row r="1003" spans="1:6">
      <c r="A1003" t="s">
        <v>548</v>
      </c>
      <c r="B1003" t="s">
        <v>475</v>
      </c>
      <c r="C1003" t="s">
        <v>476</v>
      </c>
      <c r="D1003" t="str">
        <f>HYPERLINK("http://service.sap.com/sap/support/notes/1374311","1374311")</f>
        <v>1374311</v>
      </c>
      <c r="F1003" t="s">
        <v>477</v>
      </c>
    </row>
    <row r="1004" spans="1:6">
      <c r="A1004" t="s">
        <v>548</v>
      </c>
      <c r="B1004" t="s">
        <v>475</v>
      </c>
      <c r="C1004" t="s">
        <v>476</v>
      </c>
      <c r="D1004" t="str">
        <f>HYPERLINK("http://service.sap.com/sap/support/notes/1402026","1402026")</f>
        <v>1402026</v>
      </c>
      <c r="F1004" t="s">
        <v>1270</v>
      </c>
    </row>
    <row r="1005" spans="1:6">
      <c r="A1005" t="s">
        <v>548</v>
      </c>
      <c r="B1005" t="s">
        <v>475</v>
      </c>
      <c r="C1005" t="s">
        <v>476</v>
      </c>
      <c r="D1005" t="str">
        <f>HYPERLINK("http://service.sap.com/sap/support/notes/1403450","1403450")</f>
        <v>1403450</v>
      </c>
      <c r="F1005" t="s">
        <v>1271</v>
      </c>
    </row>
    <row r="1006" spans="1:6">
      <c r="A1006" t="s">
        <v>548</v>
      </c>
      <c r="B1006" t="s">
        <v>1272</v>
      </c>
      <c r="C1006" t="s">
        <v>1273</v>
      </c>
      <c r="D1006" t="str">
        <f>HYPERLINK("http://service.sap.com/sap/support/notes/1264036","1264036")</f>
        <v>1264036</v>
      </c>
      <c r="F1006" t="s">
        <v>1274</v>
      </c>
    </row>
    <row r="1007" spans="1:6">
      <c r="A1007" t="s">
        <v>548</v>
      </c>
      <c r="B1007" t="s">
        <v>1272</v>
      </c>
      <c r="C1007" t="s">
        <v>1273</v>
      </c>
      <c r="D1007" t="str">
        <f>HYPERLINK("http://service.sap.com/sap/support/notes/1404838","1404838")</f>
        <v>1404838</v>
      </c>
      <c r="F1007" t="s">
        <v>1275</v>
      </c>
    </row>
    <row r="1008" spans="1:6">
      <c r="A1008" t="s">
        <v>548</v>
      </c>
      <c r="B1008" t="s">
        <v>479</v>
      </c>
      <c r="C1008" t="s">
        <v>1276</v>
      </c>
      <c r="D1008" t="str">
        <f>HYPERLINK("http://service.sap.com/sap/support/notes/1379268","1379268")</f>
        <v>1379268</v>
      </c>
      <c r="F1008" t="s">
        <v>1277</v>
      </c>
    </row>
    <row r="1009" spans="1:6">
      <c r="A1009" t="s">
        <v>548</v>
      </c>
      <c r="B1009" t="s">
        <v>479</v>
      </c>
      <c r="C1009" t="s">
        <v>1276</v>
      </c>
      <c r="D1009" t="str">
        <f>HYPERLINK("http://service.sap.com/sap/support/notes/1387130","1387130")</f>
        <v>1387130</v>
      </c>
      <c r="F1009" t="s">
        <v>481</v>
      </c>
    </row>
    <row r="1010" spans="1:6">
      <c r="A1010" t="s">
        <v>548</v>
      </c>
      <c r="B1010" t="s">
        <v>479</v>
      </c>
      <c r="C1010" t="s">
        <v>1276</v>
      </c>
      <c r="D1010" t="str">
        <f>HYPERLINK("http://service.sap.com/sap/support/notes/1407263","1407263")</f>
        <v>1407263</v>
      </c>
      <c r="F1010" t="s">
        <v>1278</v>
      </c>
    </row>
    <row r="1011" spans="1:6">
      <c r="A1011" t="s">
        <v>548</v>
      </c>
      <c r="B1011" t="s">
        <v>482</v>
      </c>
      <c r="C1011" t="s">
        <v>483</v>
      </c>
      <c r="D1011" t="str">
        <f>HYPERLINK("http://service.sap.com/sap/support/notes/1371370","1371370")</f>
        <v>1371370</v>
      </c>
      <c r="F1011" t="s">
        <v>1279</v>
      </c>
    </row>
    <row r="1012" spans="1:6">
      <c r="A1012" t="s">
        <v>548</v>
      </c>
      <c r="B1012" t="s">
        <v>482</v>
      </c>
      <c r="C1012" t="s">
        <v>483</v>
      </c>
      <c r="D1012" t="str">
        <f>HYPERLINK("http://service.sap.com/sap/support/notes/1383871","1383871")</f>
        <v>1383871</v>
      </c>
      <c r="F1012" t="s">
        <v>1280</v>
      </c>
    </row>
    <row r="1013" spans="1:6">
      <c r="A1013" t="s">
        <v>548</v>
      </c>
      <c r="B1013" t="s">
        <v>482</v>
      </c>
      <c r="C1013" t="s">
        <v>483</v>
      </c>
      <c r="D1013" t="str">
        <f>HYPERLINK("http://service.sap.com/sap/support/notes/1386704","1386704")</f>
        <v>1386704</v>
      </c>
      <c r="F1013" t="s">
        <v>1281</v>
      </c>
    </row>
    <row r="1014" spans="1:6">
      <c r="A1014" t="s">
        <v>548</v>
      </c>
      <c r="B1014" t="s">
        <v>482</v>
      </c>
      <c r="C1014" t="s">
        <v>483</v>
      </c>
      <c r="D1014" t="str">
        <f>HYPERLINK("http://service.sap.com/sap/support/notes/1400021","1400021")</f>
        <v>1400021</v>
      </c>
      <c r="F1014" t="e">
        <f>-VE kiwi contri. not reported on exception of EMS report</f>
        <v>#NAME?</v>
      </c>
    </row>
    <row r="1015" spans="1:6">
      <c r="A1015" t="s">
        <v>548</v>
      </c>
      <c r="B1015" t="s">
        <v>485</v>
      </c>
      <c r="C1015" t="s">
        <v>486</v>
      </c>
      <c r="D1015" t="str">
        <f>HYPERLINK("http://service.sap.com/sap/support/notes/1394175","1394175")</f>
        <v>1394175</v>
      </c>
      <c r="F1015" t="s">
        <v>1282</v>
      </c>
    </row>
    <row r="1016" spans="1:6">
      <c r="A1016" t="s">
        <v>548</v>
      </c>
      <c r="B1016" t="s">
        <v>492</v>
      </c>
      <c r="C1016" t="s">
        <v>1283</v>
      </c>
      <c r="D1016" t="str">
        <f>HYPERLINK("http://service.sap.com/sap/support/notes/1358533","1358533")</f>
        <v>1358533</v>
      </c>
      <c r="F1016" t="s">
        <v>1284</v>
      </c>
    </row>
    <row r="1017" spans="1:6">
      <c r="A1017" t="s">
        <v>548</v>
      </c>
      <c r="B1017" t="s">
        <v>492</v>
      </c>
      <c r="C1017" t="s">
        <v>1283</v>
      </c>
      <c r="D1017" t="str">
        <f>HYPERLINK("http://service.sap.com/sap/support/notes/1364499","1364499")</f>
        <v>1364499</v>
      </c>
      <c r="F1017" t="s">
        <v>494</v>
      </c>
    </row>
    <row r="1018" spans="1:6">
      <c r="A1018" t="s">
        <v>548</v>
      </c>
      <c r="B1018" t="s">
        <v>492</v>
      </c>
      <c r="C1018" t="s">
        <v>1283</v>
      </c>
      <c r="D1018" t="str">
        <f>HYPERLINK("http://service.sap.com/sap/support/notes/1387907","1387907")</f>
        <v>1387907</v>
      </c>
      <c r="F1018" t="s">
        <v>1285</v>
      </c>
    </row>
    <row r="1019" spans="1:6">
      <c r="A1019" t="s">
        <v>548</v>
      </c>
      <c r="B1019" t="s">
        <v>492</v>
      </c>
      <c r="C1019" t="s">
        <v>1283</v>
      </c>
      <c r="D1019" t="str">
        <f>HYPERLINK("http://service.sap.com/sap/support/notes/1392949","1392949")</f>
        <v>1392949</v>
      </c>
      <c r="F1019" t="s">
        <v>1286</v>
      </c>
    </row>
    <row r="1020" spans="1:6">
      <c r="A1020" t="s">
        <v>548</v>
      </c>
      <c r="B1020" t="s">
        <v>492</v>
      </c>
      <c r="C1020" t="s">
        <v>1283</v>
      </c>
      <c r="D1020" t="str">
        <f>HYPERLINK("http://service.sap.com/sap/support/notes/1394000","1394000")</f>
        <v>1394000</v>
      </c>
      <c r="F1020" t="s">
        <v>497</v>
      </c>
    </row>
    <row r="1021" spans="1:6">
      <c r="A1021" t="s">
        <v>548</v>
      </c>
      <c r="B1021" t="s">
        <v>492</v>
      </c>
      <c r="C1021" t="s">
        <v>1283</v>
      </c>
      <c r="D1021" t="str">
        <f>HYPERLINK("http://service.sap.com/sap/support/notes/1400292","1400292")</f>
        <v>1400292</v>
      </c>
      <c r="F1021" t="s">
        <v>1287</v>
      </c>
    </row>
    <row r="1022" spans="1:6">
      <c r="A1022" t="s">
        <v>548</v>
      </c>
      <c r="B1022" t="s">
        <v>492</v>
      </c>
      <c r="C1022" t="s">
        <v>1283</v>
      </c>
      <c r="D1022" t="str">
        <f>HYPERLINK("http://service.sap.com/sap/support/notes/1400929","1400929")</f>
        <v>1400929</v>
      </c>
      <c r="F1022" t="s">
        <v>1288</v>
      </c>
    </row>
    <row r="1023" spans="1:6">
      <c r="A1023" t="s">
        <v>548</v>
      </c>
      <c r="B1023" t="s">
        <v>492</v>
      </c>
      <c r="C1023" t="s">
        <v>1283</v>
      </c>
      <c r="D1023" t="str">
        <f>HYPERLINK("http://service.sap.com/sap/support/notes/1401307","1401307")</f>
        <v>1401307</v>
      </c>
      <c r="F1023" t="s">
        <v>1289</v>
      </c>
    </row>
    <row r="1024" spans="1:6">
      <c r="A1024" t="s">
        <v>548</v>
      </c>
      <c r="B1024" t="s">
        <v>492</v>
      </c>
      <c r="C1024" t="s">
        <v>1283</v>
      </c>
      <c r="D1024" t="str">
        <f>HYPERLINK("http://service.sap.com/sap/support/notes/1404457","1404457")</f>
        <v>1404457</v>
      </c>
      <c r="F1024" t="s">
        <v>1290</v>
      </c>
    </row>
    <row r="1025" spans="1:6">
      <c r="A1025" t="s">
        <v>548</v>
      </c>
      <c r="B1025" t="s">
        <v>492</v>
      </c>
      <c r="C1025" t="s">
        <v>1283</v>
      </c>
      <c r="D1025" t="str">
        <f>HYPERLINK("http://service.sap.com/sap/support/notes/1405374","1405374")</f>
        <v>1405374</v>
      </c>
      <c r="F1025" t="s">
        <v>1291</v>
      </c>
    </row>
    <row r="1026" spans="1:6">
      <c r="A1026" t="s">
        <v>548</v>
      </c>
      <c r="B1026" t="s">
        <v>492</v>
      </c>
      <c r="C1026" t="s">
        <v>1283</v>
      </c>
      <c r="D1026" t="str">
        <f>HYPERLINK("http://service.sap.com/sap/support/notes/1407630","1407630")</f>
        <v>1407630</v>
      </c>
      <c r="F1026" t="s">
        <v>1292</v>
      </c>
    </row>
    <row r="1027" spans="1:6">
      <c r="A1027" t="s">
        <v>548</v>
      </c>
      <c r="B1027" t="s">
        <v>492</v>
      </c>
      <c r="C1027" t="s">
        <v>1283</v>
      </c>
      <c r="D1027" t="str">
        <f>HYPERLINK("http://service.sap.com/sap/support/notes/1408749","1408749")</f>
        <v>1408749</v>
      </c>
      <c r="F1027" t="s">
        <v>1293</v>
      </c>
    </row>
    <row r="1028" spans="1:6">
      <c r="A1028" t="s">
        <v>548</v>
      </c>
      <c r="B1028" t="s">
        <v>492</v>
      </c>
      <c r="C1028" t="s">
        <v>1283</v>
      </c>
      <c r="D1028" t="str">
        <f>HYPERLINK("http://service.sap.com/sap/support/notes/1409286","1409286")</f>
        <v>1409286</v>
      </c>
      <c r="F1028" t="s">
        <v>1294</v>
      </c>
    </row>
    <row r="1029" spans="1:6">
      <c r="A1029" t="s">
        <v>548</v>
      </c>
      <c r="B1029" t="s">
        <v>492</v>
      </c>
      <c r="C1029" t="s">
        <v>1283</v>
      </c>
      <c r="D1029" t="str">
        <f>HYPERLINK("http://service.sap.com/sap/support/notes/1409862","1409862")</f>
        <v>1409862</v>
      </c>
      <c r="F1029" t="s">
        <v>1295</v>
      </c>
    </row>
    <row r="1030" spans="1:6">
      <c r="A1030" t="s">
        <v>548</v>
      </c>
      <c r="B1030" t="s">
        <v>500</v>
      </c>
      <c r="C1030" t="s">
        <v>501</v>
      </c>
      <c r="D1030" t="str">
        <f>HYPERLINK("http://service.sap.com/sap/support/notes/1174708","1174708")</f>
        <v>1174708</v>
      </c>
      <c r="F1030" t="s">
        <v>502</v>
      </c>
    </row>
    <row r="1031" spans="1:6">
      <c r="A1031" t="s">
        <v>548</v>
      </c>
      <c r="B1031" t="s">
        <v>500</v>
      </c>
      <c r="C1031" t="s">
        <v>501</v>
      </c>
      <c r="D1031" t="str">
        <f>HYPERLINK("http://service.sap.com/sap/support/notes/1394770","1394770")</f>
        <v>1394770</v>
      </c>
      <c r="F1031" t="s">
        <v>1296</v>
      </c>
    </row>
    <row r="1032" spans="1:6">
      <c r="A1032" t="s">
        <v>548</v>
      </c>
      <c r="B1032" t="s">
        <v>500</v>
      </c>
      <c r="C1032" t="s">
        <v>501</v>
      </c>
      <c r="D1032" t="str">
        <f>HYPERLINK("http://service.sap.com/sap/support/notes/1401371","1401371")</f>
        <v>1401371</v>
      </c>
      <c r="F1032" t="s">
        <v>1297</v>
      </c>
    </row>
    <row r="1033" spans="1:6">
      <c r="A1033" t="s">
        <v>548</v>
      </c>
      <c r="B1033" t="s">
        <v>500</v>
      </c>
      <c r="C1033" t="s">
        <v>501</v>
      </c>
      <c r="D1033" t="str">
        <f>HYPERLINK("http://service.sap.com/sap/support/notes/1401681","1401681")</f>
        <v>1401681</v>
      </c>
      <c r="F1033" t="s">
        <v>1298</v>
      </c>
    </row>
    <row r="1034" spans="1:6">
      <c r="A1034" t="s">
        <v>548</v>
      </c>
      <c r="B1034" t="s">
        <v>500</v>
      </c>
      <c r="C1034" t="s">
        <v>501</v>
      </c>
      <c r="D1034" t="str">
        <f>HYPERLINK("http://service.sap.com/sap/support/notes/1401774","1401774")</f>
        <v>1401774</v>
      </c>
      <c r="F1034" t="s">
        <v>1299</v>
      </c>
    </row>
    <row r="1035" spans="1:6">
      <c r="A1035" t="s">
        <v>548</v>
      </c>
      <c r="B1035" t="s">
        <v>500</v>
      </c>
      <c r="C1035" t="s">
        <v>501</v>
      </c>
      <c r="D1035" t="str">
        <f>HYPERLINK("http://service.sap.com/sap/support/notes/1403403","1403403")</f>
        <v>1403403</v>
      </c>
      <c r="F1035" t="s">
        <v>1300</v>
      </c>
    </row>
    <row r="1036" spans="1:6">
      <c r="A1036" t="s">
        <v>548</v>
      </c>
      <c r="B1036" t="s">
        <v>500</v>
      </c>
      <c r="C1036" t="s">
        <v>501</v>
      </c>
      <c r="D1036" t="str">
        <f>HYPERLINK("http://service.sap.com/sap/support/notes/1404068","1404068")</f>
        <v>1404068</v>
      </c>
      <c r="F1036" t="s">
        <v>1301</v>
      </c>
    </row>
    <row r="1037" spans="1:6">
      <c r="A1037" t="s">
        <v>548</v>
      </c>
      <c r="B1037" t="s">
        <v>500</v>
      </c>
      <c r="C1037" t="s">
        <v>501</v>
      </c>
      <c r="D1037" t="str">
        <f>HYPERLINK("http://service.sap.com/sap/support/notes/1404821","1404821")</f>
        <v>1404821</v>
      </c>
      <c r="F1037" t="s">
        <v>1302</v>
      </c>
    </row>
    <row r="1038" spans="1:6">
      <c r="A1038" t="s">
        <v>548</v>
      </c>
      <c r="B1038" t="s">
        <v>500</v>
      </c>
      <c r="C1038" t="s">
        <v>501</v>
      </c>
      <c r="D1038" t="str">
        <f>HYPERLINK("http://service.sap.com/sap/support/notes/1406913","1406913")</f>
        <v>1406913</v>
      </c>
      <c r="F1038" t="s">
        <v>1303</v>
      </c>
    </row>
    <row r="1039" spans="1:6">
      <c r="A1039" t="s">
        <v>548</v>
      </c>
      <c r="B1039" t="s">
        <v>500</v>
      </c>
      <c r="C1039" t="s">
        <v>501</v>
      </c>
      <c r="D1039" t="str">
        <f>HYPERLINK("http://service.sap.com/sap/support/notes/1407379","1407379")</f>
        <v>1407379</v>
      </c>
      <c r="F1039" t="s">
        <v>1304</v>
      </c>
    </row>
    <row r="1040" spans="1:6">
      <c r="A1040" t="s">
        <v>548</v>
      </c>
      <c r="B1040" t="s">
        <v>500</v>
      </c>
      <c r="C1040" t="s">
        <v>501</v>
      </c>
      <c r="D1040" t="str">
        <f>HYPERLINK("http://service.sap.com/sap/support/notes/1408654","1408654")</f>
        <v>1408654</v>
      </c>
      <c r="F1040" t="s">
        <v>1305</v>
      </c>
    </row>
    <row r="1041" spans="1:6">
      <c r="A1041" t="s">
        <v>548</v>
      </c>
      <c r="B1041" t="s">
        <v>500</v>
      </c>
      <c r="C1041" t="s">
        <v>501</v>
      </c>
      <c r="D1041" t="str">
        <f>HYPERLINK("http://service.sap.com/sap/support/notes/1409260","1409260")</f>
        <v>1409260</v>
      </c>
      <c r="F1041" t="s">
        <v>1306</v>
      </c>
    </row>
    <row r="1042" spans="1:6">
      <c r="A1042" t="s">
        <v>548</v>
      </c>
      <c r="B1042" t="s">
        <v>504</v>
      </c>
      <c r="C1042" t="s">
        <v>110</v>
      </c>
      <c r="D1042" t="str">
        <f>HYPERLINK("http://service.sap.com/sap/support/notes/1355701","1355701")</f>
        <v>1355701</v>
      </c>
      <c r="F1042" t="s">
        <v>505</v>
      </c>
    </row>
    <row r="1043" spans="1:6">
      <c r="A1043" t="s">
        <v>548</v>
      </c>
      <c r="B1043" t="s">
        <v>504</v>
      </c>
      <c r="C1043" t="s">
        <v>110</v>
      </c>
      <c r="D1043" t="str">
        <f>HYPERLINK("http://service.sap.com/sap/support/notes/1391016","1391016")</f>
        <v>1391016</v>
      </c>
      <c r="F1043" t="s">
        <v>1307</v>
      </c>
    </row>
    <row r="1044" spans="1:6">
      <c r="A1044" t="s">
        <v>548</v>
      </c>
      <c r="B1044" t="s">
        <v>504</v>
      </c>
      <c r="C1044" t="s">
        <v>110</v>
      </c>
      <c r="D1044" t="str">
        <f>HYPERLINK("http://service.sap.com/sap/support/notes/1396456","1396456")</f>
        <v>1396456</v>
      </c>
      <c r="F1044" t="s">
        <v>1308</v>
      </c>
    </row>
    <row r="1045" spans="1:6">
      <c r="A1045" t="s">
        <v>548</v>
      </c>
      <c r="B1045" t="s">
        <v>504</v>
      </c>
      <c r="C1045" t="s">
        <v>110</v>
      </c>
      <c r="D1045" t="str">
        <f>HYPERLINK("http://service.sap.com/sap/support/notes/1402378","1402378")</f>
        <v>1402378</v>
      </c>
      <c r="F1045" t="s">
        <v>1309</v>
      </c>
    </row>
    <row r="1046" spans="1:6">
      <c r="A1046" t="s">
        <v>548</v>
      </c>
      <c r="B1046" t="s">
        <v>504</v>
      </c>
      <c r="C1046" t="s">
        <v>110</v>
      </c>
      <c r="D1046" t="str">
        <f>HYPERLINK("http://service.sap.com/sap/support/notes/1408071","1408071")</f>
        <v>1408071</v>
      </c>
      <c r="F1046" t="s">
        <v>1310</v>
      </c>
    </row>
    <row r="1047" spans="1:6">
      <c r="A1047" t="s">
        <v>548</v>
      </c>
      <c r="B1047" t="s">
        <v>1311</v>
      </c>
      <c r="C1047" t="s">
        <v>189</v>
      </c>
      <c r="D1047" t="str">
        <f>HYPERLINK("http://service.sap.com/sap/support/notes/1400755","1400755")</f>
        <v>1400755</v>
      </c>
      <c r="F1047" t="s">
        <v>1312</v>
      </c>
    </row>
    <row r="1048" spans="1:6">
      <c r="A1048" t="s">
        <v>548</v>
      </c>
      <c r="B1048" t="s">
        <v>510</v>
      </c>
      <c r="C1048" t="s">
        <v>114</v>
      </c>
      <c r="D1048" t="str">
        <f>HYPERLINK("http://service.sap.com/sap/support/notes/1388093","1388093")</f>
        <v>1388093</v>
      </c>
      <c r="F1048" t="s">
        <v>1313</v>
      </c>
    </row>
    <row r="1049" spans="1:6">
      <c r="A1049" t="s">
        <v>548</v>
      </c>
      <c r="B1049" t="s">
        <v>510</v>
      </c>
      <c r="C1049" t="s">
        <v>114</v>
      </c>
      <c r="D1049" t="str">
        <f>HYPERLINK("http://service.sap.com/sap/support/notes/1402607","1402607")</f>
        <v>1402607</v>
      </c>
      <c r="F1049" t="s">
        <v>1314</v>
      </c>
    </row>
    <row r="1050" spans="1:6">
      <c r="A1050" t="s">
        <v>548</v>
      </c>
      <c r="B1050" t="s">
        <v>513</v>
      </c>
      <c r="C1050" t="s">
        <v>514</v>
      </c>
      <c r="D1050" t="str">
        <f>HYPERLINK("http://service.sap.com/sap/support/notes/1400020","1400020")</f>
        <v>1400020</v>
      </c>
      <c r="F1050" t="s">
        <v>1315</v>
      </c>
    </row>
    <row r="1051" spans="1:6">
      <c r="A1051" t="s">
        <v>548</v>
      </c>
      <c r="B1051" t="s">
        <v>513</v>
      </c>
      <c r="C1051" t="s">
        <v>514</v>
      </c>
      <c r="D1051" t="str">
        <f>HYPERLINK("http://service.sap.com/sap/support/notes/1409588","1409588")</f>
        <v>1409588</v>
      </c>
      <c r="F1051" t="s">
        <v>1316</v>
      </c>
    </row>
    <row r="1052" spans="1:6">
      <c r="A1052" t="s">
        <v>548</v>
      </c>
      <c r="B1052" t="s">
        <v>519</v>
      </c>
      <c r="C1052" t="s">
        <v>117</v>
      </c>
      <c r="D1052" t="str">
        <f>HYPERLINK("http://service.sap.com/sap/support/notes/1353169","1353169")</f>
        <v>1353169</v>
      </c>
      <c r="F1052" t="s">
        <v>1317</v>
      </c>
    </row>
    <row r="1053" spans="1:6">
      <c r="A1053" t="s">
        <v>548</v>
      </c>
      <c r="B1053" t="s">
        <v>519</v>
      </c>
      <c r="C1053" t="s">
        <v>117</v>
      </c>
      <c r="D1053" t="str">
        <f>HYPERLINK("http://service.sap.com/sap/support/notes/1384163","1384163")</f>
        <v>1384163</v>
      </c>
      <c r="F1053" t="s">
        <v>1318</v>
      </c>
    </row>
    <row r="1054" spans="1:6">
      <c r="A1054" t="s">
        <v>548</v>
      </c>
      <c r="B1054" t="s">
        <v>519</v>
      </c>
      <c r="C1054" t="s">
        <v>117</v>
      </c>
      <c r="D1054" t="str">
        <f>HYPERLINK("http://service.sap.com/sap/support/notes/1409988","1409988")</f>
        <v>1409988</v>
      </c>
      <c r="F1054" t="s">
        <v>1319</v>
      </c>
    </row>
    <row r="1055" spans="1:6">
      <c r="A1055" t="s">
        <v>548</v>
      </c>
      <c r="B1055" t="s">
        <v>1320</v>
      </c>
      <c r="C1055" t="s">
        <v>1321</v>
      </c>
      <c r="D1055" t="str">
        <f>HYPERLINK("http://service.sap.com/sap/support/notes/1406320","1406320")</f>
        <v>1406320</v>
      </c>
      <c r="F1055" t="s">
        <v>1322</v>
      </c>
    </row>
    <row r="1056" spans="1:6">
      <c r="A1056" t="s">
        <v>548</v>
      </c>
      <c r="B1056" t="s">
        <v>520</v>
      </c>
    </row>
    <row r="1057" spans="1:6">
      <c r="A1057" t="s">
        <v>548</v>
      </c>
      <c r="B1057" t="s">
        <v>521</v>
      </c>
      <c r="C1057" t="s">
        <v>522</v>
      </c>
      <c r="D1057" t="str">
        <f>HYPERLINK("http://service.sap.com/sap/support/notes/1386508","1386508")</f>
        <v>1386508</v>
      </c>
      <c r="F1057" t="s">
        <v>1323</v>
      </c>
    </row>
    <row r="1058" spans="1:6">
      <c r="A1058" t="s">
        <v>548</v>
      </c>
      <c r="B1058" t="s">
        <v>1324</v>
      </c>
      <c r="C1058" t="s">
        <v>189</v>
      </c>
      <c r="D1058" t="str">
        <f>HYPERLINK("http://service.sap.com/sap/support/notes/1403070","1403070")</f>
        <v>1403070</v>
      </c>
      <c r="F1058" t="s">
        <v>1325</v>
      </c>
    </row>
    <row r="1059" spans="1:6">
      <c r="A1059" t="s">
        <v>548</v>
      </c>
      <c r="B1059" t="s">
        <v>1324</v>
      </c>
      <c r="C1059" t="s">
        <v>189</v>
      </c>
      <c r="D1059" t="str">
        <f>HYPERLINK("http://service.sap.com/sap/support/notes/1407872","1407872")</f>
        <v>1407872</v>
      </c>
      <c r="F1059" t="s">
        <v>1326</v>
      </c>
    </row>
    <row r="1060" spans="1:6">
      <c r="A1060" t="s">
        <v>548</v>
      </c>
      <c r="B1060" t="s">
        <v>525</v>
      </c>
      <c r="C1060" t="s">
        <v>208</v>
      </c>
      <c r="D1060" t="str">
        <f>HYPERLINK("http://service.sap.com/sap/support/notes/1287907","1287907")</f>
        <v>1287907</v>
      </c>
      <c r="F1060" t="s">
        <v>1327</v>
      </c>
    </row>
    <row r="1061" spans="1:6">
      <c r="A1061" t="s">
        <v>548</v>
      </c>
      <c r="B1061" t="s">
        <v>525</v>
      </c>
      <c r="C1061" t="s">
        <v>208</v>
      </c>
      <c r="D1061" t="str">
        <f>HYPERLINK("http://service.sap.com/sap/support/notes/1335914","1335914")</f>
        <v>1335914</v>
      </c>
      <c r="F1061" t="s">
        <v>1328</v>
      </c>
    </row>
    <row r="1062" spans="1:6">
      <c r="A1062" t="s">
        <v>548</v>
      </c>
      <c r="B1062" t="s">
        <v>525</v>
      </c>
      <c r="C1062" t="s">
        <v>208</v>
      </c>
      <c r="D1062" t="str">
        <f>HYPERLINK("http://service.sap.com/sap/support/notes/1388483","1388483")</f>
        <v>1388483</v>
      </c>
      <c r="F1062" t="s">
        <v>1329</v>
      </c>
    </row>
    <row r="1063" spans="1:6">
      <c r="A1063" t="s">
        <v>548</v>
      </c>
      <c r="B1063" t="s">
        <v>525</v>
      </c>
      <c r="C1063" t="s">
        <v>208</v>
      </c>
      <c r="D1063" t="str">
        <f>HYPERLINK("http://service.sap.com/sap/support/notes/1400053","1400053")</f>
        <v>1400053</v>
      </c>
      <c r="F1063" t="s">
        <v>1330</v>
      </c>
    </row>
    <row r="1064" spans="1:6">
      <c r="A1064" t="s">
        <v>548</v>
      </c>
      <c r="B1064" t="s">
        <v>1331</v>
      </c>
      <c r="C1064" t="s">
        <v>1004</v>
      </c>
      <c r="D1064" t="str">
        <f>HYPERLINK("http://service.sap.com/sap/support/notes/1337703","1337703")</f>
        <v>1337703</v>
      </c>
      <c r="F1064" t="s">
        <v>1332</v>
      </c>
    </row>
    <row r="1065" spans="1:6">
      <c r="A1065" t="s">
        <v>548</v>
      </c>
      <c r="B1065" t="s">
        <v>1331</v>
      </c>
      <c r="C1065" t="s">
        <v>1004</v>
      </c>
      <c r="D1065" t="str">
        <f>HYPERLINK("http://service.sap.com/sap/support/notes/1347892","1347892")</f>
        <v>1347892</v>
      </c>
      <c r="F1065" t="s">
        <v>1333</v>
      </c>
    </row>
    <row r="1066" spans="1:6">
      <c r="A1066" t="s">
        <v>548</v>
      </c>
      <c r="B1066" t="s">
        <v>1331</v>
      </c>
      <c r="C1066" t="s">
        <v>1004</v>
      </c>
      <c r="D1066" t="str">
        <f>HYPERLINK("http://service.sap.com/sap/support/notes/1356700","1356700")</f>
        <v>1356700</v>
      </c>
      <c r="F1066" t="s">
        <v>1334</v>
      </c>
    </row>
    <row r="1067" spans="1:6">
      <c r="A1067" t="s">
        <v>548</v>
      </c>
      <c r="B1067" t="s">
        <v>1331</v>
      </c>
      <c r="C1067" t="s">
        <v>1004</v>
      </c>
      <c r="D1067" t="str">
        <f>HYPERLINK("http://service.sap.com/sap/support/notes/1369008","1369008")</f>
        <v>1369008</v>
      </c>
      <c r="F1067" t="s">
        <v>1335</v>
      </c>
    </row>
    <row r="1068" spans="1:6">
      <c r="A1068" t="s">
        <v>548</v>
      </c>
      <c r="B1068" t="s">
        <v>1331</v>
      </c>
      <c r="C1068" t="s">
        <v>1004</v>
      </c>
      <c r="D1068" t="str">
        <f>HYPERLINK("http://service.sap.com/sap/support/notes/1372001","1372001")</f>
        <v>1372001</v>
      </c>
      <c r="F1068" t="s">
        <v>1336</v>
      </c>
    </row>
    <row r="1069" spans="1:6">
      <c r="A1069" t="s">
        <v>548</v>
      </c>
      <c r="B1069" t="s">
        <v>1331</v>
      </c>
      <c r="C1069" t="s">
        <v>1004</v>
      </c>
      <c r="D1069" t="str">
        <f>HYPERLINK("http://service.sap.com/sap/support/notes/1378640","1378640")</f>
        <v>1378640</v>
      </c>
      <c r="F1069" t="s">
        <v>1337</v>
      </c>
    </row>
    <row r="1070" spans="1:6">
      <c r="A1070" t="s">
        <v>548</v>
      </c>
      <c r="B1070" t="s">
        <v>1331</v>
      </c>
      <c r="C1070" t="s">
        <v>1004</v>
      </c>
      <c r="D1070" t="str">
        <f>HYPERLINK("http://service.sap.com/sap/support/notes/1384154","1384154")</f>
        <v>1384154</v>
      </c>
      <c r="F1070" t="s">
        <v>1338</v>
      </c>
    </row>
    <row r="1071" spans="1:6">
      <c r="A1071" t="s">
        <v>548</v>
      </c>
      <c r="B1071" t="s">
        <v>1331</v>
      </c>
      <c r="C1071" t="s">
        <v>1004</v>
      </c>
      <c r="D1071" t="str">
        <f>HYPERLINK("http://service.sap.com/sap/support/notes/1387431","1387431")</f>
        <v>1387431</v>
      </c>
      <c r="F1071" t="s">
        <v>1339</v>
      </c>
    </row>
    <row r="1072" spans="1:6">
      <c r="A1072" t="s">
        <v>548</v>
      </c>
      <c r="B1072" t="s">
        <v>1331</v>
      </c>
      <c r="C1072" t="s">
        <v>1004</v>
      </c>
      <c r="D1072" t="str">
        <f>HYPERLINK("http://service.sap.com/sap/support/notes/1397204","1397204")</f>
        <v>1397204</v>
      </c>
      <c r="F1072" t="s">
        <v>1340</v>
      </c>
    </row>
    <row r="1073" spans="1:6">
      <c r="A1073" t="s">
        <v>548</v>
      </c>
      <c r="B1073" t="s">
        <v>1331</v>
      </c>
      <c r="C1073" t="s">
        <v>1004</v>
      </c>
      <c r="D1073" t="str">
        <f>HYPERLINK("http://service.sap.com/sap/support/notes/1401193","1401193")</f>
        <v>1401193</v>
      </c>
      <c r="F1073" t="s">
        <v>1341</v>
      </c>
    </row>
    <row r="1074" spans="1:6">
      <c r="A1074" t="s">
        <v>548</v>
      </c>
      <c r="B1074" t="s">
        <v>1331</v>
      </c>
      <c r="C1074" t="s">
        <v>1004</v>
      </c>
      <c r="D1074" t="str">
        <f>HYPERLINK("http://service.sap.com/sap/support/notes/1403121","1403121")</f>
        <v>1403121</v>
      </c>
      <c r="F1074" t="s">
        <v>1342</v>
      </c>
    </row>
    <row r="1075" spans="1:6">
      <c r="A1075" t="s">
        <v>548</v>
      </c>
      <c r="B1075" t="s">
        <v>529</v>
      </c>
      <c r="C1075" t="s">
        <v>530</v>
      </c>
      <c r="D1075" t="str">
        <f>HYPERLINK("http://service.sap.com/sap/support/notes/1075039","1075039")</f>
        <v>1075039</v>
      </c>
      <c r="F1075" t="s">
        <v>531</v>
      </c>
    </row>
    <row r="1076" spans="1:6">
      <c r="A1076" t="s">
        <v>548</v>
      </c>
      <c r="B1076" t="s">
        <v>529</v>
      </c>
      <c r="C1076" t="s">
        <v>530</v>
      </c>
      <c r="D1076" t="str">
        <f>HYPERLINK("http://service.sap.com/sap/support/notes/1392960","1392960")</f>
        <v>1392960</v>
      </c>
      <c r="F1076" t="s">
        <v>1343</v>
      </c>
    </row>
    <row r="1077" spans="1:6">
      <c r="A1077" t="s">
        <v>548</v>
      </c>
      <c r="B1077" t="s">
        <v>533</v>
      </c>
      <c r="C1077" t="s">
        <v>534</v>
      </c>
      <c r="D1077" t="str">
        <f>HYPERLINK("http://service.sap.com/sap/support/notes/1396690","1396690")</f>
        <v>1396690</v>
      </c>
      <c r="F1077" t="s">
        <v>1344</v>
      </c>
    </row>
    <row r="1078" spans="1:6">
      <c r="A1078" t="s">
        <v>548</v>
      </c>
      <c r="B1078" t="s">
        <v>533</v>
      </c>
      <c r="C1078" t="s">
        <v>534</v>
      </c>
      <c r="D1078" t="str">
        <f>HYPERLINK("http://service.sap.com/sap/support/notes/1402100","1402100")</f>
        <v>1402100</v>
      </c>
      <c r="F1078" t="s">
        <v>1345</v>
      </c>
    </row>
    <row r="1079" spans="1:6">
      <c r="A1079" t="s">
        <v>548</v>
      </c>
      <c r="B1079" t="s">
        <v>537</v>
      </c>
      <c r="C1079" t="s">
        <v>538</v>
      </c>
      <c r="D1079" t="str">
        <f>HYPERLINK("http://service.sap.com/sap/support/notes/907149","907149")</f>
        <v>907149</v>
      </c>
      <c r="F1079" t="s">
        <v>1346</v>
      </c>
    </row>
    <row r="1080" spans="1:6">
      <c r="A1080" t="s">
        <v>548</v>
      </c>
      <c r="B1080" t="s">
        <v>537</v>
      </c>
      <c r="C1080" t="s">
        <v>538</v>
      </c>
      <c r="D1080" t="str">
        <f>HYPERLINK("http://service.sap.com/sap/support/notes/1400561","1400561")</f>
        <v>1400561</v>
      </c>
      <c r="F1080" t="s">
        <v>1347</v>
      </c>
    </row>
    <row r="1081" spans="1:6">
      <c r="A1081" t="s">
        <v>548</v>
      </c>
      <c r="B1081" t="s">
        <v>541</v>
      </c>
      <c r="C1081" t="s">
        <v>126</v>
      </c>
      <c r="D1081" t="str">
        <f>HYPERLINK("http://service.sap.com/sap/support/notes/1345677","1345677")</f>
        <v>1345677</v>
      </c>
      <c r="F1081" t="s">
        <v>1348</v>
      </c>
    </row>
    <row r="1082" spans="1:6">
      <c r="A1082" t="s">
        <v>548</v>
      </c>
      <c r="B1082" t="s">
        <v>541</v>
      </c>
      <c r="C1082" t="s">
        <v>126</v>
      </c>
      <c r="D1082" t="str">
        <f>HYPERLINK("http://service.sap.com/sap/support/notes/1387607","1387607")</f>
        <v>1387607</v>
      </c>
      <c r="F1082" t="s">
        <v>543</v>
      </c>
    </row>
    <row r="1083" spans="1:6">
      <c r="A1083" t="s">
        <v>548</v>
      </c>
      <c r="B1083" t="s">
        <v>541</v>
      </c>
      <c r="C1083" t="s">
        <v>126</v>
      </c>
      <c r="D1083" t="str">
        <f>HYPERLINK("http://service.sap.com/sap/support/notes/1389760","1389760")</f>
        <v>1389760</v>
      </c>
      <c r="F1083" t="s">
        <v>1349</v>
      </c>
    </row>
    <row r="1084" spans="1:6">
      <c r="A1084" t="s">
        <v>548</v>
      </c>
      <c r="B1084" t="s">
        <v>541</v>
      </c>
      <c r="C1084" t="s">
        <v>126</v>
      </c>
      <c r="D1084" t="str">
        <f>HYPERLINK("http://service.sap.com/sap/support/notes/1398618","1398618")</f>
        <v>1398618</v>
      </c>
      <c r="F1084" t="s">
        <v>1350</v>
      </c>
    </row>
    <row r="1085" spans="1:6">
      <c r="A1085" t="s">
        <v>548</v>
      </c>
      <c r="B1085" t="s">
        <v>1351</v>
      </c>
      <c r="C1085" t="s">
        <v>632</v>
      </c>
      <c r="D1085" t="str">
        <f>HYPERLINK("http://service.sap.com/sap/support/notes/1357313","1357313")</f>
        <v>1357313</v>
      </c>
      <c r="F1085" t="s">
        <v>1352</v>
      </c>
    </row>
    <row r="1086" spans="1:6">
      <c r="A1086" t="s">
        <v>548</v>
      </c>
      <c r="B1086" t="s">
        <v>1351</v>
      </c>
      <c r="C1086" t="s">
        <v>632</v>
      </c>
      <c r="D1086" t="str">
        <f>HYPERLINK("http://service.sap.com/sap/support/notes/1364320","1364320")</f>
        <v>1364320</v>
      </c>
      <c r="F1086" t="s">
        <v>1353</v>
      </c>
    </row>
    <row r="1087" spans="1:6">
      <c r="A1087" t="s">
        <v>548</v>
      </c>
      <c r="B1087" t="s">
        <v>1351</v>
      </c>
      <c r="C1087" t="s">
        <v>632</v>
      </c>
      <c r="D1087" t="str">
        <f>HYPERLINK("http://service.sap.com/sap/support/notes/1367420","1367420")</f>
        <v>1367420</v>
      </c>
      <c r="F1087" t="s">
        <v>1354</v>
      </c>
    </row>
    <row r="1088" spans="1:6">
      <c r="A1088" t="s">
        <v>548</v>
      </c>
      <c r="B1088" t="s">
        <v>1351</v>
      </c>
      <c r="C1088" t="s">
        <v>632</v>
      </c>
      <c r="D1088" t="str">
        <f>HYPERLINK("http://service.sap.com/sap/support/notes/1383657","1383657")</f>
        <v>1383657</v>
      </c>
      <c r="F1088" t="s">
        <v>1355</v>
      </c>
    </row>
    <row r="1089" spans="1:6">
      <c r="A1089" t="s">
        <v>548</v>
      </c>
      <c r="B1089" t="s">
        <v>1351</v>
      </c>
      <c r="C1089" t="s">
        <v>632</v>
      </c>
      <c r="D1089" t="str">
        <f>HYPERLINK("http://service.sap.com/sap/support/notes/1390166","1390166")</f>
        <v>1390166</v>
      </c>
      <c r="F1089" t="s">
        <v>1356</v>
      </c>
    </row>
    <row r="1090" spans="1:6">
      <c r="A1090" t="s">
        <v>548</v>
      </c>
      <c r="B1090" t="s">
        <v>1351</v>
      </c>
      <c r="C1090" t="s">
        <v>632</v>
      </c>
      <c r="D1090" t="str">
        <f>HYPERLINK("http://service.sap.com/sap/support/notes/1390729","1390729")</f>
        <v>1390729</v>
      </c>
      <c r="F1090" t="s">
        <v>1357</v>
      </c>
    </row>
    <row r="1091" spans="1:6">
      <c r="A1091" t="s">
        <v>548</v>
      </c>
      <c r="B1091" t="s">
        <v>1351</v>
      </c>
      <c r="C1091" t="s">
        <v>632</v>
      </c>
      <c r="D1091" t="str">
        <f>HYPERLINK("http://service.sap.com/sap/support/notes/1398524","1398524")</f>
        <v>1398524</v>
      </c>
      <c r="F1091" t="s">
        <v>1358</v>
      </c>
    </row>
    <row r="1092" spans="1:6">
      <c r="A1092" t="s">
        <v>548</v>
      </c>
      <c r="B1092" t="s">
        <v>1359</v>
      </c>
      <c r="C1092" t="s">
        <v>1360</v>
      </c>
      <c r="D1092" t="str">
        <f>HYPERLINK("http://service.sap.com/sap/support/notes/1380094","1380094")</f>
        <v>1380094</v>
      </c>
      <c r="F1092" t="s">
        <v>1361</v>
      </c>
    </row>
    <row r="1093" spans="1:6">
      <c r="A1093" t="s">
        <v>548</v>
      </c>
      <c r="B1093" t="s">
        <v>1359</v>
      </c>
      <c r="C1093" t="s">
        <v>1360</v>
      </c>
      <c r="D1093" t="str">
        <f>HYPERLINK("http://service.sap.com/sap/support/notes/1385483","1385483")</f>
        <v>1385483</v>
      </c>
      <c r="F1093" t="s">
        <v>1362</v>
      </c>
    </row>
    <row r="1094" spans="1:6">
      <c r="A1094" t="s">
        <v>548</v>
      </c>
      <c r="B1094" t="s">
        <v>1359</v>
      </c>
      <c r="C1094" t="s">
        <v>1360</v>
      </c>
      <c r="D1094" t="str">
        <f>HYPERLINK("http://service.sap.com/sap/support/notes/1400625","1400625")</f>
        <v>1400625</v>
      </c>
      <c r="F1094" t="s">
        <v>1363</v>
      </c>
    </row>
    <row r="1095" spans="1:6">
      <c r="A1095" t="s">
        <v>548</v>
      </c>
      <c r="B1095" t="s">
        <v>1364</v>
      </c>
      <c r="C1095" t="s">
        <v>1365</v>
      </c>
      <c r="D1095" t="str">
        <f>HYPERLINK("http://service.sap.com/sap/support/notes/1290427","1290427")</f>
        <v>1290427</v>
      </c>
      <c r="F1095" t="s">
        <v>1366</v>
      </c>
    </row>
    <row r="1096" spans="1:6">
      <c r="A1096" t="s">
        <v>548</v>
      </c>
      <c r="B1096" t="s">
        <v>1364</v>
      </c>
      <c r="C1096" t="s">
        <v>1365</v>
      </c>
      <c r="D1096" t="str">
        <f>HYPERLINK("http://service.sap.com/sap/support/notes/1296801","1296801")</f>
        <v>1296801</v>
      </c>
      <c r="F1096" t="s">
        <v>1367</v>
      </c>
    </row>
    <row r="1097" spans="1:6">
      <c r="A1097" t="s">
        <v>548</v>
      </c>
      <c r="B1097" t="s">
        <v>1364</v>
      </c>
      <c r="C1097" t="s">
        <v>1365</v>
      </c>
      <c r="D1097" t="str">
        <f>HYPERLINK("http://service.sap.com/sap/support/notes/1305980","1305980")</f>
        <v>1305980</v>
      </c>
      <c r="F1097" t="s">
        <v>1368</v>
      </c>
    </row>
    <row r="1098" spans="1:6">
      <c r="A1098" t="s">
        <v>548</v>
      </c>
      <c r="B1098" t="s">
        <v>1364</v>
      </c>
      <c r="C1098" t="s">
        <v>1365</v>
      </c>
      <c r="D1098" t="str">
        <f>HYPERLINK("http://service.sap.com/sap/support/notes/1345540","1345540")</f>
        <v>1345540</v>
      </c>
      <c r="F1098" t="s">
        <v>1369</v>
      </c>
    </row>
    <row r="1099" spans="1:6">
      <c r="A1099" t="s">
        <v>548</v>
      </c>
      <c r="B1099" t="s">
        <v>1364</v>
      </c>
      <c r="C1099" t="s">
        <v>1365</v>
      </c>
      <c r="D1099" t="str">
        <f>HYPERLINK("http://service.sap.com/sap/support/notes/1348045","1348045")</f>
        <v>1348045</v>
      </c>
      <c r="F1099" t="s">
        <v>1370</v>
      </c>
    </row>
    <row r="1100" spans="1:6">
      <c r="A1100" t="s">
        <v>548</v>
      </c>
      <c r="B1100" t="s">
        <v>1364</v>
      </c>
      <c r="C1100" t="s">
        <v>1365</v>
      </c>
      <c r="D1100" t="str">
        <f>HYPERLINK("http://service.sap.com/sap/support/notes/1351527","1351527")</f>
        <v>1351527</v>
      </c>
      <c r="F1100" t="s">
        <v>1371</v>
      </c>
    </row>
    <row r="1101" spans="1:6">
      <c r="A1101" t="s">
        <v>548</v>
      </c>
      <c r="B1101" t="s">
        <v>1364</v>
      </c>
      <c r="C1101" t="s">
        <v>1365</v>
      </c>
      <c r="D1101" t="str">
        <f>HYPERLINK("http://service.sap.com/sap/support/notes/1357801","1357801")</f>
        <v>1357801</v>
      </c>
      <c r="F1101" t="s">
        <v>1372</v>
      </c>
    </row>
    <row r="1102" spans="1:6">
      <c r="A1102" t="s">
        <v>548</v>
      </c>
      <c r="B1102" t="s">
        <v>1364</v>
      </c>
      <c r="C1102" t="s">
        <v>1365</v>
      </c>
      <c r="D1102" t="str">
        <f>HYPERLINK("http://service.sap.com/sap/support/notes/1359739","1359739")</f>
        <v>1359739</v>
      </c>
      <c r="F1102" t="s">
        <v>1373</v>
      </c>
    </row>
    <row r="1103" spans="1:6">
      <c r="A1103" t="s">
        <v>548</v>
      </c>
      <c r="B1103" t="s">
        <v>1364</v>
      </c>
      <c r="C1103" t="s">
        <v>1365</v>
      </c>
      <c r="D1103" t="str">
        <f>HYPERLINK("http://service.sap.com/sap/support/notes/1360272","1360272")</f>
        <v>1360272</v>
      </c>
      <c r="F1103" t="s">
        <v>1374</v>
      </c>
    </row>
    <row r="1104" spans="1:6">
      <c r="A1104" t="s">
        <v>548</v>
      </c>
      <c r="B1104" t="s">
        <v>1364</v>
      </c>
      <c r="C1104" t="s">
        <v>1365</v>
      </c>
      <c r="D1104" t="str">
        <f>HYPERLINK("http://service.sap.com/sap/support/notes/1361845","1361845")</f>
        <v>1361845</v>
      </c>
      <c r="F1104" t="s">
        <v>1375</v>
      </c>
    </row>
    <row r="1105" spans="1:6">
      <c r="A1105" t="s">
        <v>548</v>
      </c>
      <c r="B1105" t="s">
        <v>1364</v>
      </c>
      <c r="C1105" t="s">
        <v>1365</v>
      </c>
      <c r="D1105" t="str">
        <f>HYPERLINK("http://service.sap.com/sap/support/notes/1364092","1364092")</f>
        <v>1364092</v>
      </c>
      <c r="F1105" t="s">
        <v>1376</v>
      </c>
    </row>
    <row r="1106" spans="1:6">
      <c r="A1106" t="s">
        <v>548</v>
      </c>
      <c r="B1106" t="s">
        <v>1364</v>
      </c>
      <c r="C1106" t="s">
        <v>1365</v>
      </c>
      <c r="D1106" t="str">
        <f>HYPERLINK("http://service.sap.com/sap/support/notes/1364146","1364146")</f>
        <v>1364146</v>
      </c>
      <c r="F1106" t="s">
        <v>1377</v>
      </c>
    </row>
    <row r="1107" spans="1:6">
      <c r="A1107" t="s">
        <v>548</v>
      </c>
      <c r="B1107" t="s">
        <v>1364</v>
      </c>
      <c r="C1107" t="s">
        <v>1365</v>
      </c>
      <c r="D1107" t="str">
        <f>HYPERLINK("http://service.sap.com/sap/support/notes/1365700","1365700")</f>
        <v>1365700</v>
      </c>
      <c r="F1107" t="s">
        <v>1378</v>
      </c>
    </row>
    <row r="1108" spans="1:6">
      <c r="A1108" t="s">
        <v>548</v>
      </c>
      <c r="B1108" t="s">
        <v>1364</v>
      </c>
      <c r="C1108" t="s">
        <v>1365</v>
      </c>
      <c r="D1108" t="str">
        <f>HYPERLINK("http://service.sap.com/sap/support/notes/1370452","1370452")</f>
        <v>1370452</v>
      </c>
      <c r="F1108" t="s">
        <v>1379</v>
      </c>
    </row>
    <row r="1109" spans="1:6">
      <c r="A1109" t="s">
        <v>548</v>
      </c>
      <c r="B1109" t="s">
        <v>1364</v>
      </c>
      <c r="C1109" t="s">
        <v>1365</v>
      </c>
      <c r="D1109" t="str">
        <f>HYPERLINK("http://service.sap.com/sap/support/notes/1374714","1374714")</f>
        <v>1374714</v>
      </c>
      <c r="F1109" t="s">
        <v>1380</v>
      </c>
    </row>
    <row r="1110" spans="1:6">
      <c r="A1110" t="s">
        <v>548</v>
      </c>
      <c r="B1110" t="s">
        <v>1364</v>
      </c>
      <c r="C1110" t="s">
        <v>1365</v>
      </c>
      <c r="D1110" t="str">
        <f>HYPERLINK("http://service.sap.com/sap/support/notes/1376278","1376278")</f>
        <v>1376278</v>
      </c>
      <c r="F1110" t="s">
        <v>1381</v>
      </c>
    </row>
    <row r="1111" spans="1:6">
      <c r="A1111" t="s">
        <v>548</v>
      </c>
      <c r="B1111" t="s">
        <v>1364</v>
      </c>
      <c r="C1111" t="s">
        <v>1365</v>
      </c>
      <c r="D1111" t="str">
        <f>HYPERLINK("http://service.sap.com/sap/support/notes/1377625","1377625")</f>
        <v>1377625</v>
      </c>
      <c r="F1111" t="s">
        <v>1382</v>
      </c>
    </row>
    <row r="1112" spans="1:6">
      <c r="A1112" t="s">
        <v>548</v>
      </c>
      <c r="B1112" t="s">
        <v>1364</v>
      </c>
      <c r="C1112" t="s">
        <v>1365</v>
      </c>
      <c r="D1112" t="str">
        <f>HYPERLINK("http://service.sap.com/sap/support/notes/1379339","1379339")</f>
        <v>1379339</v>
      </c>
      <c r="F1112" t="s">
        <v>1383</v>
      </c>
    </row>
    <row r="1113" spans="1:6">
      <c r="A1113" t="s">
        <v>548</v>
      </c>
      <c r="B1113" t="s">
        <v>1364</v>
      </c>
      <c r="C1113" t="s">
        <v>1365</v>
      </c>
      <c r="D1113" t="str">
        <f>HYPERLINK("http://service.sap.com/sap/support/notes/1387361","1387361")</f>
        <v>1387361</v>
      </c>
      <c r="F1113" t="s">
        <v>1384</v>
      </c>
    </row>
    <row r="1114" spans="1:6">
      <c r="A1114" t="s">
        <v>548</v>
      </c>
      <c r="B1114" t="s">
        <v>1364</v>
      </c>
      <c r="C1114" t="s">
        <v>1365</v>
      </c>
      <c r="D1114" t="str">
        <f>HYPERLINK("http://service.sap.com/sap/support/notes/1389271","1389271")</f>
        <v>1389271</v>
      </c>
      <c r="F1114" t="s">
        <v>1385</v>
      </c>
    </row>
    <row r="1115" spans="1:6">
      <c r="A1115" t="s">
        <v>548</v>
      </c>
      <c r="B1115" t="s">
        <v>1364</v>
      </c>
      <c r="C1115" t="s">
        <v>1365</v>
      </c>
      <c r="D1115" t="str">
        <f>HYPERLINK("http://service.sap.com/sap/support/notes/1393753","1393753")</f>
        <v>1393753</v>
      </c>
      <c r="F1115" t="s">
        <v>1386</v>
      </c>
    </row>
    <row r="1116" spans="1:6">
      <c r="A1116" t="s">
        <v>548</v>
      </c>
      <c r="B1116" t="s">
        <v>1364</v>
      </c>
      <c r="C1116" t="s">
        <v>1365</v>
      </c>
      <c r="D1116" t="str">
        <f>HYPERLINK("http://service.sap.com/sap/support/notes/1398881","1398881")</f>
        <v>1398881</v>
      </c>
      <c r="F1116" t="s">
        <v>1387</v>
      </c>
    </row>
    <row r="1117" spans="1:6">
      <c r="A1117" t="s">
        <v>548</v>
      </c>
      <c r="B1117" t="s">
        <v>1364</v>
      </c>
      <c r="C1117" t="s">
        <v>1365</v>
      </c>
      <c r="D1117" t="str">
        <f>HYPERLINK("http://service.sap.com/sap/support/notes/1404554","1404554")</f>
        <v>1404554</v>
      </c>
      <c r="F1117" t="s">
        <v>1388</v>
      </c>
    </row>
    <row r="1118" spans="1:6">
      <c r="A1118" t="s">
        <v>548</v>
      </c>
      <c r="B1118" t="s">
        <v>1364</v>
      </c>
      <c r="C1118" t="s">
        <v>1365</v>
      </c>
      <c r="D1118" t="str">
        <f>HYPERLINK("http://service.sap.com/sap/support/notes/1404605","1404605")</f>
        <v>1404605</v>
      </c>
      <c r="F1118" t="s">
        <v>1389</v>
      </c>
    </row>
    <row r="1119" spans="1:6">
      <c r="A1119" t="s">
        <v>548</v>
      </c>
      <c r="B1119" t="s">
        <v>1364</v>
      </c>
      <c r="C1119" t="s">
        <v>1365</v>
      </c>
      <c r="D1119" t="str">
        <f>HYPERLINK("http://service.sap.com/sap/support/notes/1409018","1409018")</f>
        <v>1409018</v>
      </c>
      <c r="F1119" t="s">
        <v>1390</v>
      </c>
    </row>
    <row r="1120" spans="1:6">
      <c r="A1120" t="s">
        <v>548</v>
      </c>
      <c r="B1120" t="s">
        <v>1364</v>
      </c>
      <c r="C1120" t="s">
        <v>1365</v>
      </c>
      <c r="D1120" t="str">
        <f>HYPERLINK("http://service.sap.com/sap/support/notes/1409199","1409199")</f>
        <v>1409199</v>
      </c>
      <c r="F1120" t="s">
        <v>1391</v>
      </c>
    </row>
    <row r="1121" spans="1:6">
      <c r="A1121" t="s">
        <v>548</v>
      </c>
      <c r="B1121" t="s">
        <v>1392</v>
      </c>
      <c r="C1121" t="s">
        <v>1393</v>
      </c>
      <c r="D1121" t="str">
        <f>HYPERLINK("http://service.sap.com/sap/support/notes/1371134","1371134")</f>
        <v>1371134</v>
      </c>
      <c r="F1121" t="s">
        <v>1394</v>
      </c>
    </row>
    <row r="1122" spans="1:6">
      <c r="A1122" t="s">
        <v>548</v>
      </c>
      <c r="B1122" t="s">
        <v>1395</v>
      </c>
      <c r="C1122" t="s">
        <v>1396</v>
      </c>
      <c r="D1122" t="str">
        <f>HYPERLINK("http://service.sap.com/sap/support/notes/1245590","1245590")</f>
        <v>1245590</v>
      </c>
      <c r="F1122" t="s">
        <v>1397</v>
      </c>
    </row>
    <row r="1123" spans="1:6">
      <c r="A1123" t="s">
        <v>548</v>
      </c>
      <c r="B1123" t="s">
        <v>1398</v>
      </c>
      <c r="C1123" t="s">
        <v>987</v>
      </c>
      <c r="D1123" t="str">
        <f>HYPERLINK("http://service.sap.com/sap/support/notes/1376157","1376157")</f>
        <v>1376157</v>
      </c>
      <c r="F1123" t="s">
        <v>1399</v>
      </c>
    </row>
    <row r="1124" spans="1:6">
      <c r="A1124" t="s">
        <v>548</v>
      </c>
      <c r="B1124" t="s">
        <v>1400</v>
      </c>
      <c r="C1124" t="s">
        <v>1401</v>
      </c>
      <c r="D1124" t="str">
        <f>HYPERLINK("http://service.sap.com/sap/support/notes/1097924","1097924")</f>
        <v>1097924</v>
      </c>
      <c r="F1124" t="s">
        <v>1402</v>
      </c>
    </row>
    <row r="1125" spans="1:6">
      <c r="A1125" t="s">
        <v>548</v>
      </c>
      <c r="B1125" t="s">
        <v>1400</v>
      </c>
      <c r="C1125" t="s">
        <v>1401</v>
      </c>
      <c r="D1125" t="str">
        <f>HYPERLINK("http://service.sap.com/sap/support/notes/1280147","1280147")</f>
        <v>1280147</v>
      </c>
      <c r="F1125" t="s">
        <v>1403</v>
      </c>
    </row>
    <row r="1126" spans="1:6">
      <c r="A1126" t="s">
        <v>548</v>
      </c>
      <c r="B1126" t="s">
        <v>1400</v>
      </c>
      <c r="C1126" t="s">
        <v>1401</v>
      </c>
      <c r="D1126" t="str">
        <f>HYPERLINK("http://service.sap.com/sap/support/notes/1351362","1351362")</f>
        <v>1351362</v>
      </c>
      <c r="F1126" t="s">
        <v>1404</v>
      </c>
    </row>
    <row r="1127" spans="1:6">
      <c r="A1127" t="s">
        <v>548</v>
      </c>
      <c r="B1127" t="s">
        <v>1405</v>
      </c>
      <c r="C1127" t="s">
        <v>1406</v>
      </c>
      <c r="D1127" t="str">
        <f>HYPERLINK("http://service.sap.com/sap/support/notes/1356109","1356109")</f>
        <v>1356109</v>
      </c>
      <c r="F1127" t="s">
        <v>1407</v>
      </c>
    </row>
    <row r="1128" spans="1:6">
      <c r="A1128" t="s">
        <v>548</v>
      </c>
      <c r="B1128" t="s">
        <v>1405</v>
      </c>
      <c r="C1128" t="s">
        <v>1406</v>
      </c>
      <c r="D1128" t="str">
        <f>HYPERLINK("http://service.sap.com/sap/support/notes/1381836","1381836")</f>
        <v>1381836</v>
      </c>
      <c r="F1128" t="s">
        <v>1408</v>
      </c>
    </row>
    <row r="1129" spans="1:6">
      <c r="A1129" t="s">
        <v>548</v>
      </c>
      <c r="B1129" t="s">
        <v>1405</v>
      </c>
      <c r="C1129" t="s">
        <v>1406</v>
      </c>
      <c r="D1129" t="str">
        <f>HYPERLINK("http://service.sap.com/sap/support/notes/1381910","1381910")</f>
        <v>1381910</v>
      </c>
      <c r="F1129" t="s">
        <v>1409</v>
      </c>
    </row>
    <row r="1130" spans="1:6">
      <c r="A1130" t="s">
        <v>548</v>
      </c>
      <c r="B1130" t="s">
        <v>1405</v>
      </c>
      <c r="C1130" t="s">
        <v>1406</v>
      </c>
      <c r="D1130" t="str">
        <f>HYPERLINK("http://service.sap.com/sap/support/notes/1393746","1393746")</f>
        <v>1393746</v>
      </c>
      <c r="F1130" t="s">
        <v>1410</v>
      </c>
    </row>
    <row r="1131" spans="1:6">
      <c r="A1131" t="s">
        <v>548</v>
      </c>
      <c r="B1131" t="s">
        <v>1405</v>
      </c>
      <c r="C1131" t="s">
        <v>1406</v>
      </c>
      <c r="D1131" t="str">
        <f>HYPERLINK("http://service.sap.com/sap/support/notes/1396134","1396134")</f>
        <v>1396134</v>
      </c>
      <c r="F1131" t="s">
        <v>1411</v>
      </c>
    </row>
    <row r="1132" spans="1:6">
      <c r="A1132" t="s">
        <v>548</v>
      </c>
      <c r="B1132" t="s">
        <v>1405</v>
      </c>
      <c r="C1132" t="s">
        <v>1406</v>
      </c>
      <c r="D1132" t="str">
        <f>HYPERLINK("http://service.sap.com/sap/support/notes/1397094","1397094")</f>
        <v>1397094</v>
      </c>
      <c r="F1132" t="s">
        <v>1412</v>
      </c>
    </row>
    <row r="1133" spans="1:6">
      <c r="A1133" t="s">
        <v>548</v>
      </c>
      <c r="B1133" t="s">
        <v>1413</v>
      </c>
      <c r="C1133" t="s">
        <v>1414</v>
      </c>
      <c r="D1133" t="str">
        <f>HYPERLINK("http://service.sap.com/sap/support/notes/1349514","1349514")</f>
        <v>1349514</v>
      </c>
      <c r="F1133" t="s">
        <v>1415</v>
      </c>
    </row>
    <row r="1134" spans="1:6">
      <c r="A1134" t="s">
        <v>548</v>
      </c>
      <c r="B1134" t="s">
        <v>1413</v>
      </c>
      <c r="C1134" t="s">
        <v>1414</v>
      </c>
      <c r="D1134" t="str">
        <f>HYPERLINK("http://service.sap.com/sap/support/notes/1364758","1364758")</f>
        <v>1364758</v>
      </c>
      <c r="F1134" t="s">
        <v>1416</v>
      </c>
    </row>
    <row r="1135" spans="1:6">
      <c r="A1135" t="s">
        <v>548</v>
      </c>
      <c r="B1135" t="s">
        <v>1413</v>
      </c>
      <c r="C1135" t="s">
        <v>1414</v>
      </c>
      <c r="D1135" t="str">
        <f>HYPERLINK("http://service.sap.com/sap/support/notes/1380909","1380909")</f>
        <v>1380909</v>
      </c>
      <c r="F1135" t="s">
        <v>1417</v>
      </c>
    </row>
    <row r="1136" spans="1:6">
      <c r="A1136" t="s">
        <v>548</v>
      </c>
      <c r="B1136" t="s">
        <v>1413</v>
      </c>
      <c r="C1136" t="s">
        <v>1414</v>
      </c>
      <c r="D1136" t="str">
        <f>HYPERLINK("http://service.sap.com/sap/support/notes/1385891","1385891")</f>
        <v>1385891</v>
      </c>
      <c r="F1136" t="s">
        <v>1418</v>
      </c>
    </row>
    <row r="1137" spans="1:6">
      <c r="A1137" t="s">
        <v>548</v>
      </c>
      <c r="B1137" t="s">
        <v>1419</v>
      </c>
      <c r="C1137" t="s">
        <v>1420</v>
      </c>
      <c r="D1137" t="str">
        <f>HYPERLINK("http://service.sap.com/sap/support/notes/1388919","1388919")</f>
        <v>1388919</v>
      </c>
      <c r="F1137" t="s">
        <v>1421</v>
      </c>
    </row>
    <row r="1138" spans="1:6">
      <c r="A1138" t="s">
        <v>548</v>
      </c>
      <c r="B1138" t="s">
        <v>1419</v>
      </c>
      <c r="C1138" t="s">
        <v>1420</v>
      </c>
      <c r="D1138" t="str">
        <f>HYPERLINK("http://service.sap.com/sap/support/notes/1405498","1405498")</f>
        <v>1405498</v>
      </c>
      <c r="F1138" t="s">
        <v>1422</v>
      </c>
    </row>
    <row r="1139" spans="1:6">
      <c r="A1139" t="s">
        <v>548</v>
      </c>
      <c r="B1139" t="s">
        <v>1423</v>
      </c>
      <c r="C1139" t="s">
        <v>1424</v>
      </c>
      <c r="D1139" t="str">
        <f>HYPERLINK("http://service.sap.com/sap/support/notes/1384782","1384782")</f>
        <v>1384782</v>
      </c>
      <c r="F1139" t="s">
        <v>1425</v>
      </c>
    </row>
    <row r="1140" spans="1:6">
      <c r="A1140" t="s">
        <v>548</v>
      </c>
      <c r="B1140" t="s">
        <v>544</v>
      </c>
      <c r="C1140" t="s">
        <v>1426</v>
      </c>
      <c r="D1140" t="str">
        <f>HYPERLINK("http://service.sap.com/sap/support/notes/1300120","1300120")</f>
        <v>1300120</v>
      </c>
      <c r="F1140" t="s">
        <v>1427</v>
      </c>
    </row>
    <row r="1141" spans="1:6">
      <c r="A1141" t="s">
        <v>548</v>
      </c>
      <c r="B1141" t="s">
        <v>544</v>
      </c>
      <c r="C1141" t="s">
        <v>1426</v>
      </c>
      <c r="D1141" t="str">
        <f>HYPERLINK("http://service.sap.com/sap/support/notes/1348648","1348648")</f>
        <v>1348648</v>
      </c>
      <c r="F1141" t="s">
        <v>1428</v>
      </c>
    </row>
    <row r="1142" spans="1:6">
      <c r="A1142" t="s">
        <v>548</v>
      </c>
      <c r="B1142" t="s">
        <v>544</v>
      </c>
      <c r="C1142" t="s">
        <v>1426</v>
      </c>
      <c r="D1142" t="str">
        <f>HYPERLINK("http://service.sap.com/sap/support/notes/1348877","1348877")</f>
        <v>1348877</v>
      </c>
      <c r="F1142" t="s">
        <v>1429</v>
      </c>
    </row>
    <row r="1143" spans="1:6">
      <c r="A1143" t="s">
        <v>548</v>
      </c>
      <c r="B1143" t="s">
        <v>544</v>
      </c>
      <c r="C1143" t="s">
        <v>1426</v>
      </c>
      <c r="D1143" t="str">
        <f>HYPERLINK("http://service.sap.com/sap/support/notes/1356570","1356570")</f>
        <v>1356570</v>
      </c>
      <c r="F1143" t="s">
        <v>1430</v>
      </c>
    </row>
    <row r="1144" spans="1:6">
      <c r="A1144" t="s">
        <v>548</v>
      </c>
      <c r="B1144" t="s">
        <v>544</v>
      </c>
      <c r="C1144" t="s">
        <v>1426</v>
      </c>
      <c r="D1144" t="str">
        <f>HYPERLINK("http://service.sap.com/sap/support/notes/1380657","1380657")</f>
        <v>1380657</v>
      </c>
      <c r="F1144" t="s">
        <v>1431</v>
      </c>
    </row>
    <row r="1145" spans="1:6">
      <c r="A1145" t="s">
        <v>548</v>
      </c>
      <c r="B1145" t="s">
        <v>544</v>
      </c>
      <c r="C1145" t="s">
        <v>1426</v>
      </c>
      <c r="D1145" t="str">
        <f>HYPERLINK("http://service.sap.com/sap/support/notes/1391367","1391367")</f>
        <v>1391367</v>
      </c>
      <c r="F1145" t="s">
        <v>546</v>
      </c>
    </row>
    <row r="1146" spans="1:6">
      <c r="A1146" t="s">
        <v>548</v>
      </c>
      <c r="B1146" t="s">
        <v>544</v>
      </c>
      <c r="C1146" t="s">
        <v>1426</v>
      </c>
      <c r="D1146" t="str">
        <f>HYPERLINK("http://service.sap.com/sap/support/notes/1404958","1404958")</f>
        <v>1404958</v>
      </c>
      <c r="F1146" t="s">
        <v>1432</v>
      </c>
    </row>
    <row r="1147" spans="1:6">
      <c r="A1147" t="s">
        <v>548</v>
      </c>
      <c r="B1147" t="s">
        <v>544</v>
      </c>
      <c r="C1147" t="s">
        <v>1426</v>
      </c>
      <c r="D1147" t="str">
        <f>HYPERLINK("http://service.sap.com/sap/support/notes/1405925","1405925")</f>
        <v>1405925</v>
      </c>
      <c r="F1147" t="s">
        <v>1433</v>
      </c>
    </row>
    <row r="1148" spans="1:6">
      <c r="A1148" t="s">
        <v>548</v>
      </c>
      <c r="B1148" t="s">
        <v>544</v>
      </c>
      <c r="C1148" t="s">
        <v>1426</v>
      </c>
      <c r="D1148" t="str">
        <f>HYPERLINK("http://service.sap.com/sap/support/notes/1406751","1406751")</f>
        <v>1406751</v>
      </c>
      <c r="F1148" t="s">
        <v>1434</v>
      </c>
    </row>
    <row r="1149" spans="1:6">
      <c r="A1149" t="s">
        <v>548</v>
      </c>
      <c r="B1149" t="s">
        <v>544</v>
      </c>
      <c r="C1149" t="s">
        <v>1426</v>
      </c>
      <c r="D1149" t="str">
        <f>HYPERLINK("http://service.sap.com/sap/support/notes/1407815","1407815")</f>
        <v>1407815</v>
      </c>
      <c r="F1149" t="s">
        <v>1435</v>
      </c>
    </row>
    <row r="1150" spans="1:6">
      <c r="A1150" t="s">
        <v>548</v>
      </c>
      <c r="B1150" t="s">
        <v>1436</v>
      </c>
      <c r="C1150" t="s">
        <v>1437</v>
      </c>
      <c r="D1150" t="str">
        <f>HYPERLINK("http://service.sap.com/sap/support/notes/1353695","1353695")</f>
        <v>1353695</v>
      </c>
      <c r="F1150" t="s">
        <v>1438</v>
      </c>
    </row>
    <row r="1151" spans="1:6">
      <c r="A1151" t="s">
        <v>548</v>
      </c>
      <c r="B1151" t="s">
        <v>1436</v>
      </c>
      <c r="C1151" t="s">
        <v>1437</v>
      </c>
      <c r="D1151" t="str">
        <f>HYPERLINK("http://service.sap.com/sap/support/notes/1363779","1363779")</f>
        <v>1363779</v>
      </c>
      <c r="F1151" t="s">
        <v>1439</v>
      </c>
    </row>
    <row r="1152" spans="1:6">
      <c r="A1152" t="s">
        <v>548</v>
      </c>
      <c r="B1152" t="s">
        <v>1436</v>
      </c>
      <c r="C1152" t="s">
        <v>1437</v>
      </c>
      <c r="D1152" t="str">
        <f>HYPERLINK("http://service.sap.com/sap/support/notes/1374053","1374053")</f>
        <v>1374053</v>
      </c>
      <c r="F1152" t="s">
        <v>1440</v>
      </c>
    </row>
    <row r="1153" spans="1:6">
      <c r="A1153" t="s">
        <v>548</v>
      </c>
      <c r="B1153" t="s">
        <v>1436</v>
      </c>
      <c r="C1153" t="s">
        <v>1437</v>
      </c>
      <c r="D1153" t="str">
        <f>HYPERLINK("http://service.sap.com/sap/support/notes/1378694","1378694")</f>
        <v>1378694</v>
      </c>
      <c r="F1153" t="s">
        <v>1441</v>
      </c>
    </row>
    <row r="1154" spans="1:6">
      <c r="A1154" t="s">
        <v>548</v>
      </c>
      <c r="B1154" t="s">
        <v>1436</v>
      </c>
      <c r="C1154" t="s">
        <v>1437</v>
      </c>
      <c r="D1154" t="str">
        <f>HYPERLINK("http://service.sap.com/sap/support/notes/1382738","1382738")</f>
        <v>1382738</v>
      </c>
      <c r="F1154" t="s">
        <v>1442</v>
      </c>
    </row>
    <row r="1155" spans="1:6">
      <c r="A1155" t="s">
        <v>548</v>
      </c>
      <c r="B1155" t="s">
        <v>1436</v>
      </c>
      <c r="C1155" t="s">
        <v>1437</v>
      </c>
      <c r="D1155" t="str">
        <f>HYPERLINK("http://service.sap.com/sap/support/notes/1387664","1387664")</f>
        <v>1387664</v>
      </c>
      <c r="F1155" t="s">
        <v>1443</v>
      </c>
    </row>
    <row r="1156" spans="1:6">
      <c r="A1156" t="s">
        <v>548</v>
      </c>
      <c r="B1156" t="s">
        <v>1444</v>
      </c>
    </row>
    <row r="1157" spans="1:6">
      <c r="A1157" t="s">
        <v>548</v>
      </c>
      <c r="B1157" t="s">
        <v>1445</v>
      </c>
    </row>
    <row r="1158" spans="1:6">
      <c r="A1158" t="s">
        <v>548</v>
      </c>
      <c r="B1158" t="s">
        <v>1446</v>
      </c>
      <c r="C1158" t="s">
        <v>1447</v>
      </c>
      <c r="D1158" t="str">
        <f>HYPERLINK("http://service.sap.com/sap/support/notes/1407519","1407519")</f>
        <v>1407519</v>
      </c>
      <c r="F1158" t="s">
        <v>1448</v>
      </c>
    </row>
    <row r="1159" spans="1:6">
      <c r="A1159" t="s">
        <v>1449</v>
      </c>
      <c r="B1159" t="s">
        <v>37</v>
      </c>
      <c r="C1159" t="s">
        <v>17</v>
      </c>
    </row>
    <row r="1160" spans="1:6">
      <c r="A1160" t="s">
        <v>1449</v>
      </c>
      <c r="B1160" t="s">
        <v>44</v>
      </c>
      <c r="C1160" t="s">
        <v>45</v>
      </c>
    </row>
    <row r="1161" spans="1:6">
      <c r="A1161" t="s">
        <v>1449</v>
      </c>
      <c r="B1161" t="s">
        <v>75</v>
      </c>
      <c r="C1161" t="s">
        <v>76</v>
      </c>
      <c r="D1161" t="str">
        <f>HYPERLINK("http://service.sap.com/sap/support/notes/700094","700094")</f>
        <v>700094</v>
      </c>
      <c r="F1161" t="s">
        <v>77</v>
      </c>
    </row>
    <row r="1162" spans="1:6">
      <c r="A1162" t="s">
        <v>1449</v>
      </c>
      <c r="B1162" t="s">
        <v>99</v>
      </c>
      <c r="C1162" t="s">
        <v>100</v>
      </c>
      <c r="D1162" t="str">
        <f>HYPERLINK("http://service.sap.com/sap/support/notes/1407933","1407933")</f>
        <v>1407933</v>
      </c>
      <c r="F1162" t="s">
        <v>696</v>
      </c>
    </row>
    <row r="1163" spans="1:6">
      <c r="A1163" t="s">
        <v>1449</v>
      </c>
      <c r="B1163" t="s">
        <v>125</v>
      </c>
      <c r="C1163" t="s">
        <v>126</v>
      </c>
      <c r="D1163" t="str">
        <f>HYPERLINK("http://service.sap.com/sap/support/notes/1408782","1408782")</f>
        <v>1408782</v>
      </c>
      <c r="F1163" t="s">
        <v>780</v>
      </c>
    </row>
    <row r="1164" spans="1:6">
      <c r="A1164" t="s">
        <v>1449</v>
      </c>
      <c r="B1164" t="s">
        <v>128</v>
      </c>
      <c r="C1164" t="s">
        <v>129</v>
      </c>
    </row>
    <row r="1165" spans="1:6">
      <c r="A1165" t="s">
        <v>1449</v>
      </c>
      <c r="B1165" t="s">
        <v>130</v>
      </c>
      <c r="C1165" t="s">
        <v>131</v>
      </c>
      <c r="D1165" t="str">
        <f>HYPERLINK("http://service.sap.com/sap/support/notes/1414574","1414574")</f>
        <v>1414574</v>
      </c>
      <c r="F1165" t="s">
        <v>1450</v>
      </c>
    </row>
    <row r="1166" spans="1:6">
      <c r="A1166" t="s">
        <v>1449</v>
      </c>
      <c r="B1166" t="s">
        <v>158</v>
      </c>
      <c r="C1166" t="s">
        <v>159</v>
      </c>
    </row>
    <row r="1167" spans="1:6">
      <c r="A1167" t="s">
        <v>1449</v>
      </c>
      <c r="B1167" t="s">
        <v>166</v>
      </c>
      <c r="C1167" t="s">
        <v>50</v>
      </c>
      <c r="D1167" t="str">
        <f>HYPERLINK("http://service.sap.com/sap/support/notes/1343631","1343631")</f>
        <v>1343631</v>
      </c>
      <c r="F1167" t="s">
        <v>927</v>
      </c>
    </row>
    <row r="1168" spans="1:6">
      <c r="A1168" t="s">
        <v>1449</v>
      </c>
      <c r="B1168" t="s">
        <v>192</v>
      </c>
      <c r="C1168" t="s">
        <v>60</v>
      </c>
      <c r="D1168" t="str">
        <f>HYPERLINK("http://service.sap.com/sap/support/notes/1382561","1382561")</f>
        <v>1382561</v>
      </c>
      <c r="F1168" t="s">
        <v>1451</v>
      </c>
    </row>
    <row r="1169" spans="1:6">
      <c r="A1169" t="s">
        <v>1449</v>
      </c>
      <c r="B1169" t="s">
        <v>204</v>
      </c>
      <c r="C1169" t="s">
        <v>205</v>
      </c>
      <c r="D1169" t="str">
        <f>HYPERLINK("http://service.sap.com/sap/support/notes/612934","612934")</f>
        <v>612934</v>
      </c>
      <c r="F1169" t="s">
        <v>206</v>
      </c>
    </row>
    <row r="1170" spans="1:6">
      <c r="A1170" t="s">
        <v>1449</v>
      </c>
      <c r="B1170" t="s">
        <v>204</v>
      </c>
      <c r="C1170" t="s">
        <v>205</v>
      </c>
      <c r="D1170" t="str">
        <f>HYPERLINK("http://service.sap.com/sap/support/notes/1411690","1411690")</f>
        <v>1411690</v>
      </c>
      <c r="F1170" t="s">
        <v>1452</v>
      </c>
    </row>
    <row r="1171" spans="1:6">
      <c r="A1171" t="s">
        <v>1449</v>
      </c>
      <c r="B1171" t="s">
        <v>207</v>
      </c>
      <c r="C1171" t="s">
        <v>208</v>
      </c>
      <c r="D1171" t="str">
        <f>HYPERLINK("http://service.sap.com/sap/support/notes/1408990","1408990")</f>
        <v>1408990</v>
      </c>
      <c r="F1171" t="s">
        <v>1453</v>
      </c>
    </row>
    <row r="1172" spans="1:6">
      <c r="A1172" t="s">
        <v>1449</v>
      </c>
      <c r="B1172" t="s">
        <v>207</v>
      </c>
      <c r="C1172" t="s">
        <v>208</v>
      </c>
      <c r="D1172" t="str">
        <f>HYPERLINK("http://service.sap.com/sap/support/notes/1410775","1410775")</f>
        <v>1410775</v>
      </c>
      <c r="F1172" t="s">
        <v>1454</v>
      </c>
    </row>
    <row r="1173" spans="1:6">
      <c r="A1173" t="s">
        <v>1449</v>
      </c>
      <c r="B1173" t="s">
        <v>207</v>
      </c>
      <c r="C1173" t="s">
        <v>208</v>
      </c>
      <c r="D1173" t="str">
        <f>HYPERLINK("http://service.sap.com/sap/support/notes/1411116","1411116")</f>
        <v>1411116</v>
      </c>
      <c r="F1173" t="s">
        <v>1455</v>
      </c>
    </row>
    <row r="1174" spans="1:6">
      <c r="A1174" t="s">
        <v>1449</v>
      </c>
      <c r="B1174" t="s">
        <v>207</v>
      </c>
      <c r="C1174" t="s">
        <v>208</v>
      </c>
      <c r="D1174" t="str">
        <f>HYPERLINK("http://service.sap.com/sap/support/notes/1411225","1411225")</f>
        <v>1411225</v>
      </c>
      <c r="F1174" t="s">
        <v>1456</v>
      </c>
    </row>
    <row r="1175" spans="1:6">
      <c r="A1175" t="s">
        <v>1449</v>
      </c>
      <c r="B1175" t="s">
        <v>207</v>
      </c>
      <c r="C1175" t="s">
        <v>208</v>
      </c>
      <c r="D1175" t="str">
        <f>HYPERLINK("http://service.sap.com/sap/support/notes/1412229","1412229")</f>
        <v>1412229</v>
      </c>
      <c r="F1175" t="s">
        <v>1457</v>
      </c>
    </row>
    <row r="1176" spans="1:6">
      <c r="A1176" t="s">
        <v>1449</v>
      </c>
      <c r="B1176" t="s">
        <v>218</v>
      </c>
      <c r="C1176" t="s">
        <v>219</v>
      </c>
      <c r="D1176" t="str">
        <f>HYPERLINK("http://service.sap.com/sap/support/notes/1399461","1399461")</f>
        <v>1399461</v>
      </c>
      <c r="F1176" t="s">
        <v>222</v>
      </c>
    </row>
    <row r="1177" spans="1:6">
      <c r="A1177" t="s">
        <v>1449</v>
      </c>
      <c r="B1177" t="s">
        <v>228</v>
      </c>
      <c r="C1177" t="s">
        <v>69</v>
      </c>
    </row>
    <row r="1178" spans="1:6">
      <c r="A1178" t="s">
        <v>1449</v>
      </c>
      <c r="B1178" t="s">
        <v>1024</v>
      </c>
      <c r="C1178" t="s">
        <v>1458</v>
      </c>
      <c r="D1178" t="str">
        <f>HYPERLINK("http://service.sap.com/sap/support/notes/1410675","1410675")</f>
        <v>1410675</v>
      </c>
      <c r="F1178" t="s">
        <v>1459</v>
      </c>
    </row>
    <row r="1179" spans="1:6">
      <c r="A1179" t="s">
        <v>1449</v>
      </c>
      <c r="B1179" t="s">
        <v>233</v>
      </c>
      <c r="C1179" t="s">
        <v>234</v>
      </c>
    </row>
    <row r="1180" spans="1:6">
      <c r="A1180" t="s">
        <v>1449</v>
      </c>
      <c r="B1180" t="s">
        <v>1460</v>
      </c>
      <c r="C1180" t="s">
        <v>1461</v>
      </c>
      <c r="D1180" t="str">
        <f>HYPERLINK("http://service.sap.com/sap/support/notes/1410790","1410790")</f>
        <v>1410790</v>
      </c>
      <c r="F1180" t="s">
        <v>1462</v>
      </c>
    </row>
    <row r="1181" spans="1:6">
      <c r="A1181" t="s">
        <v>1449</v>
      </c>
      <c r="B1181" t="s">
        <v>238</v>
      </c>
      <c r="C1181" t="s">
        <v>239</v>
      </c>
    </row>
    <row r="1182" spans="1:6">
      <c r="A1182" t="s">
        <v>1449</v>
      </c>
      <c r="B1182" t="s">
        <v>240</v>
      </c>
      <c r="C1182" t="s">
        <v>241</v>
      </c>
      <c r="D1182" t="str">
        <f>HYPERLINK("http://service.sap.com/sap/support/notes/1413669","1413669")</f>
        <v>1413669</v>
      </c>
      <c r="F1182" t="s">
        <v>1463</v>
      </c>
    </row>
    <row r="1183" spans="1:6">
      <c r="A1183" t="s">
        <v>1449</v>
      </c>
      <c r="B1183" t="s">
        <v>249</v>
      </c>
      <c r="C1183" t="s">
        <v>250</v>
      </c>
      <c r="D1183" t="str">
        <f>HYPERLINK("http://service.sap.com/sap/support/notes/1414051","1414051")</f>
        <v>1414051</v>
      </c>
      <c r="F1183" t="s">
        <v>1464</v>
      </c>
    </row>
    <row r="1184" spans="1:6">
      <c r="A1184" t="s">
        <v>1449</v>
      </c>
      <c r="B1184" t="s">
        <v>254</v>
      </c>
      <c r="C1184" t="s">
        <v>255</v>
      </c>
      <c r="D1184" t="str">
        <f>HYPERLINK("http://service.sap.com/sap/support/notes/1410588","1410588")</f>
        <v>1410588</v>
      </c>
      <c r="F1184" t="s">
        <v>1465</v>
      </c>
    </row>
    <row r="1185" spans="1:6">
      <c r="A1185" t="s">
        <v>1449</v>
      </c>
      <c r="B1185" t="s">
        <v>258</v>
      </c>
      <c r="C1185" t="s">
        <v>189</v>
      </c>
      <c r="D1185" t="str">
        <f>HYPERLINK("http://service.sap.com/sap/support/notes/1410157","1410157")</f>
        <v>1410157</v>
      </c>
      <c r="F1185" t="s">
        <v>1466</v>
      </c>
    </row>
    <row r="1186" spans="1:6">
      <c r="A1186" t="s">
        <v>1449</v>
      </c>
      <c r="B1186" t="s">
        <v>258</v>
      </c>
      <c r="C1186" t="s">
        <v>189</v>
      </c>
      <c r="D1186" t="str">
        <f>HYPERLINK("http://service.sap.com/sap/support/notes/1414898","1414898")</f>
        <v>1414898</v>
      </c>
      <c r="F1186" t="s">
        <v>1467</v>
      </c>
    </row>
    <row r="1187" spans="1:6">
      <c r="A1187" t="s">
        <v>1449</v>
      </c>
      <c r="B1187" t="s">
        <v>292</v>
      </c>
      <c r="C1187" t="s">
        <v>293</v>
      </c>
      <c r="D1187" t="str">
        <f>HYPERLINK("http://service.sap.com/sap/support/notes/1411415","1411415")</f>
        <v>1411415</v>
      </c>
      <c r="F1187" t="s">
        <v>1103</v>
      </c>
    </row>
    <row r="1188" spans="1:6">
      <c r="A1188" t="s">
        <v>1449</v>
      </c>
      <c r="B1188" t="s">
        <v>369</v>
      </c>
      <c r="C1188" t="s">
        <v>370</v>
      </c>
      <c r="D1188" t="str">
        <f>HYPERLINK("http://service.sap.com/sap/support/notes/1129168","1129168")</f>
        <v>1129168</v>
      </c>
      <c r="F1188" t="s">
        <v>371</v>
      </c>
    </row>
    <row r="1189" spans="1:6">
      <c r="A1189" t="s">
        <v>1449</v>
      </c>
      <c r="B1189" t="s">
        <v>369</v>
      </c>
      <c r="C1189" t="s">
        <v>370</v>
      </c>
      <c r="D1189" t="str">
        <f>HYPERLINK("http://service.sap.com/sap/support/notes/1411379","1411379")</f>
        <v>1411379</v>
      </c>
      <c r="F1189" t="s">
        <v>1468</v>
      </c>
    </row>
    <row r="1190" spans="1:6">
      <c r="A1190" t="s">
        <v>1449</v>
      </c>
      <c r="B1190" t="s">
        <v>410</v>
      </c>
      <c r="C1190" t="s">
        <v>411</v>
      </c>
      <c r="D1190" t="str">
        <f>HYPERLINK("http://service.sap.com/sap/support/notes/1379621","1379621")</f>
        <v>1379621</v>
      </c>
      <c r="F1190" t="s">
        <v>1218</v>
      </c>
    </row>
    <row r="1191" spans="1:6">
      <c r="A1191" t="s">
        <v>1449</v>
      </c>
      <c r="B1191" t="s">
        <v>424</v>
      </c>
      <c r="C1191" t="s">
        <v>425</v>
      </c>
    </row>
    <row r="1192" spans="1:6">
      <c r="A1192" t="s">
        <v>1449</v>
      </c>
      <c r="B1192" t="s">
        <v>439</v>
      </c>
      <c r="C1192" t="s">
        <v>189</v>
      </c>
      <c r="D1192" t="str">
        <f>HYPERLINK("http://service.sap.com/sap/support/notes/1391921","1391921")</f>
        <v>1391921</v>
      </c>
      <c r="F1192" t="s">
        <v>440</v>
      </c>
    </row>
    <row r="1193" spans="1:6">
      <c r="A1193" t="s">
        <v>1449</v>
      </c>
      <c r="B1193" t="s">
        <v>1247</v>
      </c>
      <c r="C1193" t="s">
        <v>87</v>
      </c>
      <c r="D1193" t="str">
        <f>HYPERLINK("http://service.sap.com/sap/support/notes/1409573","1409573")</f>
        <v>1409573</v>
      </c>
      <c r="F1193" t="s">
        <v>1469</v>
      </c>
    </row>
    <row r="1194" spans="1:6">
      <c r="A1194" t="s">
        <v>1449</v>
      </c>
      <c r="B1194" t="s">
        <v>463</v>
      </c>
      <c r="C1194" t="s">
        <v>93</v>
      </c>
      <c r="D1194" t="str">
        <f>HYPERLINK("http://service.sap.com/sap/support/notes/1407547","1407547")</f>
        <v>1407547</v>
      </c>
      <c r="F1194" t="s">
        <v>1470</v>
      </c>
    </row>
    <row r="1195" spans="1:6">
      <c r="A1195" t="s">
        <v>1449</v>
      </c>
      <c r="B1195" t="s">
        <v>463</v>
      </c>
      <c r="C1195" t="s">
        <v>93</v>
      </c>
      <c r="D1195" t="str">
        <f>HYPERLINK("http://service.sap.com/sap/support/notes/1414939","1414939")</f>
        <v>1414939</v>
      </c>
      <c r="F1195" t="s">
        <v>1471</v>
      </c>
    </row>
    <row r="1196" spans="1:6">
      <c r="A1196" t="s">
        <v>1449</v>
      </c>
      <c r="B1196" t="s">
        <v>482</v>
      </c>
      <c r="C1196" t="s">
        <v>483</v>
      </c>
      <c r="D1196" t="str">
        <f>HYPERLINK("http://service.sap.com/sap/support/notes/1383871","1383871")</f>
        <v>1383871</v>
      </c>
      <c r="F1196" t="s">
        <v>1280</v>
      </c>
    </row>
    <row r="1197" spans="1:6">
      <c r="A1197" t="s">
        <v>1449</v>
      </c>
      <c r="B1197" t="s">
        <v>500</v>
      </c>
      <c r="C1197" t="s">
        <v>501</v>
      </c>
      <c r="D1197" t="str">
        <f>HYPERLINK("http://service.sap.com/sap/support/notes/1174708","1174708")</f>
        <v>1174708</v>
      </c>
      <c r="F1197" t="s">
        <v>502</v>
      </c>
    </row>
    <row r="1198" spans="1:6">
      <c r="A1198" t="s">
        <v>1449</v>
      </c>
      <c r="B1198" t="s">
        <v>500</v>
      </c>
      <c r="C1198" t="s">
        <v>501</v>
      </c>
      <c r="D1198" t="str">
        <f>HYPERLINK("http://service.sap.com/sap/support/notes/1410312","1410312")</f>
        <v>1410312</v>
      </c>
      <c r="F1198" t="s">
        <v>1472</v>
      </c>
    </row>
    <row r="1199" spans="1:6">
      <c r="A1199" t="s">
        <v>1449</v>
      </c>
      <c r="B1199" t="s">
        <v>500</v>
      </c>
      <c r="C1199" t="s">
        <v>501</v>
      </c>
      <c r="D1199" t="str">
        <f>HYPERLINK("http://service.sap.com/sap/support/notes/1413380","1413380")</f>
        <v>1413380</v>
      </c>
      <c r="F1199" t="s">
        <v>1473</v>
      </c>
    </row>
    <row r="1200" spans="1:6">
      <c r="A1200" t="s">
        <v>1449</v>
      </c>
      <c r="B1200" t="s">
        <v>500</v>
      </c>
      <c r="C1200" t="s">
        <v>501</v>
      </c>
      <c r="D1200" t="str">
        <f>HYPERLINK("http://service.sap.com/sap/support/notes/1413796","1413796")</f>
        <v>1413796</v>
      </c>
      <c r="F1200" t="s">
        <v>1474</v>
      </c>
    </row>
    <row r="1201" spans="1:6">
      <c r="A1201" t="s">
        <v>1449</v>
      </c>
      <c r="B1201" t="s">
        <v>519</v>
      </c>
      <c r="C1201" t="s">
        <v>117</v>
      </c>
    </row>
    <row r="1202" spans="1:6">
      <c r="A1202" t="s">
        <v>1449</v>
      </c>
      <c r="B1202" t="s">
        <v>529</v>
      </c>
      <c r="C1202" t="s">
        <v>530</v>
      </c>
      <c r="D1202" t="str">
        <f>HYPERLINK("http://service.sap.com/sap/support/notes/1374092","1374092")</f>
        <v>1374092</v>
      </c>
      <c r="F1202" t="s">
        <v>1475</v>
      </c>
    </row>
    <row r="1203" spans="1:6">
      <c r="A1203" t="s">
        <v>1476</v>
      </c>
      <c r="B1203" t="s">
        <v>16</v>
      </c>
      <c r="C1203" t="s">
        <v>17</v>
      </c>
      <c r="D1203" t="str">
        <f>HYPERLINK("http://service.sap.com/sap/support/notes/1422077","1422077")</f>
        <v>1422077</v>
      </c>
      <c r="F1203" t="s">
        <v>1477</v>
      </c>
    </row>
    <row r="1204" spans="1:6">
      <c r="A1204" t="s">
        <v>1476</v>
      </c>
      <c r="B1204" t="s">
        <v>19</v>
      </c>
      <c r="C1204" t="s">
        <v>20</v>
      </c>
    </row>
    <row r="1205" spans="1:6">
      <c r="A1205" t="s">
        <v>1476</v>
      </c>
      <c r="B1205" t="s">
        <v>21</v>
      </c>
      <c r="C1205" t="s">
        <v>22</v>
      </c>
    </row>
    <row r="1206" spans="1:6">
      <c r="A1206" t="s">
        <v>1476</v>
      </c>
      <c r="B1206" t="s">
        <v>23</v>
      </c>
      <c r="C1206" t="s">
        <v>24</v>
      </c>
    </row>
    <row r="1207" spans="1:6">
      <c r="A1207" t="s">
        <v>1476</v>
      </c>
      <c r="B1207" t="s">
        <v>25</v>
      </c>
      <c r="C1207" t="s">
        <v>26</v>
      </c>
      <c r="D1207" t="str">
        <f>HYPERLINK("http://service.sap.com/sap/support/notes/1410996","1410996")</f>
        <v>1410996</v>
      </c>
      <c r="F1207" t="s">
        <v>1478</v>
      </c>
    </row>
    <row r="1208" spans="1:6">
      <c r="A1208" t="s">
        <v>1476</v>
      </c>
      <c r="B1208" t="s">
        <v>29</v>
      </c>
      <c r="C1208" t="s">
        <v>30</v>
      </c>
    </row>
    <row r="1209" spans="1:6">
      <c r="A1209" t="s">
        <v>1476</v>
      </c>
      <c r="B1209" t="s">
        <v>31</v>
      </c>
      <c r="C1209" t="s">
        <v>32</v>
      </c>
      <c r="D1209" t="str">
        <f>HYPERLINK("http://service.sap.com/sap/support/notes/1228709","1228709")</f>
        <v>1228709</v>
      </c>
      <c r="F1209" t="s">
        <v>1479</v>
      </c>
    </row>
    <row r="1210" spans="1:6">
      <c r="A1210" t="s">
        <v>1476</v>
      </c>
      <c r="B1210" t="s">
        <v>31</v>
      </c>
      <c r="C1210" t="s">
        <v>32</v>
      </c>
      <c r="D1210" t="str">
        <f>HYPERLINK("http://service.sap.com/sap/support/notes/1420345","1420345")</f>
        <v>1420345</v>
      </c>
      <c r="F1210" t="s">
        <v>1480</v>
      </c>
    </row>
    <row r="1211" spans="1:6">
      <c r="A1211" t="s">
        <v>1476</v>
      </c>
      <c r="B1211" t="s">
        <v>33</v>
      </c>
      <c r="C1211" t="s">
        <v>34</v>
      </c>
      <c r="D1211" t="str">
        <f>HYPERLINK("http://service.sap.com/sap/support/notes/1284280","1284280")</f>
        <v>1284280</v>
      </c>
      <c r="F1211" t="s">
        <v>35</v>
      </c>
    </row>
    <row r="1212" spans="1:6">
      <c r="A1212" t="s">
        <v>1476</v>
      </c>
      <c r="B1212" t="s">
        <v>33</v>
      </c>
      <c r="C1212" t="s">
        <v>34</v>
      </c>
      <c r="D1212" t="str">
        <f>HYPERLINK("http://service.sap.com/sap/support/notes/1411872","1411872")</f>
        <v>1411872</v>
      </c>
      <c r="F1212" t="s">
        <v>1481</v>
      </c>
    </row>
    <row r="1213" spans="1:6">
      <c r="A1213" t="s">
        <v>1476</v>
      </c>
      <c r="B1213" t="s">
        <v>37</v>
      </c>
      <c r="C1213" t="s">
        <v>17</v>
      </c>
    </row>
    <row r="1214" spans="1:6">
      <c r="A1214" t="s">
        <v>1476</v>
      </c>
      <c r="B1214" t="s">
        <v>582</v>
      </c>
      <c r="C1214" t="s">
        <v>583</v>
      </c>
      <c r="D1214" t="str">
        <f>HYPERLINK("http://service.sap.com/sap/support/notes/1248140","1248140")</f>
        <v>1248140</v>
      </c>
      <c r="F1214" t="s">
        <v>1482</v>
      </c>
    </row>
    <row r="1215" spans="1:6">
      <c r="A1215" t="s">
        <v>1476</v>
      </c>
      <c r="B1215" t="s">
        <v>609</v>
      </c>
      <c r="C1215" t="s">
        <v>1483</v>
      </c>
      <c r="D1215" t="str">
        <f>HYPERLINK("http://service.sap.com/sap/support/notes/1309878","1309878")</f>
        <v>1309878</v>
      </c>
      <c r="F1215" t="s">
        <v>611</v>
      </c>
    </row>
    <row r="1216" spans="1:6">
      <c r="A1216" t="s">
        <v>1476</v>
      </c>
      <c r="B1216" t="s">
        <v>44</v>
      </c>
      <c r="C1216" t="s">
        <v>45</v>
      </c>
    </row>
    <row r="1217" spans="1:6">
      <c r="A1217" t="s">
        <v>1476</v>
      </c>
      <c r="B1217" t="s">
        <v>46</v>
      </c>
      <c r="C1217" t="s">
        <v>47</v>
      </c>
      <c r="D1217" t="str">
        <f>HYPERLINK("http://service.sap.com/sap/support/notes/1041427","1041427")</f>
        <v>1041427</v>
      </c>
      <c r="F1217" t="s">
        <v>48</v>
      </c>
    </row>
    <row r="1218" spans="1:6">
      <c r="A1218" t="s">
        <v>1476</v>
      </c>
      <c r="B1218" t="s">
        <v>46</v>
      </c>
      <c r="C1218" t="s">
        <v>47</v>
      </c>
      <c r="D1218" t="str">
        <f>HYPERLINK("http://service.sap.com/sap/support/notes/1414753","1414753")</f>
        <v>1414753</v>
      </c>
      <c r="F1218" t="s">
        <v>1484</v>
      </c>
    </row>
    <row r="1219" spans="1:6">
      <c r="A1219" t="s">
        <v>1476</v>
      </c>
      <c r="B1219" t="s">
        <v>49</v>
      </c>
      <c r="C1219" t="s">
        <v>50</v>
      </c>
      <c r="D1219" t="str">
        <f>HYPERLINK("http://service.sap.com/sap/support/notes/1420759","1420759")</f>
        <v>1420759</v>
      </c>
      <c r="F1219" t="s">
        <v>1485</v>
      </c>
    </row>
    <row r="1220" spans="1:6">
      <c r="A1220" t="s">
        <v>1476</v>
      </c>
      <c r="B1220" t="s">
        <v>59</v>
      </c>
      <c r="C1220" t="s">
        <v>60</v>
      </c>
      <c r="D1220" t="str">
        <f>HYPERLINK("http://service.sap.com/sap/support/notes/1418195","1418195")</f>
        <v>1418195</v>
      </c>
      <c r="F1220" t="s">
        <v>1486</v>
      </c>
    </row>
    <row r="1221" spans="1:6">
      <c r="A1221" t="s">
        <v>1476</v>
      </c>
      <c r="B1221" t="s">
        <v>62</v>
      </c>
      <c r="C1221" t="s">
        <v>63</v>
      </c>
      <c r="D1221" t="str">
        <f>HYPERLINK("http://service.sap.com/sap/support/notes/1407069","1407069")</f>
        <v>1407069</v>
      </c>
      <c r="F1221" t="s">
        <v>1487</v>
      </c>
    </row>
    <row r="1222" spans="1:6">
      <c r="A1222" t="s">
        <v>1476</v>
      </c>
      <c r="B1222" t="s">
        <v>68</v>
      </c>
      <c r="C1222" t="s">
        <v>69</v>
      </c>
      <c r="D1222" t="str">
        <f>HYPERLINK("http://service.sap.com/sap/support/notes/1351074","1351074")</f>
        <v>1351074</v>
      </c>
      <c r="F1222" t="s">
        <v>652</v>
      </c>
    </row>
    <row r="1223" spans="1:6">
      <c r="A1223" t="s">
        <v>1476</v>
      </c>
      <c r="B1223" t="s">
        <v>68</v>
      </c>
      <c r="C1223" t="s">
        <v>69</v>
      </c>
      <c r="D1223" t="str">
        <f>HYPERLINK("http://service.sap.com/sap/support/notes/1421869","1421869")</f>
        <v>1421869</v>
      </c>
      <c r="F1223" t="s">
        <v>1488</v>
      </c>
    </row>
    <row r="1224" spans="1:6">
      <c r="A1224" t="s">
        <v>1476</v>
      </c>
      <c r="B1224" t="s">
        <v>75</v>
      </c>
      <c r="C1224" t="s">
        <v>76</v>
      </c>
      <c r="D1224" t="str">
        <f>HYPERLINK("http://service.sap.com/sap/support/notes/700094","700094")</f>
        <v>700094</v>
      </c>
      <c r="F1224" t="s">
        <v>77</v>
      </c>
    </row>
    <row r="1225" spans="1:6">
      <c r="A1225" t="s">
        <v>1476</v>
      </c>
      <c r="B1225" t="s">
        <v>75</v>
      </c>
      <c r="C1225" t="s">
        <v>76</v>
      </c>
      <c r="D1225" t="str">
        <f>HYPERLINK("http://service.sap.com/sap/support/notes/1405461","1405461")</f>
        <v>1405461</v>
      </c>
      <c r="F1225" t="s">
        <v>1489</v>
      </c>
    </row>
    <row r="1226" spans="1:6">
      <c r="A1226" t="s">
        <v>1476</v>
      </c>
      <c r="B1226" t="s">
        <v>75</v>
      </c>
      <c r="C1226" t="s">
        <v>76</v>
      </c>
      <c r="D1226" t="str">
        <f>HYPERLINK("http://service.sap.com/sap/support/notes/1408682","1408682")</f>
        <v>1408682</v>
      </c>
      <c r="F1226" t="s">
        <v>656</v>
      </c>
    </row>
    <row r="1227" spans="1:6">
      <c r="A1227" t="s">
        <v>1476</v>
      </c>
      <c r="B1227" t="s">
        <v>75</v>
      </c>
      <c r="C1227" t="s">
        <v>76</v>
      </c>
      <c r="D1227" t="str">
        <f>HYPERLINK("http://service.sap.com/sap/support/notes/1412494","1412494")</f>
        <v>1412494</v>
      </c>
      <c r="F1227" t="s">
        <v>1490</v>
      </c>
    </row>
    <row r="1228" spans="1:6">
      <c r="A1228" t="s">
        <v>1476</v>
      </c>
      <c r="B1228" t="s">
        <v>79</v>
      </c>
      <c r="C1228" t="s">
        <v>80</v>
      </c>
      <c r="D1228" t="str">
        <f>HYPERLINK("http://service.sap.com/sap/support/notes/1351108","1351108")</f>
        <v>1351108</v>
      </c>
      <c r="F1228" t="s">
        <v>1491</v>
      </c>
    </row>
    <row r="1229" spans="1:6">
      <c r="A1229" t="s">
        <v>1476</v>
      </c>
      <c r="B1229" t="s">
        <v>79</v>
      </c>
      <c r="C1229" t="s">
        <v>80</v>
      </c>
      <c r="D1229" t="str">
        <f>HYPERLINK("http://service.sap.com/sap/support/notes/1384938","1384938")</f>
        <v>1384938</v>
      </c>
      <c r="F1229" t="s">
        <v>1492</v>
      </c>
    </row>
    <row r="1230" spans="1:6">
      <c r="A1230" t="s">
        <v>1476</v>
      </c>
      <c r="B1230" t="s">
        <v>79</v>
      </c>
      <c r="C1230" t="s">
        <v>80</v>
      </c>
      <c r="D1230" t="str">
        <f>HYPERLINK("http://service.sap.com/sap/support/notes/1405991","1405991")</f>
        <v>1405991</v>
      </c>
      <c r="F1230" t="s">
        <v>1493</v>
      </c>
    </row>
    <row r="1231" spans="1:6">
      <c r="A1231" t="s">
        <v>1476</v>
      </c>
      <c r="B1231" t="s">
        <v>79</v>
      </c>
      <c r="C1231" t="s">
        <v>80</v>
      </c>
      <c r="D1231" t="str">
        <f>HYPERLINK("http://service.sap.com/sap/support/notes/1413499","1413499")</f>
        <v>1413499</v>
      </c>
      <c r="F1231" t="s">
        <v>1494</v>
      </c>
    </row>
    <row r="1232" spans="1:6">
      <c r="A1232" t="s">
        <v>1476</v>
      </c>
      <c r="B1232" t="s">
        <v>665</v>
      </c>
      <c r="C1232" t="s">
        <v>425</v>
      </c>
      <c r="D1232" t="str">
        <f>HYPERLINK("http://service.sap.com/sap/support/notes/448307","448307")</f>
        <v>448307</v>
      </c>
      <c r="F1232" t="s">
        <v>666</v>
      </c>
    </row>
    <row r="1233" spans="1:6">
      <c r="A1233" t="s">
        <v>1476</v>
      </c>
      <c r="B1233" t="s">
        <v>667</v>
      </c>
      <c r="C1233" t="s">
        <v>442</v>
      </c>
      <c r="D1233" t="str">
        <f>HYPERLINK("http://service.sap.com/sap/support/notes/1400209","1400209")</f>
        <v>1400209</v>
      </c>
      <c r="F1233" t="s">
        <v>669</v>
      </c>
    </row>
    <row r="1234" spans="1:6">
      <c r="A1234" t="s">
        <v>1476</v>
      </c>
      <c r="B1234" t="s">
        <v>667</v>
      </c>
      <c r="C1234" t="s">
        <v>442</v>
      </c>
      <c r="D1234" t="str">
        <f>HYPERLINK("http://service.sap.com/sap/support/notes/1410065","1410065")</f>
        <v>1410065</v>
      </c>
      <c r="F1234" t="s">
        <v>1495</v>
      </c>
    </row>
    <row r="1235" spans="1:6">
      <c r="A1235" t="s">
        <v>1476</v>
      </c>
      <c r="B1235" t="s">
        <v>667</v>
      </c>
      <c r="C1235" t="s">
        <v>442</v>
      </c>
      <c r="D1235" t="str">
        <f>HYPERLINK("http://service.sap.com/sap/support/notes/1413181","1413181")</f>
        <v>1413181</v>
      </c>
      <c r="F1235" t="s">
        <v>1496</v>
      </c>
    </row>
    <row r="1236" spans="1:6">
      <c r="A1236" t="s">
        <v>1476</v>
      </c>
      <c r="B1236" t="s">
        <v>667</v>
      </c>
      <c r="C1236" t="s">
        <v>442</v>
      </c>
      <c r="D1236" t="str">
        <f>HYPERLINK("http://service.sap.com/sap/support/notes/1415449","1415449")</f>
        <v>1415449</v>
      </c>
      <c r="F1236" t="s">
        <v>1497</v>
      </c>
    </row>
    <row r="1237" spans="1:6">
      <c r="A1237" t="s">
        <v>1476</v>
      </c>
      <c r="B1237" t="s">
        <v>667</v>
      </c>
      <c r="C1237" t="s">
        <v>442</v>
      </c>
      <c r="D1237" t="str">
        <f>HYPERLINK("http://service.sap.com/sap/support/notes/1415881","1415881")</f>
        <v>1415881</v>
      </c>
      <c r="F1237" t="s">
        <v>1498</v>
      </c>
    </row>
    <row r="1238" spans="1:6">
      <c r="A1238" t="s">
        <v>1476</v>
      </c>
      <c r="B1238" t="s">
        <v>667</v>
      </c>
      <c r="C1238" t="s">
        <v>442</v>
      </c>
      <c r="D1238" t="str">
        <f>HYPERLINK("http://service.sap.com/sap/support/notes/1419157","1419157")</f>
        <v>1419157</v>
      </c>
      <c r="F1238" t="s">
        <v>1499</v>
      </c>
    </row>
    <row r="1239" spans="1:6">
      <c r="A1239" t="s">
        <v>1476</v>
      </c>
      <c r="B1239" t="s">
        <v>667</v>
      </c>
      <c r="C1239" t="s">
        <v>442</v>
      </c>
      <c r="D1239" t="str">
        <f>HYPERLINK("http://service.sap.com/sap/support/notes/1419294","1419294")</f>
        <v>1419294</v>
      </c>
      <c r="F1239" t="s">
        <v>1500</v>
      </c>
    </row>
    <row r="1240" spans="1:6">
      <c r="A1240" t="s">
        <v>1476</v>
      </c>
      <c r="B1240" t="s">
        <v>667</v>
      </c>
      <c r="C1240" t="s">
        <v>442</v>
      </c>
      <c r="D1240" t="str">
        <f>HYPERLINK("http://service.sap.com/sap/support/notes/1422330","1422330")</f>
        <v>1422330</v>
      </c>
      <c r="F1240" t="s">
        <v>1501</v>
      </c>
    </row>
    <row r="1241" spans="1:6">
      <c r="A1241" t="s">
        <v>1476</v>
      </c>
      <c r="B1241" t="s">
        <v>667</v>
      </c>
      <c r="C1241" t="s">
        <v>442</v>
      </c>
      <c r="D1241" t="str">
        <f>HYPERLINK("http://service.sap.com/sap/support/notes/1422500","1422500")</f>
        <v>1422500</v>
      </c>
      <c r="F1241" t="s">
        <v>1502</v>
      </c>
    </row>
    <row r="1242" spans="1:6">
      <c r="A1242" t="s">
        <v>1476</v>
      </c>
      <c r="B1242" t="s">
        <v>86</v>
      </c>
      <c r="C1242" t="s">
        <v>87</v>
      </c>
      <c r="D1242" t="str">
        <f>HYPERLINK("http://service.sap.com/sap/support/notes/1419767","1419767")</f>
        <v>1419767</v>
      </c>
      <c r="F1242" t="s">
        <v>1503</v>
      </c>
    </row>
    <row r="1243" spans="1:6">
      <c r="A1243" t="s">
        <v>1476</v>
      </c>
      <c r="B1243" t="s">
        <v>86</v>
      </c>
      <c r="C1243" t="s">
        <v>87</v>
      </c>
      <c r="D1243" t="str">
        <f>HYPERLINK("http://service.sap.com/sap/support/notes/1422995","1422995")</f>
        <v>1422995</v>
      </c>
      <c r="F1243" t="s">
        <v>1504</v>
      </c>
    </row>
    <row r="1244" spans="1:6">
      <c r="A1244" t="s">
        <v>1476</v>
      </c>
      <c r="B1244" t="s">
        <v>89</v>
      </c>
      <c r="C1244" t="s">
        <v>90</v>
      </c>
      <c r="D1244" t="str">
        <f>HYPERLINK("http://service.sap.com/sap/support/notes/1414136","1414136")</f>
        <v>1414136</v>
      </c>
      <c r="F1244" t="s">
        <v>1505</v>
      </c>
    </row>
    <row r="1245" spans="1:6">
      <c r="A1245" t="s">
        <v>1476</v>
      </c>
      <c r="B1245" t="s">
        <v>1506</v>
      </c>
      <c r="C1245" t="s">
        <v>476</v>
      </c>
      <c r="D1245" t="str">
        <f>HYPERLINK("http://service.sap.com/sap/support/notes/1418392","1418392")</f>
        <v>1418392</v>
      </c>
      <c r="F1245" t="s">
        <v>1507</v>
      </c>
    </row>
    <row r="1246" spans="1:6">
      <c r="A1246" t="s">
        <v>1476</v>
      </c>
      <c r="B1246" t="s">
        <v>1506</v>
      </c>
      <c r="C1246" t="s">
        <v>476</v>
      </c>
      <c r="D1246" t="str">
        <f>HYPERLINK("http://service.sap.com/sap/support/notes/1420618","1420618")</f>
        <v>1420618</v>
      </c>
      <c r="F1246" t="s">
        <v>1508</v>
      </c>
    </row>
    <row r="1247" spans="1:6">
      <c r="A1247" t="s">
        <v>1476</v>
      </c>
      <c r="B1247" t="s">
        <v>681</v>
      </c>
      <c r="C1247" t="s">
        <v>486</v>
      </c>
      <c r="D1247" t="str">
        <f>HYPERLINK("http://service.sap.com/sap/support/notes/1333373","1333373")</f>
        <v>1333373</v>
      </c>
      <c r="F1247" t="s">
        <v>1509</v>
      </c>
    </row>
    <row r="1248" spans="1:6">
      <c r="A1248" t="s">
        <v>1476</v>
      </c>
      <c r="B1248" t="s">
        <v>99</v>
      </c>
      <c r="C1248" t="s">
        <v>100</v>
      </c>
      <c r="D1248" t="str">
        <f>HYPERLINK("http://service.sap.com/sap/support/notes/960754","960754")</f>
        <v>960754</v>
      </c>
      <c r="F1248" t="s">
        <v>684</v>
      </c>
    </row>
    <row r="1249" spans="1:6">
      <c r="A1249" t="s">
        <v>1476</v>
      </c>
      <c r="B1249" t="s">
        <v>99</v>
      </c>
      <c r="C1249" t="s">
        <v>100</v>
      </c>
      <c r="D1249" t="str">
        <f>HYPERLINK("http://service.sap.com/sap/support/notes/1116407","1116407")</f>
        <v>1116407</v>
      </c>
      <c r="F1249" t="s">
        <v>685</v>
      </c>
    </row>
    <row r="1250" spans="1:6">
      <c r="A1250" t="s">
        <v>1476</v>
      </c>
      <c r="B1250" t="s">
        <v>99</v>
      </c>
      <c r="C1250" t="s">
        <v>100</v>
      </c>
      <c r="D1250" t="str">
        <f>HYPERLINK("http://service.sap.com/sap/support/notes/1347019","1347019")</f>
        <v>1347019</v>
      </c>
      <c r="F1250" t="s">
        <v>1510</v>
      </c>
    </row>
    <row r="1251" spans="1:6">
      <c r="A1251" t="s">
        <v>1476</v>
      </c>
      <c r="B1251" t="s">
        <v>99</v>
      </c>
      <c r="C1251" t="s">
        <v>100</v>
      </c>
      <c r="D1251" t="str">
        <f>HYPERLINK("http://service.sap.com/sap/support/notes/1407933","1407933")</f>
        <v>1407933</v>
      </c>
      <c r="F1251" t="s">
        <v>696</v>
      </c>
    </row>
    <row r="1252" spans="1:6">
      <c r="A1252" t="s">
        <v>1476</v>
      </c>
      <c r="B1252" t="s">
        <v>99</v>
      </c>
      <c r="C1252" t="s">
        <v>100</v>
      </c>
      <c r="D1252" t="str">
        <f>HYPERLINK("http://service.sap.com/sap/support/notes/1411406","1411406")</f>
        <v>1411406</v>
      </c>
      <c r="F1252" t="s">
        <v>1511</v>
      </c>
    </row>
    <row r="1253" spans="1:6">
      <c r="A1253" t="s">
        <v>1476</v>
      </c>
      <c r="B1253" t="s">
        <v>99</v>
      </c>
      <c r="C1253" t="s">
        <v>100</v>
      </c>
      <c r="D1253" t="str">
        <f>HYPERLINK("http://service.sap.com/sap/support/notes/1413568","1413568")</f>
        <v>1413568</v>
      </c>
      <c r="F1253" t="s">
        <v>1512</v>
      </c>
    </row>
    <row r="1254" spans="1:6">
      <c r="A1254" t="s">
        <v>1476</v>
      </c>
      <c r="B1254" t="s">
        <v>99</v>
      </c>
      <c r="C1254" t="s">
        <v>100</v>
      </c>
      <c r="D1254" t="str">
        <f>HYPERLINK("http://service.sap.com/sap/support/notes/1416194","1416194")</f>
        <v>1416194</v>
      </c>
      <c r="F1254" t="s">
        <v>1513</v>
      </c>
    </row>
    <row r="1255" spans="1:6">
      <c r="A1255" t="s">
        <v>1476</v>
      </c>
      <c r="B1255" t="s">
        <v>99</v>
      </c>
      <c r="C1255" t="s">
        <v>100</v>
      </c>
      <c r="D1255" t="str">
        <f>HYPERLINK("http://service.sap.com/sap/support/notes/1417022","1417022")</f>
        <v>1417022</v>
      </c>
      <c r="F1255" t="s">
        <v>1514</v>
      </c>
    </row>
    <row r="1256" spans="1:6">
      <c r="A1256" t="s">
        <v>1476</v>
      </c>
      <c r="B1256" t="s">
        <v>99</v>
      </c>
      <c r="C1256" t="s">
        <v>100</v>
      </c>
      <c r="D1256" t="str">
        <f>HYPERLINK("http://service.sap.com/sap/support/notes/1417381","1417381")</f>
        <v>1417381</v>
      </c>
      <c r="F1256" t="s">
        <v>1515</v>
      </c>
    </row>
    <row r="1257" spans="1:6">
      <c r="A1257" t="s">
        <v>1476</v>
      </c>
      <c r="B1257" t="s">
        <v>99</v>
      </c>
      <c r="C1257" t="s">
        <v>100</v>
      </c>
      <c r="D1257" t="str">
        <f>HYPERLINK("http://service.sap.com/sap/support/notes/1417418","1417418")</f>
        <v>1417418</v>
      </c>
      <c r="F1257" t="s">
        <v>1516</v>
      </c>
    </row>
    <row r="1258" spans="1:6">
      <c r="A1258" t="s">
        <v>1476</v>
      </c>
      <c r="B1258" t="s">
        <v>99</v>
      </c>
      <c r="C1258" t="s">
        <v>100</v>
      </c>
      <c r="D1258" t="str">
        <f>HYPERLINK("http://service.sap.com/sap/support/notes/1418148","1418148")</f>
        <v>1418148</v>
      </c>
      <c r="F1258" t="s">
        <v>1517</v>
      </c>
    </row>
    <row r="1259" spans="1:6">
      <c r="A1259" t="s">
        <v>1476</v>
      </c>
      <c r="B1259" t="s">
        <v>99</v>
      </c>
      <c r="C1259" t="s">
        <v>100</v>
      </c>
      <c r="D1259" t="str">
        <f>HYPERLINK("http://service.sap.com/sap/support/notes/1419532","1419532")</f>
        <v>1419532</v>
      </c>
      <c r="F1259" t="s">
        <v>1518</v>
      </c>
    </row>
    <row r="1260" spans="1:6">
      <c r="A1260" t="s">
        <v>1476</v>
      </c>
      <c r="B1260" t="s">
        <v>99</v>
      </c>
      <c r="C1260" t="s">
        <v>100</v>
      </c>
      <c r="D1260" t="str">
        <f>HYPERLINK("http://service.sap.com/sap/support/notes/1419646","1419646")</f>
        <v>1419646</v>
      </c>
      <c r="F1260" t="s">
        <v>1519</v>
      </c>
    </row>
    <row r="1261" spans="1:6">
      <c r="A1261" t="s">
        <v>1476</v>
      </c>
      <c r="B1261" t="s">
        <v>99</v>
      </c>
      <c r="C1261" t="s">
        <v>100</v>
      </c>
      <c r="D1261" t="str">
        <f>HYPERLINK("http://service.sap.com/sap/support/notes/1420650","1420650")</f>
        <v>1420650</v>
      </c>
      <c r="F1261" t="s">
        <v>1520</v>
      </c>
    </row>
    <row r="1262" spans="1:6">
      <c r="A1262" t="s">
        <v>1476</v>
      </c>
      <c r="B1262" t="s">
        <v>99</v>
      </c>
      <c r="C1262" t="s">
        <v>100</v>
      </c>
      <c r="D1262" t="str">
        <f>HYPERLINK("http://service.sap.com/sap/support/notes/1422397","1422397")</f>
        <v>1422397</v>
      </c>
      <c r="F1262" t="s">
        <v>1521</v>
      </c>
    </row>
    <row r="1263" spans="1:6">
      <c r="A1263" t="s">
        <v>1476</v>
      </c>
      <c r="B1263" t="s">
        <v>99</v>
      </c>
      <c r="C1263" t="s">
        <v>100</v>
      </c>
      <c r="D1263" t="str">
        <f>HYPERLINK("http://service.sap.com/sap/support/notes/1422410","1422410")</f>
        <v>1422410</v>
      </c>
      <c r="F1263" t="s">
        <v>1522</v>
      </c>
    </row>
    <row r="1264" spans="1:6">
      <c r="A1264" t="s">
        <v>1476</v>
      </c>
      <c r="B1264" t="s">
        <v>99</v>
      </c>
      <c r="C1264" t="s">
        <v>100</v>
      </c>
      <c r="D1264" t="str">
        <f>HYPERLINK("http://service.sap.com/sap/support/notes/1422429","1422429")</f>
        <v>1422429</v>
      </c>
      <c r="F1264" t="s">
        <v>1523</v>
      </c>
    </row>
    <row r="1265" spans="1:6">
      <c r="A1265" t="s">
        <v>1476</v>
      </c>
      <c r="B1265" t="s">
        <v>99</v>
      </c>
      <c r="C1265" t="s">
        <v>100</v>
      </c>
      <c r="D1265" t="str">
        <f>HYPERLINK("http://service.sap.com/sap/support/notes/1422509","1422509")</f>
        <v>1422509</v>
      </c>
      <c r="F1265" t="s">
        <v>1524</v>
      </c>
    </row>
    <row r="1266" spans="1:6">
      <c r="A1266" t="s">
        <v>1476</v>
      </c>
      <c r="B1266" t="s">
        <v>99</v>
      </c>
      <c r="C1266" t="s">
        <v>100</v>
      </c>
      <c r="D1266" t="str">
        <f>HYPERLINK("http://service.sap.com/sap/support/notes/1422511","1422511")</f>
        <v>1422511</v>
      </c>
      <c r="F1266" t="s">
        <v>1525</v>
      </c>
    </row>
    <row r="1267" spans="1:6">
      <c r="A1267" t="s">
        <v>1476</v>
      </c>
      <c r="B1267" t="s">
        <v>99</v>
      </c>
      <c r="C1267" t="s">
        <v>100</v>
      </c>
      <c r="D1267" t="str">
        <f>HYPERLINK("http://service.sap.com/sap/support/notes/1422564","1422564")</f>
        <v>1422564</v>
      </c>
      <c r="F1267" t="s">
        <v>1526</v>
      </c>
    </row>
    <row r="1268" spans="1:6">
      <c r="A1268" t="s">
        <v>1476</v>
      </c>
      <c r="B1268" t="s">
        <v>99</v>
      </c>
      <c r="C1268" t="s">
        <v>100</v>
      </c>
      <c r="D1268" t="str">
        <f>HYPERLINK("http://service.sap.com/sap/support/notes/1422568","1422568")</f>
        <v>1422568</v>
      </c>
      <c r="F1268" t="s">
        <v>1527</v>
      </c>
    </row>
    <row r="1269" spans="1:6">
      <c r="A1269" t="s">
        <v>1476</v>
      </c>
      <c r="B1269" t="s">
        <v>702</v>
      </c>
      <c r="C1269" t="s">
        <v>514</v>
      </c>
      <c r="D1269" t="str">
        <f>HYPERLINK("http://service.sap.com/sap/support/notes/1415268","1415268")</f>
        <v>1415268</v>
      </c>
      <c r="F1269" t="s">
        <v>1528</v>
      </c>
    </row>
    <row r="1270" spans="1:6">
      <c r="A1270" t="s">
        <v>1476</v>
      </c>
      <c r="B1270" t="s">
        <v>116</v>
      </c>
      <c r="C1270" t="s">
        <v>117</v>
      </c>
      <c r="D1270" t="str">
        <f>HYPERLINK("http://service.sap.com/sap/support/notes/1414857","1414857")</f>
        <v>1414857</v>
      </c>
      <c r="F1270" t="s">
        <v>1529</v>
      </c>
    </row>
    <row r="1271" spans="1:6">
      <c r="A1271" t="s">
        <v>1476</v>
      </c>
      <c r="B1271" t="s">
        <v>116</v>
      </c>
      <c r="C1271" t="s">
        <v>117</v>
      </c>
      <c r="D1271" t="str">
        <f>HYPERLINK("http://service.sap.com/sap/support/notes/1421631","1421631")</f>
        <v>1421631</v>
      </c>
      <c r="F1271" t="s">
        <v>1530</v>
      </c>
    </row>
    <row r="1272" spans="1:6">
      <c r="A1272" t="s">
        <v>1476</v>
      </c>
      <c r="B1272" t="s">
        <v>128</v>
      </c>
      <c r="C1272" t="s">
        <v>129</v>
      </c>
    </row>
    <row r="1273" spans="1:6">
      <c r="A1273" t="s">
        <v>1476</v>
      </c>
      <c r="B1273" t="s">
        <v>130</v>
      </c>
      <c r="C1273" t="s">
        <v>131</v>
      </c>
      <c r="D1273" t="str">
        <f>HYPERLINK("http://service.sap.com/sap/support/notes/1407723","1407723")</f>
        <v>1407723</v>
      </c>
      <c r="F1273" t="s">
        <v>1531</v>
      </c>
    </row>
    <row r="1274" spans="1:6">
      <c r="A1274" t="s">
        <v>1476</v>
      </c>
      <c r="B1274" t="s">
        <v>130</v>
      </c>
      <c r="C1274" t="s">
        <v>131</v>
      </c>
      <c r="D1274" t="str">
        <f>HYPERLINK("http://service.sap.com/sap/support/notes/1413049","1413049")</f>
        <v>1413049</v>
      </c>
      <c r="F1274" t="s">
        <v>1532</v>
      </c>
    </row>
    <row r="1275" spans="1:6">
      <c r="A1275" t="s">
        <v>1476</v>
      </c>
      <c r="B1275" t="s">
        <v>130</v>
      </c>
      <c r="C1275" t="s">
        <v>131</v>
      </c>
      <c r="D1275" t="str">
        <f>HYPERLINK("http://service.sap.com/sap/support/notes/1420866","1420866")</f>
        <v>1420866</v>
      </c>
      <c r="F1275" t="s">
        <v>1533</v>
      </c>
    </row>
    <row r="1276" spans="1:6">
      <c r="A1276" t="s">
        <v>1476</v>
      </c>
      <c r="B1276" t="s">
        <v>814</v>
      </c>
      <c r="C1276" t="s">
        <v>1534</v>
      </c>
    </row>
    <row r="1277" spans="1:6">
      <c r="A1277" t="s">
        <v>1476</v>
      </c>
      <c r="B1277" t="s">
        <v>815</v>
      </c>
      <c r="C1277" t="s">
        <v>1535</v>
      </c>
      <c r="D1277" t="str">
        <f>HYPERLINK("http://service.sap.com/sap/support/notes/1417089","1417089")</f>
        <v>1417089</v>
      </c>
      <c r="F1277" t="s">
        <v>1536</v>
      </c>
    </row>
    <row r="1278" spans="1:6">
      <c r="A1278" t="s">
        <v>1476</v>
      </c>
      <c r="B1278" t="s">
        <v>137</v>
      </c>
      <c r="C1278" t="s">
        <v>138</v>
      </c>
    </row>
    <row r="1279" spans="1:6">
      <c r="A1279" t="s">
        <v>1476</v>
      </c>
      <c r="B1279" t="s">
        <v>1537</v>
      </c>
      <c r="C1279" t="s">
        <v>1538</v>
      </c>
      <c r="D1279" t="str">
        <f>HYPERLINK("http://service.sap.com/sap/support/notes/1414061","1414061")</f>
        <v>1414061</v>
      </c>
      <c r="F1279" t="s">
        <v>1539</v>
      </c>
    </row>
    <row r="1280" spans="1:6">
      <c r="A1280" t="s">
        <v>1476</v>
      </c>
      <c r="B1280" t="s">
        <v>1537</v>
      </c>
      <c r="C1280" t="s">
        <v>1538</v>
      </c>
      <c r="D1280" t="str">
        <f>HYPERLINK("http://service.sap.com/sap/support/notes/1416360","1416360")</f>
        <v>1416360</v>
      </c>
      <c r="F1280" t="s">
        <v>1540</v>
      </c>
    </row>
    <row r="1281" spans="1:6">
      <c r="A1281" t="s">
        <v>1476</v>
      </c>
      <c r="B1281" t="s">
        <v>1541</v>
      </c>
      <c r="C1281" t="s">
        <v>1542</v>
      </c>
      <c r="D1281" t="str">
        <f>HYPERLINK("http://service.sap.com/sap/support/notes/1418514","1418514")</f>
        <v>1418514</v>
      </c>
      <c r="F1281" t="s">
        <v>1543</v>
      </c>
    </row>
    <row r="1282" spans="1:6">
      <c r="A1282" t="s">
        <v>1476</v>
      </c>
      <c r="B1282" t="s">
        <v>1544</v>
      </c>
      <c r="C1282" t="s">
        <v>1545</v>
      </c>
      <c r="D1282" t="str">
        <f>HYPERLINK("http://service.sap.com/sap/support/notes/683166","683166")</f>
        <v>683166</v>
      </c>
      <c r="F1282" t="s">
        <v>1546</v>
      </c>
    </row>
    <row r="1283" spans="1:6">
      <c r="A1283" t="s">
        <v>1476</v>
      </c>
      <c r="B1283" t="s">
        <v>146</v>
      </c>
      <c r="C1283" t="s">
        <v>147</v>
      </c>
    </row>
    <row r="1284" spans="1:6">
      <c r="A1284" t="s">
        <v>1476</v>
      </c>
      <c r="B1284" t="s">
        <v>839</v>
      </c>
      <c r="C1284" t="s">
        <v>840</v>
      </c>
      <c r="D1284" t="str">
        <f>HYPERLINK("http://service.sap.com/sap/support/notes/1417548","1417548")</f>
        <v>1417548</v>
      </c>
      <c r="F1284" t="s">
        <v>1547</v>
      </c>
    </row>
    <row r="1285" spans="1:6">
      <c r="A1285" t="s">
        <v>1476</v>
      </c>
      <c r="B1285" t="s">
        <v>148</v>
      </c>
      <c r="C1285" t="s">
        <v>149</v>
      </c>
    </row>
    <row r="1286" spans="1:6">
      <c r="A1286" t="s">
        <v>1476</v>
      </c>
      <c r="B1286" t="s">
        <v>154</v>
      </c>
      <c r="C1286" t="s">
        <v>155</v>
      </c>
      <c r="D1286" t="str">
        <f>HYPERLINK("http://service.sap.com/sap/support/notes/1410779","1410779")</f>
        <v>1410779</v>
      </c>
      <c r="F1286" t="s">
        <v>1548</v>
      </c>
    </row>
    <row r="1287" spans="1:6">
      <c r="A1287" t="s">
        <v>1476</v>
      </c>
      <c r="B1287" t="s">
        <v>158</v>
      </c>
      <c r="C1287" t="s">
        <v>159</v>
      </c>
    </row>
    <row r="1288" spans="1:6">
      <c r="A1288" t="s">
        <v>1476</v>
      </c>
      <c r="B1288" t="s">
        <v>160</v>
      </c>
      <c r="C1288" t="s">
        <v>47</v>
      </c>
      <c r="D1288" t="str">
        <f>HYPERLINK("http://service.sap.com/sap/support/notes/1388877","1388877")</f>
        <v>1388877</v>
      </c>
      <c r="F1288" t="s">
        <v>1549</v>
      </c>
    </row>
    <row r="1289" spans="1:6">
      <c r="A1289" t="s">
        <v>1476</v>
      </c>
      <c r="B1289" t="s">
        <v>160</v>
      </c>
      <c r="C1289" t="s">
        <v>47</v>
      </c>
      <c r="D1289" t="str">
        <f>HYPERLINK("http://service.sap.com/sap/support/notes/1400895","1400895")</f>
        <v>1400895</v>
      </c>
      <c r="F1289" t="s">
        <v>1550</v>
      </c>
    </row>
    <row r="1290" spans="1:6">
      <c r="A1290" t="s">
        <v>1476</v>
      </c>
      <c r="B1290" t="s">
        <v>160</v>
      </c>
      <c r="C1290" t="s">
        <v>47</v>
      </c>
      <c r="D1290" t="str">
        <f>HYPERLINK("http://service.sap.com/sap/support/notes/1401626","1401626")</f>
        <v>1401626</v>
      </c>
      <c r="F1290" t="s">
        <v>1551</v>
      </c>
    </row>
    <row r="1291" spans="1:6">
      <c r="A1291" t="s">
        <v>1476</v>
      </c>
      <c r="B1291" t="s">
        <v>160</v>
      </c>
      <c r="C1291" t="s">
        <v>47</v>
      </c>
      <c r="D1291" t="str">
        <f>HYPERLINK("http://service.sap.com/sap/support/notes/1404655","1404655")</f>
        <v>1404655</v>
      </c>
      <c r="F1291" t="s">
        <v>1552</v>
      </c>
    </row>
    <row r="1292" spans="1:6">
      <c r="A1292" t="s">
        <v>1476</v>
      </c>
      <c r="B1292" t="s">
        <v>160</v>
      </c>
      <c r="C1292" t="s">
        <v>47</v>
      </c>
      <c r="D1292" t="str">
        <f>HYPERLINK("http://service.sap.com/sap/support/notes/1406781","1406781")</f>
        <v>1406781</v>
      </c>
      <c r="F1292" t="s">
        <v>1553</v>
      </c>
    </row>
    <row r="1293" spans="1:6">
      <c r="A1293" t="s">
        <v>1476</v>
      </c>
      <c r="B1293" t="s">
        <v>160</v>
      </c>
      <c r="C1293" t="s">
        <v>47</v>
      </c>
      <c r="D1293" t="str">
        <f>HYPERLINK("http://service.sap.com/sap/support/notes/1411404","1411404")</f>
        <v>1411404</v>
      </c>
      <c r="F1293" t="s">
        <v>1554</v>
      </c>
    </row>
    <row r="1294" spans="1:6">
      <c r="A1294" t="s">
        <v>1476</v>
      </c>
      <c r="B1294" t="s">
        <v>160</v>
      </c>
      <c r="C1294" t="s">
        <v>47</v>
      </c>
      <c r="D1294" t="str">
        <f>HYPERLINK("http://service.sap.com/sap/support/notes/1412532","1412532")</f>
        <v>1412532</v>
      </c>
      <c r="F1294" t="s">
        <v>1555</v>
      </c>
    </row>
    <row r="1295" spans="1:6">
      <c r="A1295" t="s">
        <v>1476</v>
      </c>
      <c r="B1295" t="s">
        <v>160</v>
      </c>
      <c r="C1295" t="s">
        <v>47</v>
      </c>
      <c r="D1295" t="str">
        <f>HYPERLINK("http://service.sap.com/sap/support/notes/1413429","1413429")</f>
        <v>1413429</v>
      </c>
      <c r="F1295" t="s">
        <v>1556</v>
      </c>
    </row>
    <row r="1296" spans="1:6">
      <c r="A1296" t="s">
        <v>1476</v>
      </c>
      <c r="B1296" t="s">
        <v>160</v>
      </c>
      <c r="C1296" t="s">
        <v>47</v>
      </c>
      <c r="D1296" t="str">
        <f>HYPERLINK("http://service.sap.com/sap/support/notes/1418176","1418176")</f>
        <v>1418176</v>
      </c>
      <c r="F1296" t="s">
        <v>1557</v>
      </c>
    </row>
    <row r="1297" spans="1:6">
      <c r="A1297" t="s">
        <v>1476</v>
      </c>
      <c r="B1297" t="s">
        <v>160</v>
      </c>
      <c r="C1297" t="s">
        <v>47</v>
      </c>
      <c r="D1297" t="str">
        <f>HYPERLINK("http://service.sap.com/sap/support/notes/1419007","1419007")</f>
        <v>1419007</v>
      </c>
      <c r="F1297" t="s">
        <v>1558</v>
      </c>
    </row>
    <row r="1298" spans="1:6">
      <c r="A1298" t="s">
        <v>1476</v>
      </c>
      <c r="B1298" t="s">
        <v>160</v>
      </c>
      <c r="C1298" t="s">
        <v>47</v>
      </c>
      <c r="D1298" t="str">
        <f>HYPERLINK("http://service.sap.com/sap/support/notes/1421369","1421369")</f>
        <v>1421369</v>
      </c>
      <c r="F1298" t="s">
        <v>1559</v>
      </c>
    </row>
    <row r="1299" spans="1:6">
      <c r="A1299" t="s">
        <v>1476</v>
      </c>
      <c r="B1299" t="s">
        <v>160</v>
      </c>
      <c r="C1299" t="s">
        <v>47</v>
      </c>
      <c r="D1299" t="str">
        <f>HYPERLINK("http://service.sap.com/sap/support/notes/1421555","1421555")</f>
        <v>1421555</v>
      </c>
      <c r="F1299" t="s">
        <v>1560</v>
      </c>
    </row>
    <row r="1300" spans="1:6">
      <c r="A1300" t="s">
        <v>1476</v>
      </c>
      <c r="B1300" t="s">
        <v>160</v>
      </c>
      <c r="C1300" t="s">
        <v>47</v>
      </c>
      <c r="D1300" t="str">
        <f>HYPERLINK("http://service.sap.com/sap/support/notes/1422419","1422419")</f>
        <v>1422419</v>
      </c>
      <c r="F1300" t="s">
        <v>1561</v>
      </c>
    </row>
    <row r="1301" spans="1:6">
      <c r="A1301" t="s">
        <v>1476</v>
      </c>
      <c r="B1301" t="s">
        <v>166</v>
      </c>
      <c r="C1301" t="s">
        <v>50</v>
      </c>
      <c r="D1301" t="str">
        <f>HYPERLINK("http://service.sap.com/sap/support/notes/1331528","1331528")</f>
        <v>1331528</v>
      </c>
      <c r="F1301" t="s">
        <v>1562</v>
      </c>
    </row>
    <row r="1302" spans="1:6">
      <c r="A1302" t="s">
        <v>1476</v>
      </c>
      <c r="B1302" t="s">
        <v>166</v>
      </c>
      <c r="C1302" t="s">
        <v>50</v>
      </c>
      <c r="D1302" t="str">
        <f>HYPERLINK("http://service.sap.com/sap/support/notes/1343631","1343631")</f>
        <v>1343631</v>
      </c>
      <c r="F1302" t="s">
        <v>927</v>
      </c>
    </row>
    <row r="1303" spans="1:6">
      <c r="A1303" t="s">
        <v>1476</v>
      </c>
      <c r="B1303" t="s">
        <v>166</v>
      </c>
      <c r="C1303" t="s">
        <v>50</v>
      </c>
      <c r="D1303" t="str">
        <f>HYPERLINK("http://service.sap.com/sap/support/notes/1413262","1413262")</f>
        <v>1413262</v>
      </c>
      <c r="F1303" t="s">
        <v>1563</v>
      </c>
    </row>
    <row r="1304" spans="1:6">
      <c r="A1304" t="s">
        <v>1476</v>
      </c>
      <c r="B1304" t="s">
        <v>166</v>
      </c>
      <c r="C1304" t="s">
        <v>50</v>
      </c>
      <c r="D1304" t="str">
        <f>HYPERLINK("http://service.sap.com/sap/support/notes/1413430","1413430")</f>
        <v>1413430</v>
      </c>
      <c r="F1304" t="s">
        <v>1564</v>
      </c>
    </row>
    <row r="1305" spans="1:6">
      <c r="A1305" t="s">
        <v>1476</v>
      </c>
      <c r="B1305" t="s">
        <v>166</v>
      </c>
      <c r="C1305" t="s">
        <v>50</v>
      </c>
      <c r="D1305" t="str">
        <f>HYPERLINK("http://service.sap.com/sap/support/notes/1413527","1413527")</f>
        <v>1413527</v>
      </c>
      <c r="F1305" t="s">
        <v>1565</v>
      </c>
    </row>
    <row r="1306" spans="1:6">
      <c r="A1306" t="s">
        <v>1476</v>
      </c>
      <c r="B1306" t="s">
        <v>166</v>
      </c>
      <c r="C1306" t="s">
        <v>50</v>
      </c>
      <c r="D1306" t="str">
        <f>HYPERLINK("http://service.sap.com/sap/support/notes/1415635","1415635")</f>
        <v>1415635</v>
      </c>
      <c r="F1306" t="s">
        <v>1566</v>
      </c>
    </row>
    <row r="1307" spans="1:6">
      <c r="A1307" t="s">
        <v>1476</v>
      </c>
      <c r="B1307" t="s">
        <v>941</v>
      </c>
      <c r="C1307" t="s">
        <v>189</v>
      </c>
      <c r="D1307" t="str">
        <f>HYPERLINK("http://service.sap.com/sap/support/notes/1413118","1413118")</f>
        <v>1413118</v>
      </c>
      <c r="F1307" t="s">
        <v>1567</v>
      </c>
    </row>
    <row r="1308" spans="1:6">
      <c r="A1308" t="s">
        <v>1476</v>
      </c>
      <c r="B1308" t="s">
        <v>174</v>
      </c>
      <c r="C1308" t="s">
        <v>175</v>
      </c>
      <c r="D1308" t="str">
        <f>HYPERLINK("http://service.sap.com/sap/support/notes/815445","815445")</f>
        <v>815445</v>
      </c>
      <c r="F1308" t="s">
        <v>176</v>
      </c>
    </row>
    <row r="1309" spans="1:6">
      <c r="A1309" t="s">
        <v>1476</v>
      </c>
      <c r="B1309" t="s">
        <v>174</v>
      </c>
      <c r="C1309" t="s">
        <v>175</v>
      </c>
      <c r="D1309" t="str">
        <f>HYPERLINK("http://service.sap.com/sap/support/notes/1391475","1391475")</f>
        <v>1391475</v>
      </c>
      <c r="F1309" t="s">
        <v>1568</v>
      </c>
    </row>
    <row r="1310" spans="1:6">
      <c r="A1310" t="s">
        <v>1476</v>
      </c>
      <c r="B1310" t="s">
        <v>174</v>
      </c>
      <c r="C1310" t="s">
        <v>175</v>
      </c>
      <c r="D1310" t="str">
        <f>HYPERLINK("http://service.sap.com/sap/support/notes/1394302","1394302")</f>
        <v>1394302</v>
      </c>
      <c r="F1310" t="s">
        <v>1569</v>
      </c>
    </row>
    <row r="1311" spans="1:6">
      <c r="A1311" t="s">
        <v>1476</v>
      </c>
      <c r="B1311" t="s">
        <v>174</v>
      </c>
      <c r="C1311" t="s">
        <v>175</v>
      </c>
      <c r="D1311" t="str">
        <f>HYPERLINK("http://service.sap.com/sap/support/notes/1402887","1402887")</f>
        <v>1402887</v>
      </c>
      <c r="F1311" t="s">
        <v>1570</v>
      </c>
    </row>
    <row r="1312" spans="1:6">
      <c r="A1312" t="s">
        <v>1476</v>
      </c>
      <c r="B1312" t="s">
        <v>174</v>
      </c>
      <c r="C1312" t="s">
        <v>175</v>
      </c>
      <c r="D1312" t="str">
        <f>HYPERLINK("http://service.sap.com/sap/support/notes/1405980","1405980")</f>
        <v>1405980</v>
      </c>
      <c r="F1312" t="s">
        <v>1571</v>
      </c>
    </row>
    <row r="1313" spans="1:6">
      <c r="A1313" t="s">
        <v>1476</v>
      </c>
      <c r="B1313" t="s">
        <v>174</v>
      </c>
      <c r="C1313" t="s">
        <v>175</v>
      </c>
      <c r="D1313" t="str">
        <f>HYPERLINK("http://service.sap.com/sap/support/notes/1407922","1407922")</f>
        <v>1407922</v>
      </c>
      <c r="F1313" t="s">
        <v>1572</v>
      </c>
    </row>
    <row r="1314" spans="1:6">
      <c r="A1314" t="s">
        <v>1476</v>
      </c>
      <c r="B1314" t="s">
        <v>174</v>
      </c>
      <c r="C1314" t="s">
        <v>175</v>
      </c>
      <c r="D1314" t="str">
        <f>HYPERLINK("http://service.sap.com/sap/support/notes/1411151","1411151")</f>
        <v>1411151</v>
      </c>
      <c r="F1314" t="s">
        <v>1573</v>
      </c>
    </row>
    <row r="1315" spans="1:6">
      <c r="A1315" t="s">
        <v>1476</v>
      </c>
      <c r="B1315" t="s">
        <v>174</v>
      </c>
      <c r="C1315" t="s">
        <v>175</v>
      </c>
      <c r="D1315" t="str">
        <f>HYPERLINK("http://service.sap.com/sap/support/notes/1413322","1413322")</f>
        <v>1413322</v>
      </c>
      <c r="F1315" t="s">
        <v>1574</v>
      </c>
    </row>
    <row r="1316" spans="1:6">
      <c r="A1316" t="s">
        <v>1476</v>
      </c>
      <c r="B1316" t="s">
        <v>174</v>
      </c>
      <c r="C1316" t="s">
        <v>175</v>
      </c>
      <c r="D1316" t="str">
        <f>HYPERLINK("http://service.sap.com/sap/support/notes/1414270","1414270")</f>
        <v>1414270</v>
      </c>
      <c r="F1316" t="s">
        <v>1575</v>
      </c>
    </row>
    <row r="1317" spans="1:6">
      <c r="A1317" t="s">
        <v>1476</v>
      </c>
      <c r="B1317" t="s">
        <v>174</v>
      </c>
      <c r="C1317" t="s">
        <v>175</v>
      </c>
      <c r="D1317" t="str">
        <f>HYPERLINK("http://service.sap.com/sap/support/notes/1418757","1418757")</f>
        <v>1418757</v>
      </c>
      <c r="F1317" t="s">
        <v>1576</v>
      </c>
    </row>
    <row r="1318" spans="1:6">
      <c r="A1318" t="s">
        <v>1476</v>
      </c>
      <c r="B1318" t="s">
        <v>174</v>
      </c>
      <c r="C1318" t="s">
        <v>175</v>
      </c>
      <c r="D1318" t="str">
        <f>HYPERLINK("http://service.sap.com/sap/support/notes/1419576","1419576")</f>
        <v>1419576</v>
      </c>
      <c r="F1318" t="s">
        <v>1577</v>
      </c>
    </row>
    <row r="1319" spans="1:6">
      <c r="A1319" t="s">
        <v>1476</v>
      </c>
      <c r="B1319" t="s">
        <v>174</v>
      </c>
      <c r="C1319" t="s">
        <v>175</v>
      </c>
      <c r="D1319" t="str">
        <f>HYPERLINK("http://service.sap.com/sap/support/notes/1420817","1420817")</f>
        <v>1420817</v>
      </c>
      <c r="F1319" t="s">
        <v>1578</v>
      </c>
    </row>
    <row r="1320" spans="1:6">
      <c r="A1320" t="s">
        <v>1476</v>
      </c>
      <c r="B1320" t="s">
        <v>174</v>
      </c>
      <c r="C1320" t="s">
        <v>175</v>
      </c>
      <c r="D1320" t="str">
        <f>HYPERLINK("http://service.sap.com/sap/support/notes/1420819","1420819")</f>
        <v>1420819</v>
      </c>
      <c r="F1320" t="s">
        <v>1579</v>
      </c>
    </row>
    <row r="1321" spans="1:6">
      <c r="A1321" t="s">
        <v>1476</v>
      </c>
      <c r="B1321" t="s">
        <v>174</v>
      </c>
      <c r="C1321" t="s">
        <v>175</v>
      </c>
      <c r="D1321" t="str">
        <f>HYPERLINK("http://service.sap.com/sap/support/notes/1421308","1421308")</f>
        <v>1421308</v>
      </c>
      <c r="F1321" t="s">
        <v>1580</v>
      </c>
    </row>
    <row r="1322" spans="1:6">
      <c r="A1322" t="s">
        <v>1476</v>
      </c>
      <c r="B1322" t="s">
        <v>174</v>
      </c>
      <c r="C1322" t="s">
        <v>175</v>
      </c>
      <c r="D1322" t="str">
        <f>HYPERLINK("http://service.sap.com/sap/support/notes/1422044","1422044")</f>
        <v>1422044</v>
      </c>
      <c r="F1322" t="s">
        <v>958</v>
      </c>
    </row>
    <row r="1323" spans="1:6">
      <c r="A1323" t="s">
        <v>1476</v>
      </c>
      <c r="B1323" t="s">
        <v>174</v>
      </c>
      <c r="C1323" t="s">
        <v>175</v>
      </c>
      <c r="D1323" t="str">
        <f>HYPERLINK("http://service.sap.com/sap/support/notes/1422386","1422386")</f>
        <v>1422386</v>
      </c>
      <c r="F1323" t="s">
        <v>1581</v>
      </c>
    </row>
    <row r="1324" spans="1:6">
      <c r="A1324" t="s">
        <v>1476</v>
      </c>
      <c r="B1324" t="s">
        <v>188</v>
      </c>
      <c r="C1324" t="s">
        <v>189</v>
      </c>
      <c r="D1324" t="str">
        <f>HYPERLINK("http://service.sap.com/sap/support/notes/1412734","1412734")</f>
        <v>1412734</v>
      </c>
      <c r="F1324" t="s">
        <v>1582</v>
      </c>
    </row>
    <row r="1325" spans="1:6">
      <c r="A1325" t="s">
        <v>1476</v>
      </c>
      <c r="B1325" t="s">
        <v>188</v>
      </c>
      <c r="C1325" t="s">
        <v>189</v>
      </c>
      <c r="D1325" t="str">
        <f>HYPERLINK("http://service.sap.com/sap/support/notes/1418224","1418224")</f>
        <v>1418224</v>
      </c>
      <c r="F1325" t="s">
        <v>1583</v>
      </c>
    </row>
    <row r="1326" spans="1:6">
      <c r="A1326" t="s">
        <v>1476</v>
      </c>
      <c r="B1326" t="s">
        <v>192</v>
      </c>
      <c r="C1326" t="s">
        <v>60</v>
      </c>
      <c r="D1326" t="str">
        <f>HYPERLINK("http://service.sap.com/sap/support/notes/1406697","1406697")</f>
        <v>1406697</v>
      </c>
      <c r="F1326" t="s">
        <v>1584</v>
      </c>
    </row>
    <row r="1327" spans="1:6">
      <c r="A1327" t="s">
        <v>1476</v>
      </c>
      <c r="B1327" t="s">
        <v>192</v>
      </c>
      <c r="C1327" t="s">
        <v>60</v>
      </c>
      <c r="D1327" t="str">
        <f>HYPERLINK("http://service.sap.com/sap/support/notes/1412133","1412133")</f>
        <v>1412133</v>
      </c>
      <c r="F1327" t="s">
        <v>1585</v>
      </c>
    </row>
    <row r="1328" spans="1:6">
      <c r="A1328" t="s">
        <v>1476</v>
      </c>
      <c r="B1328" t="s">
        <v>192</v>
      </c>
      <c r="C1328" t="s">
        <v>60</v>
      </c>
      <c r="D1328" t="str">
        <f>HYPERLINK("http://service.sap.com/sap/support/notes/1412964","1412964")</f>
        <v>1412964</v>
      </c>
      <c r="F1328" t="s">
        <v>1586</v>
      </c>
    </row>
    <row r="1329" spans="1:6">
      <c r="A1329" t="s">
        <v>1476</v>
      </c>
      <c r="B1329" t="s">
        <v>192</v>
      </c>
      <c r="C1329" t="s">
        <v>60</v>
      </c>
      <c r="D1329" t="str">
        <f>HYPERLINK("http://service.sap.com/sap/support/notes/1413658","1413658")</f>
        <v>1413658</v>
      </c>
      <c r="F1329" t="s">
        <v>1587</v>
      </c>
    </row>
    <row r="1330" spans="1:6">
      <c r="A1330" t="s">
        <v>1476</v>
      </c>
      <c r="B1330" t="s">
        <v>192</v>
      </c>
      <c r="C1330" t="s">
        <v>60</v>
      </c>
      <c r="D1330" t="str">
        <f>HYPERLINK("http://service.sap.com/sap/support/notes/1414055","1414055")</f>
        <v>1414055</v>
      </c>
      <c r="F1330" t="s">
        <v>1588</v>
      </c>
    </row>
    <row r="1331" spans="1:6">
      <c r="A1331" t="s">
        <v>1476</v>
      </c>
      <c r="B1331" t="s">
        <v>192</v>
      </c>
      <c r="C1331" t="s">
        <v>60</v>
      </c>
      <c r="D1331" t="str">
        <f>HYPERLINK("http://service.sap.com/sap/support/notes/1415011","1415011")</f>
        <v>1415011</v>
      </c>
      <c r="F1331" t="s">
        <v>1589</v>
      </c>
    </row>
    <row r="1332" spans="1:6">
      <c r="A1332" t="s">
        <v>1476</v>
      </c>
      <c r="B1332" t="s">
        <v>192</v>
      </c>
      <c r="C1332" t="s">
        <v>60</v>
      </c>
      <c r="D1332" t="str">
        <f>HYPERLINK("http://service.sap.com/sap/support/notes/1415139","1415139")</f>
        <v>1415139</v>
      </c>
      <c r="F1332" t="s">
        <v>1590</v>
      </c>
    </row>
    <row r="1333" spans="1:6">
      <c r="A1333" t="s">
        <v>1476</v>
      </c>
      <c r="B1333" t="s">
        <v>192</v>
      </c>
      <c r="C1333" t="s">
        <v>60</v>
      </c>
      <c r="D1333" t="str">
        <f>HYPERLINK("http://service.sap.com/sap/support/notes/1415196","1415196")</f>
        <v>1415196</v>
      </c>
      <c r="F1333" t="s">
        <v>1591</v>
      </c>
    </row>
    <row r="1334" spans="1:6">
      <c r="A1334" t="s">
        <v>1476</v>
      </c>
      <c r="B1334" t="s">
        <v>192</v>
      </c>
      <c r="C1334" t="s">
        <v>60</v>
      </c>
      <c r="D1334" t="str">
        <f>HYPERLINK("http://service.sap.com/sap/support/notes/1416511","1416511")</f>
        <v>1416511</v>
      </c>
      <c r="F1334" t="s">
        <v>1592</v>
      </c>
    </row>
    <row r="1335" spans="1:6">
      <c r="A1335" t="s">
        <v>1476</v>
      </c>
      <c r="B1335" t="s">
        <v>192</v>
      </c>
      <c r="C1335" t="s">
        <v>60</v>
      </c>
      <c r="D1335" t="str">
        <f>HYPERLINK("http://service.sap.com/sap/support/notes/1416628","1416628")</f>
        <v>1416628</v>
      </c>
      <c r="F1335" t="s">
        <v>1593</v>
      </c>
    </row>
    <row r="1336" spans="1:6">
      <c r="A1336" t="s">
        <v>1476</v>
      </c>
      <c r="B1336" t="s">
        <v>192</v>
      </c>
      <c r="C1336" t="s">
        <v>60</v>
      </c>
      <c r="D1336" t="str">
        <f>HYPERLINK("http://service.sap.com/sap/support/notes/1416870","1416870")</f>
        <v>1416870</v>
      </c>
      <c r="F1336" t="s">
        <v>1594</v>
      </c>
    </row>
    <row r="1337" spans="1:6">
      <c r="A1337" t="s">
        <v>1476</v>
      </c>
      <c r="B1337" t="s">
        <v>192</v>
      </c>
      <c r="C1337" t="s">
        <v>60</v>
      </c>
      <c r="D1337" t="str">
        <f>HYPERLINK("http://service.sap.com/sap/support/notes/1418190","1418190")</f>
        <v>1418190</v>
      </c>
      <c r="F1337" t="s">
        <v>1595</v>
      </c>
    </row>
    <row r="1338" spans="1:6">
      <c r="A1338" t="s">
        <v>1476</v>
      </c>
      <c r="B1338" t="s">
        <v>192</v>
      </c>
      <c r="C1338" t="s">
        <v>60</v>
      </c>
      <c r="D1338" t="str">
        <f>HYPERLINK("http://service.sap.com/sap/support/notes/1419369","1419369")</f>
        <v>1419369</v>
      </c>
      <c r="F1338" t="s">
        <v>1596</v>
      </c>
    </row>
    <row r="1339" spans="1:6">
      <c r="A1339" t="s">
        <v>1476</v>
      </c>
      <c r="B1339" t="s">
        <v>192</v>
      </c>
      <c r="C1339" t="s">
        <v>60</v>
      </c>
      <c r="D1339" t="str">
        <f>HYPERLINK("http://service.sap.com/sap/support/notes/1420942","1420942")</f>
        <v>1420942</v>
      </c>
      <c r="F1339" t="s">
        <v>1597</v>
      </c>
    </row>
    <row r="1340" spans="1:6">
      <c r="A1340" t="s">
        <v>1476</v>
      </c>
      <c r="B1340" t="s">
        <v>192</v>
      </c>
      <c r="C1340" t="s">
        <v>60</v>
      </c>
      <c r="D1340" t="str">
        <f>HYPERLINK("http://service.sap.com/sap/support/notes/1421117","1421117")</f>
        <v>1421117</v>
      </c>
      <c r="F1340" t="s">
        <v>1598</v>
      </c>
    </row>
    <row r="1341" spans="1:6">
      <c r="A1341" t="s">
        <v>1476</v>
      </c>
      <c r="B1341" t="s">
        <v>192</v>
      </c>
      <c r="C1341" t="s">
        <v>60</v>
      </c>
      <c r="D1341" t="str">
        <f>HYPERLINK("http://service.sap.com/sap/support/notes/1421698","1421698")</f>
        <v>1421698</v>
      </c>
      <c r="F1341" t="s">
        <v>1599</v>
      </c>
    </row>
    <row r="1342" spans="1:6">
      <c r="A1342" t="s">
        <v>1476</v>
      </c>
      <c r="B1342" t="s">
        <v>197</v>
      </c>
      <c r="C1342" t="s">
        <v>63</v>
      </c>
      <c r="D1342" t="str">
        <f>HYPERLINK("http://service.sap.com/sap/support/notes/1060819","1060819")</f>
        <v>1060819</v>
      </c>
      <c r="F1342" t="s">
        <v>198</v>
      </c>
    </row>
    <row r="1343" spans="1:6">
      <c r="A1343" t="s">
        <v>1476</v>
      </c>
      <c r="B1343" t="s">
        <v>197</v>
      </c>
      <c r="C1343" t="s">
        <v>63</v>
      </c>
      <c r="D1343" t="str">
        <f>HYPERLINK("http://service.sap.com/sap/support/notes/1354388","1354388")</f>
        <v>1354388</v>
      </c>
      <c r="F1343" t="s">
        <v>1600</v>
      </c>
    </row>
    <row r="1344" spans="1:6">
      <c r="A1344" t="s">
        <v>1476</v>
      </c>
      <c r="B1344" t="s">
        <v>197</v>
      </c>
      <c r="C1344" t="s">
        <v>63</v>
      </c>
      <c r="D1344" t="str">
        <f>HYPERLINK("http://service.sap.com/sap/support/notes/1385958","1385958")</f>
        <v>1385958</v>
      </c>
      <c r="F1344" t="s">
        <v>1601</v>
      </c>
    </row>
    <row r="1345" spans="1:6">
      <c r="A1345" t="s">
        <v>1476</v>
      </c>
      <c r="B1345" t="s">
        <v>197</v>
      </c>
      <c r="C1345" t="s">
        <v>63</v>
      </c>
      <c r="D1345" t="str">
        <f>HYPERLINK("http://service.sap.com/sap/support/notes/1388349","1388349")</f>
        <v>1388349</v>
      </c>
      <c r="F1345" t="s">
        <v>1602</v>
      </c>
    </row>
    <row r="1346" spans="1:6">
      <c r="A1346" t="s">
        <v>1476</v>
      </c>
      <c r="B1346" t="s">
        <v>197</v>
      </c>
      <c r="C1346" t="s">
        <v>63</v>
      </c>
      <c r="D1346" t="str">
        <f>HYPERLINK("http://service.sap.com/sap/support/notes/1390658","1390658")</f>
        <v>1390658</v>
      </c>
      <c r="F1346" t="s">
        <v>1603</v>
      </c>
    </row>
    <row r="1347" spans="1:6">
      <c r="A1347" t="s">
        <v>1476</v>
      </c>
      <c r="B1347" t="s">
        <v>197</v>
      </c>
      <c r="C1347" t="s">
        <v>63</v>
      </c>
      <c r="D1347" t="str">
        <f>HYPERLINK("http://service.sap.com/sap/support/notes/1390734","1390734")</f>
        <v>1390734</v>
      </c>
      <c r="F1347" t="s">
        <v>1604</v>
      </c>
    </row>
    <row r="1348" spans="1:6">
      <c r="A1348" t="s">
        <v>1476</v>
      </c>
      <c r="B1348" t="s">
        <v>197</v>
      </c>
      <c r="C1348" t="s">
        <v>63</v>
      </c>
      <c r="D1348" t="str">
        <f>HYPERLINK("http://service.sap.com/sap/support/notes/1393283","1393283")</f>
        <v>1393283</v>
      </c>
      <c r="F1348" t="s">
        <v>1605</v>
      </c>
    </row>
    <row r="1349" spans="1:6">
      <c r="A1349" t="s">
        <v>1476</v>
      </c>
      <c r="B1349" t="s">
        <v>197</v>
      </c>
      <c r="C1349" t="s">
        <v>63</v>
      </c>
      <c r="D1349" t="str">
        <f>HYPERLINK("http://service.sap.com/sap/support/notes/1396610","1396610")</f>
        <v>1396610</v>
      </c>
      <c r="F1349" t="s">
        <v>1606</v>
      </c>
    </row>
    <row r="1350" spans="1:6">
      <c r="A1350" t="s">
        <v>1476</v>
      </c>
      <c r="B1350" t="s">
        <v>197</v>
      </c>
      <c r="C1350" t="s">
        <v>63</v>
      </c>
      <c r="D1350" t="str">
        <f>HYPERLINK("http://service.sap.com/sap/support/notes/1409427","1409427")</f>
        <v>1409427</v>
      </c>
      <c r="F1350" t="s">
        <v>1607</v>
      </c>
    </row>
    <row r="1351" spans="1:6">
      <c r="A1351" t="s">
        <v>1476</v>
      </c>
      <c r="B1351" t="s">
        <v>197</v>
      </c>
      <c r="C1351" t="s">
        <v>63</v>
      </c>
      <c r="D1351" t="str">
        <f>HYPERLINK("http://service.sap.com/sap/support/notes/1412168","1412168")</f>
        <v>1412168</v>
      </c>
      <c r="F1351" t="s">
        <v>1608</v>
      </c>
    </row>
    <row r="1352" spans="1:6">
      <c r="A1352" t="s">
        <v>1476</v>
      </c>
      <c r="B1352" t="s">
        <v>197</v>
      </c>
      <c r="C1352" t="s">
        <v>63</v>
      </c>
      <c r="D1352" t="str">
        <f>HYPERLINK("http://service.sap.com/sap/support/notes/1412548","1412548")</f>
        <v>1412548</v>
      </c>
      <c r="F1352" t="s">
        <v>1609</v>
      </c>
    </row>
    <row r="1353" spans="1:6">
      <c r="A1353" t="s">
        <v>1476</v>
      </c>
      <c r="B1353" t="s">
        <v>197</v>
      </c>
      <c r="C1353" t="s">
        <v>63</v>
      </c>
      <c r="D1353" t="str">
        <f>HYPERLINK("http://service.sap.com/sap/support/notes/1414016","1414016")</f>
        <v>1414016</v>
      </c>
      <c r="F1353" t="s">
        <v>1610</v>
      </c>
    </row>
    <row r="1354" spans="1:6">
      <c r="A1354" t="s">
        <v>1476</v>
      </c>
      <c r="B1354" t="s">
        <v>197</v>
      </c>
      <c r="C1354" t="s">
        <v>63</v>
      </c>
      <c r="D1354" t="str">
        <f>HYPERLINK("http://service.sap.com/sap/support/notes/1415010","1415010")</f>
        <v>1415010</v>
      </c>
      <c r="F1354" t="s">
        <v>1611</v>
      </c>
    </row>
    <row r="1355" spans="1:6">
      <c r="A1355" t="s">
        <v>1476</v>
      </c>
      <c r="B1355" t="s">
        <v>204</v>
      </c>
      <c r="C1355" t="s">
        <v>205</v>
      </c>
      <c r="D1355" t="str">
        <f>HYPERLINK("http://service.sap.com/sap/support/notes/1418401","1418401")</f>
        <v>1418401</v>
      </c>
      <c r="F1355" t="s">
        <v>1612</v>
      </c>
    </row>
    <row r="1356" spans="1:6">
      <c r="A1356" t="s">
        <v>1476</v>
      </c>
      <c r="B1356" t="s">
        <v>207</v>
      </c>
      <c r="C1356" t="s">
        <v>208</v>
      </c>
      <c r="D1356" t="str">
        <f>HYPERLINK("http://service.sap.com/sap/support/notes/1413692","1413692")</f>
        <v>1413692</v>
      </c>
      <c r="F1356" t="s">
        <v>1613</v>
      </c>
    </row>
    <row r="1357" spans="1:6">
      <c r="A1357" t="s">
        <v>1476</v>
      </c>
      <c r="B1357" t="s">
        <v>207</v>
      </c>
      <c r="C1357" t="s">
        <v>208</v>
      </c>
      <c r="D1357" t="str">
        <f>HYPERLINK("http://service.sap.com/sap/support/notes/1414302","1414302")</f>
        <v>1414302</v>
      </c>
      <c r="F1357" t="s">
        <v>1614</v>
      </c>
    </row>
    <row r="1358" spans="1:6">
      <c r="A1358" t="s">
        <v>1476</v>
      </c>
      <c r="B1358" t="s">
        <v>207</v>
      </c>
      <c r="C1358" t="s">
        <v>208</v>
      </c>
      <c r="D1358" t="str">
        <f>HYPERLINK("http://service.sap.com/sap/support/notes/1414802","1414802")</f>
        <v>1414802</v>
      </c>
      <c r="F1358" t="s">
        <v>1615</v>
      </c>
    </row>
    <row r="1359" spans="1:6">
      <c r="A1359" t="s">
        <v>1476</v>
      </c>
      <c r="B1359" t="s">
        <v>207</v>
      </c>
      <c r="C1359" t="s">
        <v>208</v>
      </c>
      <c r="D1359" t="str">
        <f>HYPERLINK("http://service.sap.com/sap/support/notes/1416366","1416366")</f>
        <v>1416366</v>
      </c>
      <c r="F1359" t="s">
        <v>1616</v>
      </c>
    </row>
    <row r="1360" spans="1:6">
      <c r="A1360" t="s">
        <v>1476</v>
      </c>
      <c r="B1360" t="s">
        <v>207</v>
      </c>
      <c r="C1360" t="s">
        <v>208</v>
      </c>
      <c r="D1360" t="str">
        <f>HYPERLINK("http://service.sap.com/sap/support/notes/1417924","1417924")</f>
        <v>1417924</v>
      </c>
      <c r="F1360" t="s">
        <v>1617</v>
      </c>
    </row>
    <row r="1361" spans="1:6">
      <c r="A1361" t="s">
        <v>1476</v>
      </c>
      <c r="B1361" t="s">
        <v>211</v>
      </c>
      <c r="C1361" t="s">
        <v>212</v>
      </c>
      <c r="D1361" t="str">
        <f>HYPERLINK("http://service.sap.com/sap/support/notes/1133224","1133224")</f>
        <v>1133224</v>
      </c>
      <c r="F1361" t="s">
        <v>213</v>
      </c>
    </row>
    <row r="1362" spans="1:6">
      <c r="A1362" t="s">
        <v>1476</v>
      </c>
      <c r="B1362" t="s">
        <v>211</v>
      </c>
      <c r="C1362" t="s">
        <v>212</v>
      </c>
      <c r="D1362" t="str">
        <f>HYPERLINK("http://service.sap.com/sap/support/notes/1370697","1370697")</f>
        <v>1370697</v>
      </c>
      <c r="F1362" t="s">
        <v>1618</v>
      </c>
    </row>
    <row r="1363" spans="1:6">
      <c r="A1363" t="s">
        <v>1476</v>
      </c>
      <c r="B1363" t="s">
        <v>211</v>
      </c>
      <c r="C1363" t="s">
        <v>212</v>
      </c>
      <c r="D1363" t="str">
        <f>HYPERLINK("http://service.sap.com/sap/support/notes/1373235","1373235")</f>
        <v>1373235</v>
      </c>
      <c r="F1363" t="s">
        <v>1619</v>
      </c>
    </row>
    <row r="1364" spans="1:6">
      <c r="A1364" t="s">
        <v>1476</v>
      </c>
      <c r="B1364" t="s">
        <v>211</v>
      </c>
      <c r="C1364" t="s">
        <v>212</v>
      </c>
      <c r="D1364" t="str">
        <f>HYPERLINK("http://service.sap.com/sap/support/notes/1374984","1374984")</f>
        <v>1374984</v>
      </c>
      <c r="F1364" t="s">
        <v>1620</v>
      </c>
    </row>
    <row r="1365" spans="1:6">
      <c r="A1365" t="s">
        <v>1476</v>
      </c>
      <c r="B1365" t="s">
        <v>211</v>
      </c>
      <c r="C1365" t="s">
        <v>212</v>
      </c>
      <c r="D1365" t="str">
        <f>HYPERLINK("http://service.sap.com/sap/support/notes/1375677","1375677")</f>
        <v>1375677</v>
      </c>
      <c r="F1365" t="s">
        <v>1010</v>
      </c>
    </row>
    <row r="1366" spans="1:6">
      <c r="A1366" t="s">
        <v>1476</v>
      </c>
      <c r="B1366" t="s">
        <v>211</v>
      </c>
      <c r="C1366" t="s">
        <v>212</v>
      </c>
      <c r="D1366" t="str">
        <f>HYPERLINK("http://service.sap.com/sap/support/notes/1375802","1375802")</f>
        <v>1375802</v>
      </c>
      <c r="F1366" t="s">
        <v>1621</v>
      </c>
    </row>
    <row r="1367" spans="1:6">
      <c r="A1367" t="s">
        <v>1476</v>
      </c>
      <c r="B1367" t="s">
        <v>211</v>
      </c>
      <c r="C1367" t="s">
        <v>212</v>
      </c>
      <c r="D1367" t="str">
        <f>HYPERLINK("http://service.sap.com/sap/support/notes/1392561","1392561")</f>
        <v>1392561</v>
      </c>
      <c r="F1367" t="s">
        <v>1622</v>
      </c>
    </row>
    <row r="1368" spans="1:6">
      <c r="A1368" t="s">
        <v>1476</v>
      </c>
      <c r="B1368" t="s">
        <v>211</v>
      </c>
      <c r="C1368" t="s">
        <v>212</v>
      </c>
      <c r="D1368" t="str">
        <f>HYPERLINK("http://service.sap.com/sap/support/notes/1410659","1410659")</f>
        <v>1410659</v>
      </c>
      <c r="F1368" t="s">
        <v>1623</v>
      </c>
    </row>
    <row r="1369" spans="1:6">
      <c r="A1369" t="s">
        <v>1476</v>
      </c>
      <c r="B1369" t="s">
        <v>211</v>
      </c>
      <c r="C1369" t="s">
        <v>212</v>
      </c>
      <c r="D1369" t="str">
        <f>HYPERLINK("http://service.sap.com/sap/support/notes/1413509","1413509")</f>
        <v>1413509</v>
      </c>
      <c r="F1369" t="s">
        <v>1624</v>
      </c>
    </row>
    <row r="1370" spans="1:6">
      <c r="A1370" t="s">
        <v>1476</v>
      </c>
      <c r="B1370" t="s">
        <v>211</v>
      </c>
      <c r="C1370" t="s">
        <v>212</v>
      </c>
      <c r="D1370" t="str">
        <f>HYPERLINK("http://service.sap.com/sap/support/notes/1413558","1413558")</f>
        <v>1413558</v>
      </c>
      <c r="F1370" t="s">
        <v>1625</v>
      </c>
    </row>
    <row r="1371" spans="1:6">
      <c r="A1371" t="s">
        <v>1476</v>
      </c>
      <c r="B1371" t="s">
        <v>211</v>
      </c>
      <c r="C1371" t="s">
        <v>212</v>
      </c>
      <c r="D1371" t="str">
        <f>HYPERLINK("http://service.sap.com/sap/support/notes/1417674","1417674")</f>
        <v>1417674</v>
      </c>
      <c r="F1371" t="s">
        <v>1626</v>
      </c>
    </row>
    <row r="1372" spans="1:6">
      <c r="A1372" t="s">
        <v>1476</v>
      </c>
      <c r="B1372" t="s">
        <v>211</v>
      </c>
      <c r="C1372" t="s">
        <v>212</v>
      </c>
      <c r="D1372" t="str">
        <f>HYPERLINK("http://service.sap.com/sap/support/notes/1417993","1417993")</f>
        <v>1417993</v>
      </c>
      <c r="F1372" t="s">
        <v>1627</v>
      </c>
    </row>
    <row r="1373" spans="1:6">
      <c r="A1373" t="s">
        <v>1476</v>
      </c>
      <c r="B1373" t="s">
        <v>211</v>
      </c>
      <c r="C1373" t="s">
        <v>212</v>
      </c>
      <c r="D1373" t="str">
        <f>HYPERLINK("http://service.sap.com/sap/support/notes/1422228","1422228")</f>
        <v>1422228</v>
      </c>
      <c r="F1373" t="s">
        <v>1628</v>
      </c>
    </row>
    <row r="1374" spans="1:6">
      <c r="A1374" t="s">
        <v>1476</v>
      </c>
      <c r="B1374" t="s">
        <v>218</v>
      </c>
      <c r="C1374" t="s">
        <v>219</v>
      </c>
      <c r="D1374" t="str">
        <f>HYPERLINK("http://service.sap.com/sap/support/notes/1399461","1399461")</f>
        <v>1399461</v>
      </c>
      <c r="F1374" t="s">
        <v>222</v>
      </c>
    </row>
    <row r="1375" spans="1:6">
      <c r="A1375" t="s">
        <v>1476</v>
      </c>
      <c r="B1375" t="s">
        <v>218</v>
      </c>
      <c r="C1375" t="s">
        <v>219</v>
      </c>
      <c r="D1375" t="str">
        <f>HYPERLINK("http://service.sap.com/sap/support/notes/1399462","1399462")</f>
        <v>1399462</v>
      </c>
      <c r="F1375" t="s">
        <v>223</v>
      </c>
    </row>
    <row r="1376" spans="1:6">
      <c r="A1376" t="s">
        <v>1476</v>
      </c>
      <c r="B1376" t="s">
        <v>218</v>
      </c>
      <c r="C1376" t="s">
        <v>219</v>
      </c>
      <c r="D1376" t="str">
        <f>HYPERLINK("http://service.sap.com/sap/support/notes/1399533","1399533")</f>
        <v>1399533</v>
      </c>
      <c r="F1376" t="s">
        <v>224</v>
      </c>
    </row>
    <row r="1377" spans="1:6">
      <c r="A1377" t="s">
        <v>1476</v>
      </c>
      <c r="B1377" t="s">
        <v>225</v>
      </c>
      <c r="C1377" t="s">
        <v>66</v>
      </c>
      <c r="D1377" t="str">
        <f>HYPERLINK("http://service.sap.com/sap/support/notes/1302933","1302933")</f>
        <v>1302933</v>
      </c>
      <c r="F1377" t="s">
        <v>1016</v>
      </c>
    </row>
    <row r="1378" spans="1:6">
      <c r="A1378" t="s">
        <v>1476</v>
      </c>
      <c r="B1378" t="s">
        <v>228</v>
      </c>
      <c r="C1378" t="s">
        <v>69</v>
      </c>
      <c r="D1378" t="str">
        <f>HYPERLINK("http://service.sap.com/sap/support/notes/1392033","1392033")</f>
        <v>1392033</v>
      </c>
      <c r="F1378" t="s">
        <v>229</v>
      </c>
    </row>
    <row r="1379" spans="1:6">
      <c r="A1379" t="s">
        <v>1476</v>
      </c>
      <c r="B1379" t="s">
        <v>228</v>
      </c>
      <c r="C1379" t="s">
        <v>69</v>
      </c>
      <c r="D1379" t="str">
        <f>HYPERLINK("http://service.sap.com/sap/support/notes/1411768","1411768")</f>
        <v>1411768</v>
      </c>
      <c r="F1379" t="s">
        <v>1629</v>
      </c>
    </row>
    <row r="1380" spans="1:6">
      <c r="A1380" t="s">
        <v>1476</v>
      </c>
      <c r="B1380" t="s">
        <v>228</v>
      </c>
      <c r="C1380" t="s">
        <v>69</v>
      </c>
      <c r="D1380" t="str">
        <f>HYPERLINK("http://service.sap.com/sap/support/notes/1418235","1418235")</f>
        <v>1418235</v>
      </c>
      <c r="F1380" t="s">
        <v>1630</v>
      </c>
    </row>
    <row r="1381" spans="1:6">
      <c r="A1381" t="s">
        <v>1476</v>
      </c>
      <c r="B1381" t="s">
        <v>228</v>
      </c>
      <c r="C1381" t="s">
        <v>69</v>
      </c>
      <c r="D1381" t="str">
        <f>HYPERLINK("http://service.sap.com/sap/support/notes/1418570","1418570")</f>
        <v>1418570</v>
      </c>
      <c r="F1381" t="s">
        <v>1631</v>
      </c>
    </row>
    <row r="1382" spans="1:6">
      <c r="A1382" t="s">
        <v>1476</v>
      </c>
      <c r="B1382" t="s">
        <v>1024</v>
      </c>
      <c r="C1382" t="s">
        <v>1458</v>
      </c>
      <c r="D1382" t="str">
        <f>HYPERLINK("http://service.sap.com/sap/support/notes/1412236","1412236")</f>
        <v>1412236</v>
      </c>
      <c r="F1382" t="s">
        <v>1632</v>
      </c>
    </row>
    <row r="1383" spans="1:6">
      <c r="A1383" t="s">
        <v>1476</v>
      </c>
      <c r="B1383" t="s">
        <v>1024</v>
      </c>
      <c r="C1383" t="s">
        <v>1458</v>
      </c>
      <c r="D1383" t="str">
        <f>HYPERLINK("http://service.sap.com/sap/support/notes/1415311","1415311")</f>
        <v>1415311</v>
      </c>
      <c r="F1383" t="s">
        <v>1633</v>
      </c>
    </row>
    <row r="1384" spans="1:6">
      <c r="A1384" t="s">
        <v>1476</v>
      </c>
      <c r="B1384" t="s">
        <v>1024</v>
      </c>
      <c r="C1384" t="s">
        <v>1458</v>
      </c>
      <c r="D1384" t="str">
        <f>HYPERLINK("http://service.sap.com/sap/support/notes/1415673","1415673")</f>
        <v>1415673</v>
      </c>
      <c r="F1384" t="s">
        <v>1634</v>
      </c>
    </row>
    <row r="1385" spans="1:6">
      <c r="A1385" t="s">
        <v>1476</v>
      </c>
      <c r="B1385" t="s">
        <v>1024</v>
      </c>
      <c r="C1385" t="s">
        <v>1458</v>
      </c>
      <c r="D1385" t="str">
        <f>HYPERLINK("http://service.sap.com/sap/support/notes/1422265","1422265")</f>
        <v>1422265</v>
      </c>
      <c r="F1385" t="s">
        <v>1635</v>
      </c>
    </row>
    <row r="1386" spans="1:6">
      <c r="A1386" t="s">
        <v>1476</v>
      </c>
      <c r="B1386" t="s">
        <v>1024</v>
      </c>
      <c r="C1386" t="s">
        <v>1458</v>
      </c>
      <c r="D1386" t="str">
        <f>HYPERLINK("http://service.sap.com/sap/support/notes/1422643","1422643")</f>
        <v>1422643</v>
      </c>
      <c r="F1386" t="s">
        <v>1636</v>
      </c>
    </row>
    <row r="1387" spans="1:6">
      <c r="A1387" t="s">
        <v>1476</v>
      </c>
      <c r="B1387" t="s">
        <v>230</v>
      </c>
      <c r="C1387" t="s">
        <v>231</v>
      </c>
      <c r="D1387" t="str">
        <f>HYPERLINK("http://service.sap.com/sap/support/notes/1416186","1416186")</f>
        <v>1416186</v>
      </c>
      <c r="F1387" t="s">
        <v>1637</v>
      </c>
    </row>
    <row r="1388" spans="1:6">
      <c r="A1388" t="s">
        <v>1476</v>
      </c>
      <c r="B1388" t="s">
        <v>230</v>
      </c>
      <c r="C1388" t="s">
        <v>231</v>
      </c>
      <c r="D1388" t="str">
        <f>HYPERLINK("http://service.sap.com/sap/support/notes/1417731","1417731")</f>
        <v>1417731</v>
      </c>
      <c r="F1388" t="s">
        <v>1638</v>
      </c>
    </row>
    <row r="1389" spans="1:6">
      <c r="A1389" t="s">
        <v>1476</v>
      </c>
      <c r="B1389" t="s">
        <v>230</v>
      </c>
      <c r="C1389" t="s">
        <v>231</v>
      </c>
      <c r="D1389" t="str">
        <f>HYPERLINK("http://service.sap.com/sap/support/notes/1421162","1421162")</f>
        <v>1421162</v>
      </c>
      <c r="F1389" t="s">
        <v>1639</v>
      </c>
    </row>
    <row r="1390" spans="1:6">
      <c r="A1390" t="s">
        <v>1476</v>
      </c>
      <c r="B1390" t="s">
        <v>233</v>
      </c>
      <c r="C1390" t="s">
        <v>234</v>
      </c>
    </row>
    <row r="1391" spans="1:6">
      <c r="A1391" t="s">
        <v>1476</v>
      </c>
      <c r="B1391" t="s">
        <v>235</v>
      </c>
      <c r="C1391" t="s">
        <v>236</v>
      </c>
      <c r="D1391" t="str">
        <f>HYPERLINK("http://service.sap.com/sap/support/notes/1415755","1415755")</f>
        <v>1415755</v>
      </c>
      <c r="F1391" t="s">
        <v>1640</v>
      </c>
    </row>
    <row r="1392" spans="1:6">
      <c r="A1392" t="s">
        <v>1476</v>
      </c>
      <c r="B1392" t="s">
        <v>235</v>
      </c>
      <c r="C1392" t="s">
        <v>236</v>
      </c>
      <c r="D1392" t="str">
        <f>HYPERLINK("http://service.sap.com/sap/support/notes/1416028","1416028")</f>
        <v>1416028</v>
      </c>
      <c r="F1392" t="s">
        <v>1641</v>
      </c>
    </row>
    <row r="1393" spans="1:6">
      <c r="A1393" t="s">
        <v>1476</v>
      </c>
      <c r="B1393" t="s">
        <v>1460</v>
      </c>
      <c r="C1393" t="s">
        <v>1461</v>
      </c>
      <c r="D1393" t="str">
        <f>HYPERLINK("http://service.sap.com/sap/support/notes/1415732","1415732")</f>
        <v>1415732</v>
      </c>
      <c r="F1393" t="s">
        <v>1642</v>
      </c>
    </row>
    <row r="1394" spans="1:6">
      <c r="A1394" t="s">
        <v>1476</v>
      </c>
      <c r="B1394" t="s">
        <v>1460</v>
      </c>
      <c r="C1394" t="s">
        <v>1461</v>
      </c>
      <c r="D1394" t="str">
        <f>HYPERLINK("http://service.sap.com/sap/support/notes/1422011","1422011")</f>
        <v>1422011</v>
      </c>
      <c r="F1394" t="s">
        <v>1643</v>
      </c>
    </row>
    <row r="1395" spans="1:6">
      <c r="A1395" t="s">
        <v>1476</v>
      </c>
      <c r="B1395" t="s">
        <v>1460</v>
      </c>
      <c r="C1395" t="s">
        <v>1461</v>
      </c>
      <c r="D1395" t="str">
        <f>HYPERLINK("http://service.sap.com/sap/support/notes/1422442","1422442")</f>
        <v>1422442</v>
      </c>
      <c r="F1395" t="s">
        <v>1644</v>
      </c>
    </row>
    <row r="1396" spans="1:6">
      <c r="A1396" t="s">
        <v>1476</v>
      </c>
      <c r="B1396" t="s">
        <v>1044</v>
      </c>
      <c r="C1396" t="s">
        <v>1645</v>
      </c>
      <c r="D1396" t="str">
        <f>HYPERLINK("http://service.sap.com/sap/support/notes/1421029","1421029")</f>
        <v>1421029</v>
      </c>
      <c r="F1396" t="s">
        <v>1646</v>
      </c>
    </row>
    <row r="1397" spans="1:6">
      <c r="A1397" t="s">
        <v>1476</v>
      </c>
      <c r="B1397" t="s">
        <v>238</v>
      </c>
      <c r="C1397" t="s">
        <v>239</v>
      </c>
    </row>
    <row r="1398" spans="1:6">
      <c r="A1398" t="s">
        <v>1476</v>
      </c>
      <c r="B1398" t="s">
        <v>1047</v>
      </c>
      <c r="C1398" t="s">
        <v>1048</v>
      </c>
      <c r="D1398" t="str">
        <f>HYPERLINK("http://service.sap.com/sap/support/notes/1413943","1413943")</f>
        <v>1413943</v>
      </c>
      <c r="F1398" t="s">
        <v>1647</v>
      </c>
    </row>
    <row r="1399" spans="1:6">
      <c r="A1399" t="s">
        <v>1476</v>
      </c>
      <c r="B1399" t="s">
        <v>240</v>
      </c>
      <c r="C1399" t="s">
        <v>241</v>
      </c>
      <c r="D1399" t="str">
        <f>HYPERLINK("http://service.sap.com/sap/support/notes/1402937","1402937")</f>
        <v>1402937</v>
      </c>
      <c r="F1399" t="s">
        <v>1648</v>
      </c>
    </row>
    <row r="1400" spans="1:6">
      <c r="A1400" t="s">
        <v>1476</v>
      </c>
      <c r="B1400" t="s">
        <v>240</v>
      </c>
      <c r="C1400" t="s">
        <v>241</v>
      </c>
      <c r="D1400" t="str">
        <f>HYPERLINK("http://service.sap.com/sap/support/notes/1406522","1406522")</f>
        <v>1406522</v>
      </c>
      <c r="F1400" t="s">
        <v>1649</v>
      </c>
    </row>
    <row r="1401" spans="1:6">
      <c r="A1401" t="s">
        <v>1476</v>
      </c>
      <c r="B1401" t="s">
        <v>240</v>
      </c>
      <c r="C1401" t="s">
        <v>241</v>
      </c>
      <c r="D1401" t="str">
        <f>HYPERLINK("http://service.sap.com/sap/support/notes/1410612","1410612")</f>
        <v>1410612</v>
      </c>
      <c r="F1401" t="s">
        <v>1650</v>
      </c>
    </row>
    <row r="1402" spans="1:6">
      <c r="A1402" t="s">
        <v>1476</v>
      </c>
      <c r="B1402" t="s">
        <v>240</v>
      </c>
      <c r="C1402" t="s">
        <v>241</v>
      </c>
      <c r="D1402" t="str">
        <f>HYPERLINK("http://service.sap.com/sap/support/notes/1416934","1416934")</f>
        <v>1416934</v>
      </c>
      <c r="F1402" t="s">
        <v>1651</v>
      </c>
    </row>
    <row r="1403" spans="1:6">
      <c r="A1403" t="s">
        <v>1476</v>
      </c>
      <c r="B1403" t="s">
        <v>244</v>
      </c>
      <c r="C1403" t="s">
        <v>245</v>
      </c>
      <c r="D1403" t="str">
        <f>HYPERLINK("http://service.sap.com/sap/support/notes/1414908","1414908")</f>
        <v>1414908</v>
      </c>
      <c r="F1403" t="s">
        <v>1652</v>
      </c>
    </row>
    <row r="1404" spans="1:6">
      <c r="A1404" t="s">
        <v>1476</v>
      </c>
      <c r="B1404" t="s">
        <v>244</v>
      </c>
      <c r="C1404" t="s">
        <v>245</v>
      </c>
      <c r="D1404" t="str">
        <f>HYPERLINK("http://service.sap.com/sap/support/notes/1416549","1416549")</f>
        <v>1416549</v>
      </c>
      <c r="F1404" t="s">
        <v>1653</v>
      </c>
    </row>
    <row r="1405" spans="1:6">
      <c r="A1405" t="s">
        <v>1476</v>
      </c>
      <c r="B1405" t="s">
        <v>244</v>
      </c>
      <c r="C1405" t="s">
        <v>245</v>
      </c>
      <c r="D1405" t="str">
        <f>HYPERLINK("http://service.sap.com/sap/support/notes/1421838","1421838")</f>
        <v>1421838</v>
      </c>
      <c r="F1405" t="s">
        <v>1654</v>
      </c>
    </row>
    <row r="1406" spans="1:6">
      <c r="A1406" t="s">
        <v>1476</v>
      </c>
      <c r="B1406" t="s">
        <v>1058</v>
      </c>
      <c r="C1406" t="s">
        <v>1655</v>
      </c>
      <c r="D1406" t="str">
        <f>HYPERLINK("http://service.sap.com/sap/support/notes/1422973","1422973")</f>
        <v>1422973</v>
      </c>
      <c r="F1406" t="s">
        <v>1656</v>
      </c>
    </row>
    <row r="1407" spans="1:6">
      <c r="A1407" t="s">
        <v>1476</v>
      </c>
      <c r="B1407" t="s">
        <v>254</v>
      </c>
      <c r="C1407" t="s">
        <v>255</v>
      </c>
      <c r="D1407" t="str">
        <f>HYPERLINK("http://service.sap.com/sap/support/notes/1413037","1413037")</f>
        <v>1413037</v>
      </c>
      <c r="F1407" t="s">
        <v>1657</v>
      </c>
    </row>
    <row r="1408" spans="1:6">
      <c r="A1408" t="s">
        <v>1476</v>
      </c>
      <c r="B1408" t="s">
        <v>254</v>
      </c>
      <c r="C1408" t="s">
        <v>255</v>
      </c>
      <c r="D1408" t="str">
        <f>HYPERLINK("http://service.sap.com/sap/support/notes/1417379","1417379")</f>
        <v>1417379</v>
      </c>
      <c r="F1408" t="s">
        <v>1658</v>
      </c>
    </row>
    <row r="1409" spans="1:6">
      <c r="A1409" t="s">
        <v>1476</v>
      </c>
      <c r="B1409" t="s">
        <v>254</v>
      </c>
      <c r="C1409" t="s">
        <v>255</v>
      </c>
      <c r="D1409" t="str">
        <f>HYPERLINK("http://service.sap.com/sap/support/notes/1417931","1417931")</f>
        <v>1417931</v>
      </c>
      <c r="F1409" t="s">
        <v>1659</v>
      </c>
    </row>
    <row r="1410" spans="1:6">
      <c r="A1410" t="s">
        <v>1476</v>
      </c>
      <c r="B1410" t="s">
        <v>254</v>
      </c>
      <c r="C1410" t="s">
        <v>255</v>
      </c>
      <c r="D1410" t="str">
        <f>HYPERLINK("http://service.sap.com/sap/support/notes/1418818","1418818")</f>
        <v>1418818</v>
      </c>
      <c r="F1410" t="s">
        <v>1660</v>
      </c>
    </row>
    <row r="1411" spans="1:6">
      <c r="A1411" t="s">
        <v>1476</v>
      </c>
      <c r="B1411" t="s">
        <v>254</v>
      </c>
      <c r="C1411" t="s">
        <v>255</v>
      </c>
      <c r="D1411" t="str">
        <f>HYPERLINK("http://service.sap.com/sap/support/notes/1419236","1419236")</f>
        <v>1419236</v>
      </c>
      <c r="F1411" t="s">
        <v>1661</v>
      </c>
    </row>
    <row r="1412" spans="1:6">
      <c r="A1412" t="s">
        <v>1476</v>
      </c>
      <c r="B1412" t="s">
        <v>258</v>
      </c>
      <c r="C1412" t="s">
        <v>189</v>
      </c>
      <c r="D1412" t="str">
        <f>HYPERLINK("http://service.sap.com/sap/support/notes/1403853","1403853")</f>
        <v>1403853</v>
      </c>
      <c r="F1412" t="s">
        <v>1662</v>
      </c>
    </row>
    <row r="1413" spans="1:6">
      <c r="A1413" t="s">
        <v>1476</v>
      </c>
      <c r="B1413" t="s">
        <v>258</v>
      </c>
      <c r="C1413" t="s">
        <v>189</v>
      </c>
      <c r="D1413" t="str">
        <f>HYPERLINK("http://service.sap.com/sap/support/notes/1411971","1411971")</f>
        <v>1411971</v>
      </c>
      <c r="F1413" t="s">
        <v>1663</v>
      </c>
    </row>
    <row r="1414" spans="1:6">
      <c r="A1414" t="s">
        <v>1476</v>
      </c>
      <c r="B1414" t="s">
        <v>258</v>
      </c>
      <c r="C1414" t="s">
        <v>189</v>
      </c>
      <c r="D1414" t="str">
        <f>HYPERLINK("http://service.sap.com/sap/support/notes/1413937","1413937")</f>
        <v>1413937</v>
      </c>
      <c r="F1414" t="s">
        <v>1664</v>
      </c>
    </row>
    <row r="1415" spans="1:6">
      <c r="A1415" t="s">
        <v>1476</v>
      </c>
      <c r="B1415" t="s">
        <v>258</v>
      </c>
      <c r="C1415" t="s">
        <v>189</v>
      </c>
      <c r="D1415" t="str">
        <f>HYPERLINK("http://service.sap.com/sap/support/notes/1414177","1414177")</f>
        <v>1414177</v>
      </c>
      <c r="F1415" t="s">
        <v>1665</v>
      </c>
    </row>
    <row r="1416" spans="1:6">
      <c r="A1416" t="s">
        <v>1476</v>
      </c>
      <c r="B1416" t="s">
        <v>258</v>
      </c>
      <c r="C1416" t="s">
        <v>189</v>
      </c>
      <c r="D1416" t="str">
        <f>HYPERLINK("http://service.sap.com/sap/support/notes/1416606","1416606")</f>
        <v>1416606</v>
      </c>
      <c r="F1416" t="s">
        <v>1666</v>
      </c>
    </row>
    <row r="1417" spans="1:6">
      <c r="A1417" t="s">
        <v>1476</v>
      </c>
      <c r="B1417" t="s">
        <v>258</v>
      </c>
      <c r="C1417" t="s">
        <v>189</v>
      </c>
      <c r="D1417" t="str">
        <f>HYPERLINK("http://service.sap.com/sap/support/notes/1416877","1416877")</f>
        <v>1416877</v>
      </c>
      <c r="F1417" t="s">
        <v>1667</v>
      </c>
    </row>
    <row r="1418" spans="1:6">
      <c r="A1418" t="s">
        <v>1476</v>
      </c>
      <c r="B1418" t="s">
        <v>258</v>
      </c>
      <c r="C1418" t="s">
        <v>189</v>
      </c>
      <c r="D1418" t="str">
        <f>HYPERLINK("http://service.sap.com/sap/support/notes/1417092","1417092")</f>
        <v>1417092</v>
      </c>
      <c r="F1418" t="s">
        <v>1668</v>
      </c>
    </row>
    <row r="1419" spans="1:6">
      <c r="A1419" t="s">
        <v>1476</v>
      </c>
      <c r="B1419" t="s">
        <v>258</v>
      </c>
      <c r="C1419" t="s">
        <v>189</v>
      </c>
      <c r="D1419" t="str">
        <f>HYPERLINK("http://service.sap.com/sap/support/notes/1418254","1418254")</f>
        <v>1418254</v>
      </c>
      <c r="F1419" t="s">
        <v>1669</v>
      </c>
    </row>
    <row r="1420" spans="1:6">
      <c r="A1420" t="s">
        <v>1476</v>
      </c>
      <c r="B1420" t="s">
        <v>258</v>
      </c>
      <c r="C1420" t="s">
        <v>189</v>
      </c>
      <c r="D1420" t="str">
        <f>HYPERLINK("http://service.sap.com/sap/support/notes/1419649","1419649")</f>
        <v>1419649</v>
      </c>
      <c r="F1420" t="s">
        <v>1670</v>
      </c>
    </row>
    <row r="1421" spans="1:6">
      <c r="A1421" t="s">
        <v>1476</v>
      </c>
      <c r="B1421" t="s">
        <v>258</v>
      </c>
      <c r="C1421" t="s">
        <v>189</v>
      </c>
      <c r="D1421" t="str">
        <f>HYPERLINK("http://service.sap.com/sap/support/notes/1421276","1421276")</f>
        <v>1421276</v>
      </c>
      <c r="F1421" t="s">
        <v>1671</v>
      </c>
    </row>
    <row r="1422" spans="1:6">
      <c r="A1422" t="s">
        <v>1476</v>
      </c>
      <c r="B1422" t="s">
        <v>258</v>
      </c>
      <c r="C1422" t="s">
        <v>189</v>
      </c>
      <c r="D1422" t="str">
        <f>HYPERLINK("http://service.sap.com/sap/support/notes/1422762","1422762")</f>
        <v>1422762</v>
      </c>
      <c r="F1422" t="s">
        <v>1672</v>
      </c>
    </row>
    <row r="1423" spans="1:6">
      <c r="A1423" t="s">
        <v>1476</v>
      </c>
      <c r="B1423" t="s">
        <v>273</v>
      </c>
      <c r="C1423" t="s">
        <v>274</v>
      </c>
      <c r="D1423" t="str">
        <f>HYPERLINK("http://service.sap.com/sap/support/notes/1404363","1404363")</f>
        <v>1404363</v>
      </c>
      <c r="F1423" t="s">
        <v>1673</v>
      </c>
    </row>
    <row r="1424" spans="1:6">
      <c r="A1424" t="s">
        <v>1476</v>
      </c>
      <c r="B1424" t="s">
        <v>273</v>
      </c>
      <c r="C1424" t="s">
        <v>274</v>
      </c>
      <c r="D1424" t="str">
        <f>HYPERLINK("http://service.sap.com/sap/support/notes/1412302","1412302")</f>
        <v>1412302</v>
      </c>
      <c r="F1424" t="s">
        <v>1674</v>
      </c>
    </row>
    <row r="1425" spans="1:6">
      <c r="A1425" t="s">
        <v>1476</v>
      </c>
      <c r="B1425" t="s">
        <v>273</v>
      </c>
      <c r="C1425" t="s">
        <v>274</v>
      </c>
      <c r="D1425" t="str">
        <f>HYPERLINK("http://service.sap.com/sap/support/notes/1415114","1415114")</f>
        <v>1415114</v>
      </c>
      <c r="F1425" t="s">
        <v>1675</v>
      </c>
    </row>
    <row r="1426" spans="1:6">
      <c r="A1426" t="s">
        <v>1476</v>
      </c>
      <c r="B1426" t="s">
        <v>279</v>
      </c>
      <c r="C1426" t="s">
        <v>280</v>
      </c>
      <c r="D1426" t="str">
        <f>HYPERLINK("http://service.sap.com/sap/support/notes/1334183","1334183")</f>
        <v>1334183</v>
      </c>
      <c r="F1426" t="s">
        <v>1676</v>
      </c>
    </row>
    <row r="1427" spans="1:6">
      <c r="A1427" t="s">
        <v>1476</v>
      </c>
      <c r="B1427" t="s">
        <v>279</v>
      </c>
      <c r="C1427" t="s">
        <v>280</v>
      </c>
      <c r="D1427" t="str">
        <f>HYPERLINK("http://service.sap.com/sap/support/notes/1411910","1411910")</f>
        <v>1411910</v>
      </c>
      <c r="F1427" t="s">
        <v>1677</v>
      </c>
    </row>
    <row r="1428" spans="1:6">
      <c r="A1428" t="s">
        <v>1476</v>
      </c>
      <c r="B1428" t="s">
        <v>279</v>
      </c>
      <c r="C1428" t="s">
        <v>280</v>
      </c>
      <c r="D1428" t="str">
        <f>HYPERLINK("http://service.sap.com/sap/support/notes/1413752","1413752")</f>
        <v>1413752</v>
      </c>
      <c r="F1428" t="s">
        <v>1678</v>
      </c>
    </row>
    <row r="1429" spans="1:6">
      <c r="A1429" t="s">
        <v>1476</v>
      </c>
      <c r="B1429" t="s">
        <v>279</v>
      </c>
      <c r="C1429" t="s">
        <v>280</v>
      </c>
      <c r="D1429" t="str">
        <f>HYPERLINK("http://service.sap.com/sap/support/notes/1414194","1414194")</f>
        <v>1414194</v>
      </c>
      <c r="F1429" t="s">
        <v>1679</v>
      </c>
    </row>
    <row r="1430" spans="1:6">
      <c r="A1430" t="s">
        <v>1476</v>
      </c>
      <c r="B1430" t="s">
        <v>279</v>
      </c>
      <c r="C1430" t="s">
        <v>280</v>
      </c>
      <c r="D1430" t="str">
        <f>HYPERLINK("http://service.sap.com/sap/support/notes/1415365","1415365")</f>
        <v>1415365</v>
      </c>
      <c r="F1430" t="s">
        <v>1680</v>
      </c>
    </row>
    <row r="1431" spans="1:6">
      <c r="A1431" t="s">
        <v>1476</v>
      </c>
      <c r="B1431" t="s">
        <v>279</v>
      </c>
      <c r="C1431" t="s">
        <v>280</v>
      </c>
      <c r="D1431" t="str">
        <f>HYPERLINK("http://service.sap.com/sap/support/notes/1416627","1416627")</f>
        <v>1416627</v>
      </c>
      <c r="F1431" t="s">
        <v>1681</v>
      </c>
    </row>
    <row r="1432" spans="1:6">
      <c r="A1432" t="s">
        <v>1476</v>
      </c>
      <c r="B1432" t="s">
        <v>279</v>
      </c>
      <c r="C1432" t="s">
        <v>280</v>
      </c>
      <c r="D1432" t="str">
        <f>HYPERLINK("http://service.sap.com/sap/support/notes/1417058","1417058")</f>
        <v>1417058</v>
      </c>
      <c r="F1432" t="s">
        <v>1682</v>
      </c>
    </row>
    <row r="1433" spans="1:6">
      <c r="A1433" t="s">
        <v>1476</v>
      </c>
      <c r="B1433" t="s">
        <v>279</v>
      </c>
      <c r="C1433" t="s">
        <v>280</v>
      </c>
      <c r="D1433" t="str">
        <f>HYPERLINK("http://service.sap.com/sap/support/notes/1418505","1418505")</f>
        <v>1418505</v>
      </c>
      <c r="F1433" t="s">
        <v>1683</v>
      </c>
    </row>
    <row r="1434" spans="1:6">
      <c r="A1434" t="s">
        <v>1476</v>
      </c>
      <c r="B1434" t="s">
        <v>279</v>
      </c>
      <c r="C1434" t="s">
        <v>280</v>
      </c>
      <c r="D1434" t="str">
        <f>HYPERLINK("http://service.sap.com/sap/support/notes/1420102","1420102")</f>
        <v>1420102</v>
      </c>
      <c r="F1434" t="s">
        <v>1684</v>
      </c>
    </row>
    <row r="1435" spans="1:6">
      <c r="A1435" t="s">
        <v>1476</v>
      </c>
      <c r="B1435" t="s">
        <v>292</v>
      </c>
      <c r="C1435" t="s">
        <v>293</v>
      </c>
      <c r="D1435" t="str">
        <f>HYPERLINK("http://service.sap.com/sap/support/notes/1411772","1411772")</f>
        <v>1411772</v>
      </c>
      <c r="F1435" t="s">
        <v>1685</v>
      </c>
    </row>
    <row r="1436" spans="1:6">
      <c r="A1436" t="s">
        <v>1476</v>
      </c>
      <c r="B1436" t="s">
        <v>292</v>
      </c>
      <c r="C1436" t="s">
        <v>293</v>
      </c>
      <c r="D1436" t="str">
        <f>HYPERLINK("http://service.sap.com/sap/support/notes/1418239","1418239")</f>
        <v>1418239</v>
      </c>
      <c r="F1436" t="s">
        <v>1686</v>
      </c>
    </row>
    <row r="1437" spans="1:6">
      <c r="A1437" t="s">
        <v>1476</v>
      </c>
      <c r="B1437" t="s">
        <v>292</v>
      </c>
      <c r="C1437" t="s">
        <v>293</v>
      </c>
      <c r="D1437" t="str">
        <f>HYPERLINK("http://service.sap.com/sap/support/notes/1418627","1418627")</f>
        <v>1418627</v>
      </c>
      <c r="F1437" t="s">
        <v>1687</v>
      </c>
    </row>
    <row r="1438" spans="1:6">
      <c r="A1438" t="s">
        <v>1476</v>
      </c>
      <c r="B1438" t="s">
        <v>292</v>
      </c>
      <c r="C1438" t="s">
        <v>293</v>
      </c>
      <c r="D1438" t="str">
        <f>HYPERLINK("http://service.sap.com/sap/support/notes/1418844","1418844")</f>
        <v>1418844</v>
      </c>
      <c r="F1438" t="s">
        <v>1688</v>
      </c>
    </row>
    <row r="1439" spans="1:6">
      <c r="A1439" t="s">
        <v>1476</v>
      </c>
      <c r="B1439" t="s">
        <v>295</v>
      </c>
      <c r="C1439" t="s">
        <v>208</v>
      </c>
    </row>
    <row r="1440" spans="1:6">
      <c r="A1440" t="s">
        <v>1476</v>
      </c>
      <c r="B1440" t="s">
        <v>299</v>
      </c>
      <c r="C1440" t="s">
        <v>300</v>
      </c>
      <c r="D1440" t="str">
        <f>HYPERLINK("http://service.sap.com/sap/support/notes/1412144","1412144")</f>
        <v>1412144</v>
      </c>
      <c r="F1440" t="s">
        <v>1689</v>
      </c>
    </row>
    <row r="1441" spans="1:6">
      <c r="A1441" t="s">
        <v>1476</v>
      </c>
      <c r="B1441" t="s">
        <v>299</v>
      </c>
      <c r="C1441" t="s">
        <v>300</v>
      </c>
      <c r="D1441" t="str">
        <f>HYPERLINK("http://service.sap.com/sap/support/notes/1413995","1413995")</f>
        <v>1413995</v>
      </c>
      <c r="F1441" t="s">
        <v>1690</v>
      </c>
    </row>
    <row r="1442" spans="1:6">
      <c r="A1442" t="s">
        <v>1476</v>
      </c>
      <c r="B1442" t="s">
        <v>299</v>
      </c>
      <c r="C1442" t="s">
        <v>300</v>
      </c>
      <c r="D1442" t="str">
        <f>HYPERLINK("http://service.sap.com/sap/support/notes/1421238","1421238")</f>
        <v>1421238</v>
      </c>
      <c r="F1442" t="s">
        <v>1691</v>
      </c>
    </row>
    <row r="1443" spans="1:6">
      <c r="A1443" t="s">
        <v>1476</v>
      </c>
      <c r="B1443" t="s">
        <v>305</v>
      </c>
      <c r="C1443" t="s">
        <v>306</v>
      </c>
      <c r="D1443" t="str">
        <f>HYPERLINK("http://service.sap.com/sap/support/notes/1017716","1017716")</f>
        <v>1017716</v>
      </c>
      <c r="F1443" t="s">
        <v>307</v>
      </c>
    </row>
    <row r="1444" spans="1:6">
      <c r="A1444" t="s">
        <v>1476</v>
      </c>
      <c r="B1444" t="s">
        <v>305</v>
      </c>
      <c r="C1444" t="s">
        <v>306</v>
      </c>
      <c r="D1444" t="str">
        <f>HYPERLINK("http://service.sap.com/sap/support/notes/1331697","1331697")</f>
        <v>1331697</v>
      </c>
      <c r="F1444" t="s">
        <v>1692</v>
      </c>
    </row>
    <row r="1445" spans="1:6">
      <c r="A1445" t="s">
        <v>1476</v>
      </c>
      <c r="B1445" t="s">
        <v>305</v>
      </c>
      <c r="C1445" t="s">
        <v>306</v>
      </c>
      <c r="D1445" t="str">
        <f>HYPERLINK("http://service.sap.com/sap/support/notes/1386463","1386463")</f>
        <v>1386463</v>
      </c>
      <c r="F1445" t="s">
        <v>1693</v>
      </c>
    </row>
    <row r="1446" spans="1:6">
      <c r="A1446" t="s">
        <v>1476</v>
      </c>
      <c r="B1446" t="s">
        <v>305</v>
      </c>
      <c r="C1446" t="s">
        <v>306</v>
      </c>
      <c r="D1446" t="str">
        <f>HYPERLINK("http://service.sap.com/sap/support/notes/1397454","1397454")</f>
        <v>1397454</v>
      </c>
      <c r="F1446" t="s">
        <v>1694</v>
      </c>
    </row>
    <row r="1447" spans="1:6">
      <c r="A1447" t="s">
        <v>1476</v>
      </c>
      <c r="B1447" t="s">
        <v>305</v>
      </c>
      <c r="C1447" t="s">
        <v>306</v>
      </c>
      <c r="D1447" t="str">
        <f>HYPERLINK("http://service.sap.com/sap/support/notes/1399000","1399000")</f>
        <v>1399000</v>
      </c>
      <c r="F1447" t="s">
        <v>1695</v>
      </c>
    </row>
    <row r="1448" spans="1:6">
      <c r="A1448" t="s">
        <v>1476</v>
      </c>
      <c r="B1448" t="s">
        <v>305</v>
      </c>
      <c r="C1448" t="s">
        <v>306</v>
      </c>
      <c r="D1448" t="str">
        <f>HYPERLINK("http://service.sap.com/sap/support/notes/1404086","1404086")</f>
        <v>1404086</v>
      </c>
      <c r="F1448" t="s">
        <v>1696</v>
      </c>
    </row>
    <row r="1449" spans="1:6">
      <c r="A1449" t="s">
        <v>1476</v>
      </c>
      <c r="B1449" t="s">
        <v>305</v>
      </c>
      <c r="C1449" t="s">
        <v>306</v>
      </c>
      <c r="D1449" t="str">
        <f>HYPERLINK("http://service.sap.com/sap/support/notes/1404184","1404184")</f>
        <v>1404184</v>
      </c>
      <c r="F1449" t="s">
        <v>1697</v>
      </c>
    </row>
    <row r="1450" spans="1:6">
      <c r="A1450" t="s">
        <v>1476</v>
      </c>
      <c r="B1450" t="s">
        <v>305</v>
      </c>
      <c r="C1450" t="s">
        <v>306</v>
      </c>
      <c r="D1450" t="str">
        <f>HYPERLINK("http://service.sap.com/sap/support/notes/1405007","1405007")</f>
        <v>1405007</v>
      </c>
      <c r="F1450" t="s">
        <v>1698</v>
      </c>
    </row>
    <row r="1451" spans="1:6">
      <c r="A1451" t="s">
        <v>1476</v>
      </c>
      <c r="B1451" t="s">
        <v>305</v>
      </c>
      <c r="C1451" t="s">
        <v>306</v>
      </c>
      <c r="D1451" t="str">
        <f>HYPERLINK("http://service.sap.com/sap/support/notes/1405720","1405720")</f>
        <v>1405720</v>
      </c>
      <c r="F1451" t="s">
        <v>1699</v>
      </c>
    </row>
    <row r="1452" spans="1:6">
      <c r="A1452" t="s">
        <v>1476</v>
      </c>
      <c r="B1452" t="s">
        <v>305</v>
      </c>
      <c r="C1452" t="s">
        <v>306</v>
      </c>
      <c r="D1452" t="str">
        <f>HYPERLINK("http://service.sap.com/sap/support/notes/1406630","1406630")</f>
        <v>1406630</v>
      </c>
      <c r="F1452" t="s">
        <v>1700</v>
      </c>
    </row>
    <row r="1453" spans="1:6">
      <c r="A1453" t="s">
        <v>1476</v>
      </c>
      <c r="B1453" t="s">
        <v>305</v>
      </c>
      <c r="C1453" t="s">
        <v>306</v>
      </c>
      <c r="D1453" t="str">
        <f>HYPERLINK("http://service.sap.com/sap/support/notes/1407677","1407677")</f>
        <v>1407677</v>
      </c>
      <c r="F1453" t="s">
        <v>1701</v>
      </c>
    </row>
    <row r="1454" spans="1:6">
      <c r="A1454" t="s">
        <v>1476</v>
      </c>
      <c r="B1454" t="s">
        <v>305</v>
      </c>
      <c r="C1454" t="s">
        <v>306</v>
      </c>
      <c r="D1454" t="str">
        <f>HYPERLINK("http://service.sap.com/sap/support/notes/1407820","1407820")</f>
        <v>1407820</v>
      </c>
      <c r="F1454" t="s">
        <v>1702</v>
      </c>
    </row>
    <row r="1455" spans="1:6">
      <c r="A1455" t="s">
        <v>1476</v>
      </c>
      <c r="B1455" t="s">
        <v>305</v>
      </c>
      <c r="C1455" t="s">
        <v>306</v>
      </c>
      <c r="D1455" t="str">
        <f>HYPERLINK("http://service.sap.com/sap/support/notes/1408943","1408943")</f>
        <v>1408943</v>
      </c>
      <c r="F1455" t="s">
        <v>1703</v>
      </c>
    </row>
    <row r="1456" spans="1:6">
      <c r="A1456" t="s">
        <v>1476</v>
      </c>
      <c r="B1456" t="s">
        <v>305</v>
      </c>
      <c r="C1456" t="s">
        <v>306</v>
      </c>
      <c r="D1456" t="str">
        <f>HYPERLINK("http://service.sap.com/sap/support/notes/1409821","1409821")</f>
        <v>1409821</v>
      </c>
      <c r="F1456" t="s">
        <v>1704</v>
      </c>
    </row>
    <row r="1457" spans="1:6">
      <c r="A1457" t="s">
        <v>1476</v>
      </c>
      <c r="B1457" t="s">
        <v>305</v>
      </c>
      <c r="C1457" t="s">
        <v>306</v>
      </c>
      <c r="D1457" t="str">
        <f>HYPERLINK("http://service.sap.com/sap/support/notes/1409886","1409886")</f>
        <v>1409886</v>
      </c>
      <c r="F1457" t="s">
        <v>1705</v>
      </c>
    </row>
    <row r="1458" spans="1:6">
      <c r="A1458" t="s">
        <v>1476</v>
      </c>
      <c r="B1458" t="s">
        <v>305</v>
      </c>
      <c r="C1458" t="s">
        <v>306</v>
      </c>
      <c r="D1458" t="str">
        <f>HYPERLINK("http://service.sap.com/sap/support/notes/1410419","1410419")</f>
        <v>1410419</v>
      </c>
      <c r="F1458" t="s">
        <v>1706</v>
      </c>
    </row>
    <row r="1459" spans="1:6">
      <c r="A1459" t="s">
        <v>1476</v>
      </c>
      <c r="B1459" t="s">
        <v>305</v>
      </c>
      <c r="C1459" t="s">
        <v>306</v>
      </c>
      <c r="D1459" t="str">
        <f>HYPERLINK("http://service.sap.com/sap/support/notes/1410511","1410511")</f>
        <v>1410511</v>
      </c>
      <c r="F1459" t="s">
        <v>1707</v>
      </c>
    </row>
    <row r="1460" spans="1:6">
      <c r="A1460" t="s">
        <v>1476</v>
      </c>
      <c r="B1460" t="s">
        <v>305</v>
      </c>
      <c r="C1460" t="s">
        <v>306</v>
      </c>
      <c r="D1460" t="str">
        <f>HYPERLINK("http://service.sap.com/sap/support/notes/1411562","1411562")</f>
        <v>1411562</v>
      </c>
      <c r="F1460" t="s">
        <v>1708</v>
      </c>
    </row>
    <row r="1461" spans="1:6">
      <c r="A1461" t="s">
        <v>1476</v>
      </c>
      <c r="B1461" t="s">
        <v>305</v>
      </c>
      <c r="C1461" t="s">
        <v>306</v>
      </c>
      <c r="D1461" t="str">
        <f>HYPERLINK("http://service.sap.com/sap/support/notes/1411674","1411674")</f>
        <v>1411674</v>
      </c>
      <c r="F1461" t="s">
        <v>1709</v>
      </c>
    </row>
    <row r="1462" spans="1:6">
      <c r="A1462" t="s">
        <v>1476</v>
      </c>
      <c r="B1462" t="s">
        <v>305</v>
      </c>
      <c r="C1462" t="s">
        <v>306</v>
      </c>
      <c r="D1462" t="str">
        <f>HYPERLINK("http://service.sap.com/sap/support/notes/1412410","1412410")</f>
        <v>1412410</v>
      </c>
      <c r="F1462" t="s">
        <v>1710</v>
      </c>
    </row>
    <row r="1463" spans="1:6">
      <c r="A1463" t="s">
        <v>1476</v>
      </c>
      <c r="B1463" t="s">
        <v>305</v>
      </c>
      <c r="C1463" t="s">
        <v>306</v>
      </c>
      <c r="D1463" t="str">
        <f>HYPERLINK("http://service.sap.com/sap/support/notes/1413070","1413070")</f>
        <v>1413070</v>
      </c>
      <c r="F1463" t="s">
        <v>1711</v>
      </c>
    </row>
    <row r="1464" spans="1:6">
      <c r="A1464" t="s">
        <v>1476</v>
      </c>
      <c r="B1464" t="s">
        <v>305</v>
      </c>
      <c r="C1464" t="s">
        <v>306</v>
      </c>
      <c r="D1464" t="str">
        <f>HYPERLINK("http://service.sap.com/sap/support/notes/1414520","1414520")</f>
        <v>1414520</v>
      </c>
      <c r="F1464" t="s">
        <v>1712</v>
      </c>
    </row>
    <row r="1465" spans="1:6">
      <c r="A1465" t="s">
        <v>1476</v>
      </c>
      <c r="B1465" t="s">
        <v>305</v>
      </c>
      <c r="C1465" t="s">
        <v>306</v>
      </c>
      <c r="D1465" t="str">
        <f>HYPERLINK("http://service.sap.com/sap/support/notes/1416091","1416091")</f>
        <v>1416091</v>
      </c>
      <c r="F1465" t="s">
        <v>1713</v>
      </c>
    </row>
    <row r="1466" spans="1:6">
      <c r="A1466" t="s">
        <v>1476</v>
      </c>
      <c r="B1466" t="s">
        <v>305</v>
      </c>
      <c r="C1466" t="s">
        <v>306</v>
      </c>
      <c r="D1466" t="str">
        <f>HYPERLINK("http://service.sap.com/sap/support/notes/1417803","1417803")</f>
        <v>1417803</v>
      </c>
      <c r="F1466" t="s">
        <v>1714</v>
      </c>
    </row>
    <row r="1467" spans="1:6">
      <c r="A1467" t="s">
        <v>1476</v>
      </c>
      <c r="B1467" t="s">
        <v>305</v>
      </c>
      <c r="C1467" t="s">
        <v>306</v>
      </c>
      <c r="D1467" t="str">
        <f>HYPERLINK("http://service.sap.com/sap/support/notes/1420913","1420913")</f>
        <v>1420913</v>
      </c>
      <c r="F1467" t="s">
        <v>1715</v>
      </c>
    </row>
    <row r="1468" spans="1:6">
      <c r="A1468" t="s">
        <v>1476</v>
      </c>
      <c r="B1468" t="s">
        <v>305</v>
      </c>
      <c r="C1468" t="s">
        <v>306</v>
      </c>
      <c r="D1468" t="str">
        <f>HYPERLINK("http://service.sap.com/sap/support/notes/1421809","1421809")</f>
        <v>1421809</v>
      </c>
      <c r="F1468" t="s">
        <v>1716</v>
      </c>
    </row>
    <row r="1469" spans="1:6">
      <c r="A1469" t="s">
        <v>1476</v>
      </c>
      <c r="B1469" t="s">
        <v>305</v>
      </c>
      <c r="C1469" t="s">
        <v>306</v>
      </c>
      <c r="D1469" t="str">
        <f>HYPERLINK("http://service.sap.com/sap/support/notes/1422270","1422270")</f>
        <v>1422270</v>
      </c>
      <c r="F1469" t="s">
        <v>1717</v>
      </c>
    </row>
    <row r="1470" spans="1:6">
      <c r="A1470" t="s">
        <v>1476</v>
      </c>
      <c r="B1470" t="s">
        <v>352</v>
      </c>
      <c r="C1470" t="s">
        <v>353</v>
      </c>
      <c r="D1470" t="str">
        <f>HYPERLINK("http://service.sap.com/sap/support/notes/1410022","1410022")</f>
        <v>1410022</v>
      </c>
      <c r="F1470" t="s">
        <v>1718</v>
      </c>
    </row>
    <row r="1471" spans="1:6">
      <c r="A1471" t="s">
        <v>1476</v>
      </c>
      <c r="B1471" t="s">
        <v>352</v>
      </c>
      <c r="C1471" t="s">
        <v>353</v>
      </c>
      <c r="D1471" t="str">
        <f>HYPERLINK("http://service.sap.com/sap/support/notes/1414884","1414884")</f>
        <v>1414884</v>
      </c>
      <c r="F1471" t="s">
        <v>1719</v>
      </c>
    </row>
    <row r="1472" spans="1:6">
      <c r="A1472" t="s">
        <v>1476</v>
      </c>
      <c r="B1472" t="s">
        <v>352</v>
      </c>
      <c r="C1472" t="s">
        <v>353</v>
      </c>
      <c r="D1472" t="str">
        <f>HYPERLINK("http://service.sap.com/sap/support/notes/1416319","1416319")</f>
        <v>1416319</v>
      </c>
      <c r="F1472" t="s">
        <v>1720</v>
      </c>
    </row>
    <row r="1473" spans="1:6">
      <c r="A1473" t="s">
        <v>1476</v>
      </c>
      <c r="B1473" t="s">
        <v>352</v>
      </c>
      <c r="C1473" t="s">
        <v>353</v>
      </c>
      <c r="D1473" t="str">
        <f>HYPERLINK("http://service.sap.com/sap/support/notes/1419800","1419800")</f>
        <v>1419800</v>
      </c>
      <c r="F1473" t="s">
        <v>1721</v>
      </c>
    </row>
    <row r="1474" spans="1:6">
      <c r="A1474" t="s">
        <v>1476</v>
      </c>
      <c r="B1474" t="s">
        <v>352</v>
      </c>
      <c r="C1474" t="s">
        <v>353</v>
      </c>
      <c r="D1474" t="str">
        <f>HYPERLINK("http://service.sap.com/sap/support/notes/1420161","1420161")</f>
        <v>1420161</v>
      </c>
      <c r="F1474" t="s">
        <v>1722</v>
      </c>
    </row>
    <row r="1475" spans="1:6">
      <c r="A1475" t="s">
        <v>1476</v>
      </c>
      <c r="B1475" t="s">
        <v>357</v>
      </c>
      <c r="C1475" t="s">
        <v>76</v>
      </c>
      <c r="D1475" t="str">
        <f>HYPERLINK("http://service.sap.com/sap/support/notes/1241513","1241513")</f>
        <v>1241513</v>
      </c>
      <c r="F1475" t="s">
        <v>1723</v>
      </c>
    </row>
    <row r="1476" spans="1:6">
      <c r="A1476" t="s">
        <v>1476</v>
      </c>
      <c r="B1476" t="s">
        <v>357</v>
      </c>
      <c r="C1476" t="s">
        <v>76</v>
      </c>
      <c r="D1476" t="str">
        <f>HYPERLINK("http://service.sap.com/sap/support/notes/1342372","1342372")</f>
        <v>1342372</v>
      </c>
      <c r="F1476" t="s">
        <v>1724</v>
      </c>
    </row>
    <row r="1477" spans="1:6">
      <c r="A1477" t="s">
        <v>1476</v>
      </c>
      <c r="B1477" t="s">
        <v>357</v>
      </c>
      <c r="C1477" t="s">
        <v>76</v>
      </c>
      <c r="D1477" t="str">
        <f>HYPERLINK("http://service.sap.com/sap/support/notes/1401578","1401578")</f>
        <v>1401578</v>
      </c>
      <c r="F1477" t="s">
        <v>1725</v>
      </c>
    </row>
    <row r="1478" spans="1:6">
      <c r="A1478" t="s">
        <v>1476</v>
      </c>
      <c r="B1478" t="s">
        <v>357</v>
      </c>
      <c r="C1478" t="s">
        <v>76</v>
      </c>
      <c r="D1478" t="str">
        <f>HYPERLINK("http://service.sap.com/sap/support/notes/1406396","1406396")</f>
        <v>1406396</v>
      </c>
      <c r="F1478" t="s">
        <v>1726</v>
      </c>
    </row>
    <row r="1479" spans="1:6">
      <c r="A1479" t="s">
        <v>1476</v>
      </c>
      <c r="B1479" t="s">
        <v>357</v>
      </c>
      <c r="C1479" t="s">
        <v>76</v>
      </c>
      <c r="D1479" t="str">
        <f>HYPERLINK("http://service.sap.com/sap/support/notes/1407901","1407901")</f>
        <v>1407901</v>
      </c>
      <c r="F1479" t="s">
        <v>1727</v>
      </c>
    </row>
    <row r="1480" spans="1:6">
      <c r="A1480" t="s">
        <v>1476</v>
      </c>
      <c r="B1480" t="s">
        <v>357</v>
      </c>
      <c r="C1480" t="s">
        <v>76</v>
      </c>
      <c r="D1480" t="str">
        <f>HYPERLINK("http://service.sap.com/sap/support/notes/1410316","1410316")</f>
        <v>1410316</v>
      </c>
      <c r="F1480" t="s">
        <v>1728</v>
      </c>
    </row>
    <row r="1481" spans="1:6">
      <c r="A1481" t="s">
        <v>1476</v>
      </c>
      <c r="B1481" t="s">
        <v>357</v>
      </c>
      <c r="C1481" t="s">
        <v>76</v>
      </c>
      <c r="D1481" t="str">
        <f>HYPERLINK("http://service.sap.com/sap/support/notes/1411288","1411288")</f>
        <v>1411288</v>
      </c>
      <c r="F1481" t="s">
        <v>1729</v>
      </c>
    </row>
    <row r="1482" spans="1:6">
      <c r="A1482" t="s">
        <v>1476</v>
      </c>
      <c r="B1482" t="s">
        <v>357</v>
      </c>
      <c r="C1482" t="s">
        <v>76</v>
      </c>
      <c r="D1482" t="str">
        <f>HYPERLINK("http://service.sap.com/sap/support/notes/1412150","1412150")</f>
        <v>1412150</v>
      </c>
      <c r="F1482" t="s">
        <v>1730</v>
      </c>
    </row>
    <row r="1483" spans="1:6">
      <c r="A1483" t="s">
        <v>1476</v>
      </c>
      <c r="B1483" t="s">
        <v>357</v>
      </c>
      <c r="C1483" t="s">
        <v>76</v>
      </c>
      <c r="D1483" t="str">
        <f>HYPERLINK("http://service.sap.com/sap/support/notes/1412424","1412424")</f>
        <v>1412424</v>
      </c>
      <c r="F1483" t="s">
        <v>1731</v>
      </c>
    </row>
    <row r="1484" spans="1:6">
      <c r="A1484" t="s">
        <v>1476</v>
      </c>
      <c r="B1484" t="s">
        <v>357</v>
      </c>
      <c r="C1484" t="s">
        <v>76</v>
      </c>
      <c r="D1484" t="str">
        <f>HYPERLINK("http://service.sap.com/sap/support/notes/1412598","1412598")</f>
        <v>1412598</v>
      </c>
      <c r="F1484" t="s">
        <v>1732</v>
      </c>
    </row>
    <row r="1485" spans="1:6">
      <c r="A1485" t="s">
        <v>1476</v>
      </c>
      <c r="B1485" t="s">
        <v>357</v>
      </c>
      <c r="C1485" t="s">
        <v>76</v>
      </c>
      <c r="D1485" t="str">
        <f>HYPERLINK("http://service.sap.com/sap/support/notes/1414517","1414517")</f>
        <v>1414517</v>
      </c>
      <c r="F1485" t="s">
        <v>1733</v>
      </c>
    </row>
    <row r="1486" spans="1:6">
      <c r="A1486" t="s">
        <v>1476</v>
      </c>
      <c r="B1486" t="s">
        <v>357</v>
      </c>
      <c r="C1486" t="s">
        <v>76</v>
      </c>
      <c r="D1486" t="str">
        <f>HYPERLINK("http://service.sap.com/sap/support/notes/1416089","1416089")</f>
        <v>1416089</v>
      </c>
      <c r="F1486" t="s">
        <v>1734</v>
      </c>
    </row>
    <row r="1487" spans="1:6">
      <c r="A1487" t="s">
        <v>1476</v>
      </c>
      <c r="B1487" t="s">
        <v>357</v>
      </c>
      <c r="C1487" t="s">
        <v>76</v>
      </c>
      <c r="D1487" t="str">
        <f>HYPERLINK("http://service.sap.com/sap/support/notes/1416283","1416283")</f>
        <v>1416283</v>
      </c>
      <c r="F1487" t="s">
        <v>1735</v>
      </c>
    </row>
    <row r="1488" spans="1:6">
      <c r="A1488" t="s">
        <v>1476</v>
      </c>
      <c r="B1488" t="s">
        <v>357</v>
      </c>
      <c r="C1488" t="s">
        <v>76</v>
      </c>
      <c r="D1488" t="str">
        <f>HYPERLINK("http://service.sap.com/sap/support/notes/1417736","1417736")</f>
        <v>1417736</v>
      </c>
      <c r="F1488" t="s">
        <v>1736</v>
      </c>
    </row>
    <row r="1489" spans="1:6">
      <c r="A1489" t="s">
        <v>1476</v>
      </c>
      <c r="B1489" t="s">
        <v>357</v>
      </c>
      <c r="C1489" t="s">
        <v>76</v>
      </c>
      <c r="D1489" t="str">
        <f>HYPERLINK("http://service.sap.com/sap/support/notes/1417813","1417813")</f>
        <v>1417813</v>
      </c>
      <c r="F1489" t="s">
        <v>1737</v>
      </c>
    </row>
    <row r="1490" spans="1:6">
      <c r="A1490" t="s">
        <v>1476</v>
      </c>
      <c r="B1490" t="s">
        <v>357</v>
      </c>
      <c r="C1490" t="s">
        <v>76</v>
      </c>
      <c r="D1490" t="str">
        <f>HYPERLINK("http://service.sap.com/sap/support/notes/1418199","1418199")</f>
        <v>1418199</v>
      </c>
      <c r="F1490" t="s">
        <v>1738</v>
      </c>
    </row>
    <row r="1491" spans="1:6">
      <c r="A1491" t="s">
        <v>1476</v>
      </c>
      <c r="B1491" t="s">
        <v>357</v>
      </c>
      <c r="C1491" t="s">
        <v>76</v>
      </c>
      <c r="D1491" t="str">
        <f>HYPERLINK("http://service.sap.com/sap/support/notes/1418850","1418850")</f>
        <v>1418850</v>
      </c>
      <c r="F1491" t="s">
        <v>1739</v>
      </c>
    </row>
    <row r="1492" spans="1:6">
      <c r="A1492" t="s">
        <v>1476</v>
      </c>
      <c r="B1492" t="s">
        <v>357</v>
      </c>
      <c r="C1492" t="s">
        <v>76</v>
      </c>
      <c r="D1492" t="str">
        <f>HYPERLINK("http://service.sap.com/sap/support/notes/1419590","1419590")</f>
        <v>1419590</v>
      </c>
      <c r="F1492" t="s">
        <v>1740</v>
      </c>
    </row>
    <row r="1493" spans="1:6">
      <c r="A1493" t="s">
        <v>1476</v>
      </c>
      <c r="B1493" t="s">
        <v>357</v>
      </c>
      <c r="C1493" t="s">
        <v>76</v>
      </c>
      <c r="D1493" t="str">
        <f>HYPERLINK("http://service.sap.com/sap/support/notes/1419645","1419645")</f>
        <v>1419645</v>
      </c>
      <c r="F1493" t="s">
        <v>1741</v>
      </c>
    </row>
    <row r="1494" spans="1:6">
      <c r="A1494" t="s">
        <v>1476</v>
      </c>
      <c r="B1494" t="s">
        <v>357</v>
      </c>
      <c r="C1494" t="s">
        <v>76</v>
      </c>
      <c r="D1494" t="str">
        <f>HYPERLINK("http://service.sap.com/sap/support/notes/1420376","1420376")</f>
        <v>1420376</v>
      </c>
      <c r="F1494" t="s">
        <v>1742</v>
      </c>
    </row>
    <row r="1495" spans="1:6">
      <c r="A1495" t="s">
        <v>1476</v>
      </c>
      <c r="B1495" t="s">
        <v>357</v>
      </c>
      <c r="C1495" t="s">
        <v>76</v>
      </c>
      <c r="D1495" t="str">
        <f>HYPERLINK("http://service.sap.com/sap/support/notes/1420382","1420382")</f>
        <v>1420382</v>
      </c>
      <c r="F1495" t="s">
        <v>1743</v>
      </c>
    </row>
    <row r="1496" spans="1:6">
      <c r="A1496" t="s">
        <v>1476</v>
      </c>
      <c r="B1496" t="s">
        <v>357</v>
      </c>
      <c r="C1496" t="s">
        <v>76</v>
      </c>
      <c r="D1496" t="str">
        <f>HYPERLINK("http://service.sap.com/sap/support/notes/1420973","1420973")</f>
        <v>1420973</v>
      </c>
      <c r="F1496" t="s">
        <v>1744</v>
      </c>
    </row>
    <row r="1497" spans="1:6">
      <c r="A1497" t="s">
        <v>1476</v>
      </c>
      <c r="B1497" t="s">
        <v>357</v>
      </c>
      <c r="C1497" t="s">
        <v>76</v>
      </c>
      <c r="D1497" t="str">
        <f>HYPERLINK("http://service.sap.com/sap/support/notes/1421454","1421454")</f>
        <v>1421454</v>
      </c>
      <c r="F1497" t="s">
        <v>1745</v>
      </c>
    </row>
    <row r="1498" spans="1:6">
      <c r="A1498" t="s">
        <v>1476</v>
      </c>
      <c r="B1498" t="s">
        <v>357</v>
      </c>
      <c r="C1498" t="s">
        <v>76</v>
      </c>
      <c r="D1498" t="str">
        <f>HYPERLINK("http://service.sap.com/sap/support/notes/1422517","1422517")</f>
        <v>1422517</v>
      </c>
      <c r="F1498" t="s">
        <v>1746</v>
      </c>
    </row>
    <row r="1499" spans="1:6">
      <c r="A1499" t="s">
        <v>1476</v>
      </c>
      <c r="B1499" t="s">
        <v>357</v>
      </c>
      <c r="C1499" t="s">
        <v>76</v>
      </c>
      <c r="D1499" t="str">
        <f>HYPERLINK("http://service.sap.com/sap/support/notes/1422638","1422638")</f>
        <v>1422638</v>
      </c>
      <c r="F1499" t="s">
        <v>1747</v>
      </c>
    </row>
    <row r="1500" spans="1:6">
      <c r="A1500" t="s">
        <v>1476</v>
      </c>
      <c r="B1500" t="s">
        <v>357</v>
      </c>
      <c r="C1500" t="s">
        <v>76</v>
      </c>
      <c r="D1500" t="str">
        <f>HYPERLINK("http://service.sap.com/sap/support/notes/1422853","1422853")</f>
        <v>1422853</v>
      </c>
      <c r="F1500" t="s">
        <v>1748</v>
      </c>
    </row>
    <row r="1501" spans="1:6">
      <c r="A1501" t="s">
        <v>1476</v>
      </c>
      <c r="B1501" t="s">
        <v>357</v>
      </c>
      <c r="C1501" t="s">
        <v>76</v>
      </c>
      <c r="D1501" t="str">
        <f>HYPERLINK("http://service.sap.com/sap/support/notes/1422857","1422857")</f>
        <v>1422857</v>
      </c>
      <c r="F1501" t="s">
        <v>1749</v>
      </c>
    </row>
    <row r="1502" spans="1:6">
      <c r="A1502" t="s">
        <v>1476</v>
      </c>
      <c r="B1502" t="s">
        <v>357</v>
      </c>
      <c r="C1502" t="s">
        <v>76</v>
      </c>
      <c r="D1502" t="str">
        <f>HYPERLINK("http://service.sap.com/sap/support/notes/1423044","1423044")</f>
        <v>1423044</v>
      </c>
      <c r="F1502" t="s">
        <v>1750</v>
      </c>
    </row>
    <row r="1503" spans="1:6">
      <c r="A1503" t="s">
        <v>1476</v>
      </c>
      <c r="B1503" t="s">
        <v>367</v>
      </c>
      <c r="C1503" t="s">
        <v>189</v>
      </c>
      <c r="D1503" t="str">
        <f>HYPERLINK("http://service.sap.com/sap/support/notes/1411364","1411364")</f>
        <v>1411364</v>
      </c>
      <c r="F1503" t="s">
        <v>1751</v>
      </c>
    </row>
    <row r="1504" spans="1:6">
      <c r="A1504" t="s">
        <v>1476</v>
      </c>
      <c r="B1504" t="s">
        <v>367</v>
      </c>
      <c r="C1504" t="s">
        <v>189</v>
      </c>
      <c r="D1504" t="str">
        <f>HYPERLINK("http://service.sap.com/sap/support/notes/1420438","1420438")</f>
        <v>1420438</v>
      </c>
      <c r="F1504" t="s">
        <v>1752</v>
      </c>
    </row>
    <row r="1505" spans="1:6">
      <c r="A1505" t="s">
        <v>1476</v>
      </c>
      <c r="B1505" t="s">
        <v>369</v>
      </c>
      <c r="C1505" t="s">
        <v>370</v>
      </c>
      <c r="D1505" t="str">
        <f>HYPERLINK("http://service.sap.com/sap/support/notes/1129168","1129168")</f>
        <v>1129168</v>
      </c>
      <c r="F1505" t="s">
        <v>371</v>
      </c>
    </row>
    <row r="1506" spans="1:6">
      <c r="A1506" t="s">
        <v>1476</v>
      </c>
      <c r="B1506" t="s">
        <v>369</v>
      </c>
      <c r="C1506" t="s">
        <v>370</v>
      </c>
      <c r="D1506" t="str">
        <f>HYPERLINK("http://service.sap.com/sap/support/notes/1395780","1395780")</f>
        <v>1395780</v>
      </c>
      <c r="F1506" t="s">
        <v>1753</v>
      </c>
    </row>
    <row r="1507" spans="1:6">
      <c r="A1507" t="s">
        <v>1476</v>
      </c>
      <c r="B1507" t="s">
        <v>369</v>
      </c>
      <c r="C1507" t="s">
        <v>370</v>
      </c>
      <c r="D1507" t="str">
        <f>HYPERLINK("http://service.sap.com/sap/support/notes/1402710","1402710")</f>
        <v>1402710</v>
      </c>
      <c r="F1507" t="s">
        <v>1754</v>
      </c>
    </row>
    <row r="1508" spans="1:6">
      <c r="A1508" t="s">
        <v>1476</v>
      </c>
      <c r="B1508" t="s">
        <v>369</v>
      </c>
      <c r="C1508" t="s">
        <v>370</v>
      </c>
      <c r="D1508" t="str">
        <f>HYPERLINK("http://service.sap.com/sap/support/notes/1422667","1422667")</f>
        <v>1422667</v>
      </c>
      <c r="F1508" t="s">
        <v>1755</v>
      </c>
    </row>
    <row r="1509" spans="1:6">
      <c r="A1509" t="s">
        <v>1476</v>
      </c>
      <c r="B1509" t="s">
        <v>1166</v>
      </c>
      <c r="C1509" t="s">
        <v>1756</v>
      </c>
    </row>
    <row r="1510" spans="1:6">
      <c r="A1510" t="s">
        <v>1476</v>
      </c>
      <c r="B1510" t="s">
        <v>1167</v>
      </c>
      <c r="C1510" t="s">
        <v>1757</v>
      </c>
      <c r="D1510" t="str">
        <f>HYPERLINK("http://service.sap.com/sap/support/notes/1400190","1400190")</f>
        <v>1400190</v>
      </c>
      <c r="F1510" t="s">
        <v>1758</v>
      </c>
    </row>
    <row r="1511" spans="1:6">
      <c r="A1511" t="s">
        <v>1476</v>
      </c>
      <c r="B1511" t="s">
        <v>1167</v>
      </c>
      <c r="C1511" t="s">
        <v>1757</v>
      </c>
      <c r="D1511" t="str">
        <f>HYPERLINK("http://service.sap.com/sap/support/notes/1422332","1422332")</f>
        <v>1422332</v>
      </c>
      <c r="F1511" t="s">
        <v>1759</v>
      </c>
    </row>
    <row r="1512" spans="1:6">
      <c r="A1512" t="s">
        <v>1476</v>
      </c>
      <c r="B1512" t="s">
        <v>1170</v>
      </c>
      <c r="C1512" t="s">
        <v>239</v>
      </c>
    </row>
    <row r="1513" spans="1:6">
      <c r="A1513" t="s">
        <v>1476</v>
      </c>
      <c r="B1513" t="s">
        <v>1171</v>
      </c>
      <c r="C1513" t="s">
        <v>1172</v>
      </c>
      <c r="D1513" t="str">
        <f>HYPERLINK("http://service.sap.com/sap/support/notes/1378756","1378756")</f>
        <v>1378756</v>
      </c>
      <c r="F1513" t="s">
        <v>1760</v>
      </c>
    </row>
    <row r="1514" spans="1:6">
      <c r="A1514" t="s">
        <v>1476</v>
      </c>
      <c r="B1514" t="s">
        <v>374</v>
      </c>
      <c r="C1514" t="s">
        <v>189</v>
      </c>
      <c r="D1514" t="str">
        <f>HYPERLINK("http://service.sap.com/sap/support/notes/1399814","1399814")</f>
        <v>1399814</v>
      </c>
      <c r="F1514" t="s">
        <v>1761</v>
      </c>
    </row>
    <row r="1515" spans="1:6">
      <c r="A1515" t="s">
        <v>1476</v>
      </c>
      <c r="B1515" t="s">
        <v>374</v>
      </c>
      <c r="C1515" t="s">
        <v>189</v>
      </c>
      <c r="D1515" t="str">
        <f>HYPERLINK("http://service.sap.com/sap/support/notes/1409538","1409538")</f>
        <v>1409538</v>
      </c>
      <c r="F1515" t="s">
        <v>1762</v>
      </c>
    </row>
    <row r="1516" spans="1:6">
      <c r="A1516" t="s">
        <v>1476</v>
      </c>
      <c r="B1516" t="s">
        <v>374</v>
      </c>
      <c r="C1516" t="s">
        <v>189</v>
      </c>
      <c r="D1516" t="str">
        <f>HYPERLINK("http://service.sap.com/sap/support/notes/1416312","1416312")</f>
        <v>1416312</v>
      </c>
      <c r="F1516" t="s">
        <v>1763</v>
      </c>
    </row>
    <row r="1517" spans="1:6">
      <c r="A1517" t="s">
        <v>1476</v>
      </c>
      <c r="B1517" t="s">
        <v>374</v>
      </c>
      <c r="C1517" t="s">
        <v>189</v>
      </c>
      <c r="D1517" t="str">
        <f>HYPERLINK("http://service.sap.com/sap/support/notes/1417024","1417024")</f>
        <v>1417024</v>
      </c>
      <c r="F1517" t="s">
        <v>1764</v>
      </c>
    </row>
    <row r="1518" spans="1:6">
      <c r="A1518" t="s">
        <v>1476</v>
      </c>
      <c r="B1518" t="s">
        <v>385</v>
      </c>
      <c r="C1518" t="s">
        <v>208</v>
      </c>
    </row>
    <row r="1519" spans="1:6">
      <c r="A1519" t="s">
        <v>1476</v>
      </c>
      <c r="B1519" t="s">
        <v>386</v>
      </c>
      <c r="C1519" t="s">
        <v>387</v>
      </c>
      <c r="D1519" t="str">
        <f>HYPERLINK("http://service.sap.com/sap/support/notes/1395781","1395781")</f>
        <v>1395781</v>
      </c>
      <c r="F1519" t="s">
        <v>1765</v>
      </c>
    </row>
    <row r="1520" spans="1:6">
      <c r="A1520" t="s">
        <v>1476</v>
      </c>
      <c r="B1520" t="s">
        <v>386</v>
      </c>
      <c r="C1520" t="s">
        <v>387</v>
      </c>
      <c r="D1520" t="str">
        <f>HYPERLINK("http://service.sap.com/sap/support/notes/1400440","1400440")</f>
        <v>1400440</v>
      </c>
      <c r="F1520" t="s">
        <v>1766</v>
      </c>
    </row>
    <row r="1521" spans="1:6">
      <c r="A1521" t="s">
        <v>1476</v>
      </c>
      <c r="B1521" t="s">
        <v>386</v>
      </c>
      <c r="C1521" t="s">
        <v>387</v>
      </c>
      <c r="D1521" t="str">
        <f>HYPERLINK("http://service.sap.com/sap/support/notes/1407397","1407397")</f>
        <v>1407397</v>
      </c>
      <c r="F1521" t="s">
        <v>1767</v>
      </c>
    </row>
    <row r="1522" spans="1:6">
      <c r="A1522" t="s">
        <v>1476</v>
      </c>
      <c r="B1522" t="s">
        <v>386</v>
      </c>
      <c r="C1522" t="s">
        <v>387</v>
      </c>
      <c r="D1522" t="str">
        <f>HYPERLINK("http://service.sap.com/sap/support/notes/1411525","1411525")</f>
        <v>1411525</v>
      </c>
      <c r="F1522" t="s">
        <v>1768</v>
      </c>
    </row>
    <row r="1523" spans="1:6">
      <c r="A1523" t="s">
        <v>1476</v>
      </c>
      <c r="B1523" t="s">
        <v>386</v>
      </c>
      <c r="C1523" t="s">
        <v>387</v>
      </c>
      <c r="D1523" t="str">
        <f>HYPERLINK("http://service.sap.com/sap/support/notes/1415289","1415289")</f>
        <v>1415289</v>
      </c>
      <c r="F1523" t="s">
        <v>1769</v>
      </c>
    </row>
    <row r="1524" spans="1:6">
      <c r="A1524" t="s">
        <v>1476</v>
      </c>
      <c r="B1524" t="s">
        <v>386</v>
      </c>
      <c r="C1524" t="s">
        <v>387</v>
      </c>
      <c r="D1524" t="str">
        <f>HYPERLINK("http://service.sap.com/sap/support/notes/1415397","1415397")</f>
        <v>1415397</v>
      </c>
      <c r="F1524" t="s">
        <v>1770</v>
      </c>
    </row>
    <row r="1525" spans="1:6">
      <c r="A1525" t="s">
        <v>1476</v>
      </c>
      <c r="B1525" t="s">
        <v>386</v>
      </c>
      <c r="C1525" t="s">
        <v>387</v>
      </c>
      <c r="D1525" t="str">
        <f>HYPERLINK("http://service.sap.com/sap/support/notes/1415473","1415473")</f>
        <v>1415473</v>
      </c>
      <c r="F1525" t="s">
        <v>1771</v>
      </c>
    </row>
    <row r="1526" spans="1:6">
      <c r="A1526" t="s">
        <v>1476</v>
      </c>
      <c r="B1526" t="s">
        <v>386</v>
      </c>
      <c r="C1526" t="s">
        <v>387</v>
      </c>
      <c r="D1526" t="str">
        <f>HYPERLINK("http://service.sap.com/sap/support/notes/1415876","1415876")</f>
        <v>1415876</v>
      </c>
      <c r="F1526" t="s">
        <v>1772</v>
      </c>
    </row>
    <row r="1527" spans="1:6">
      <c r="A1527" t="s">
        <v>1476</v>
      </c>
      <c r="B1527" t="s">
        <v>386</v>
      </c>
      <c r="C1527" t="s">
        <v>387</v>
      </c>
      <c r="D1527" t="str">
        <f>HYPERLINK("http://service.sap.com/sap/support/notes/1415913","1415913")</f>
        <v>1415913</v>
      </c>
      <c r="F1527" t="s">
        <v>1773</v>
      </c>
    </row>
    <row r="1528" spans="1:6">
      <c r="A1528" t="s">
        <v>1476</v>
      </c>
      <c r="B1528" t="s">
        <v>386</v>
      </c>
      <c r="C1528" t="s">
        <v>387</v>
      </c>
      <c r="D1528" t="str">
        <f>HYPERLINK("http://service.sap.com/sap/support/notes/1416308","1416308")</f>
        <v>1416308</v>
      </c>
      <c r="F1528" t="s">
        <v>390</v>
      </c>
    </row>
    <row r="1529" spans="1:6">
      <c r="A1529" t="s">
        <v>1476</v>
      </c>
      <c r="B1529" t="s">
        <v>386</v>
      </c>
      <c r="C1529" t="s">
        <v>387</v>
      </c>
      <c r="D1529" t="str">
        <f>HYPERLINK("http://service.sap.com/sap/support/notes/1416860","1416860")</f>
        <v>1416860</v>
      </c>
      <c r="F1529" t="s">
        <v>1774</v>
      </c>
    </row>
    <row r="1530" spans="1:6">
      <c r="A1530" t="s">
        <v>1476</v>
      </c>
      <c r="B1530" t="s">
        <v>386</v>
      </c>
      <c r="C1530" t="s">
        <v>387</v>
      </c>
      <c r="D1530" t="str">
        <f>HYPERLINK("http://service.sap.com/sap/support/notes/1417095","1417095")</f>
        <v>1417095</v>
      </c>
      <c r="F1530" t="s">
        <v>1775</v>
      </c>
    </row>
    <row r="1531" spans="1:6">
      <c r="A1531" t="s">
        <v>1476</v>
      </c>
      <c r="B1531" t="s">
        <v>386</v>
      </c>
      <c r="C1531" t="s">
        <v>387</v>
      </c>
      <c r="D1531" t="str">
        <f>HYPERLINK("http://service.sap.com/sap/support/notes/1417368","1417368")</f>
        <v>1417368</v>
      </c>
      <c r="F1531" t="s">
        <v>1776</v>
      </c>
    </row>
    <row r="1532" spans="1:6">
      <c r="A1532" t="s">
        <v>1476</v>
      </c>
      <c r="B1532" t="s">
        <v>386</v>
      </c>
      <c r="C1532" t="s">
        <v>387</v>
      </c>
      <c r="D1532" t="str">
        <f>HYPERLINK("http://service.sap.com/sap/support/notes/1417953","1417953")</f>
        <v>1417953</v>
      </c>
      <c r="F1532" t="s">
        <v>1777</v>
      </c>
    </row>
    <row r="1533" spans="1:6">
      <c r="A1533" t="s">
        <v>1476</v>
      </c>
      <c r="B1533" t="s">
        <v>386</v>
      </c>
      <c r="C1533" t="s">
        <v>387</v>
      </c>
      <c r="D1533" t="str">
        <f>HYPERLINK("http://service.sap.com/sap/support/notes/1418527","1418527")</f>
        <v>1418527</v>
      </c>
      <c r="F1533" t="s">
        <v>1778</v>
      </c>
    </row>
    <row r="1534" spans="1:6">
      <c r="A1534" t="s">
        <v>1476</v>
      </c>
      <c r="B1534" t="s">
        <v>391</v>
      </c>
      <c r="C1534" t="s">
        <v>392</v>
      </c>
      <c r="D1534" t="str">
        <f>HYPERLINK("http://service.sap.com/sap/support/notes/1413787","1413787")</f>
        <v>1413787</v>
      </c>
      <c r="F1534" t="s">
        <v>1779</v>
      </c>
    </row>
    <row r="1535" spans="1:6">
      <c r="A1535" t="s">
        <v>1476</v>
      </c>
      <c r="B1535" t="s">
        <v>391</v>
      </c>
      <c r="C1535" t="s">
        <v>392</v>
      </c>
      <c r="D1535" t="str">
        <f>HYPERLINK("http://service.sap.com/sap/support/notes/1421993","1421993")</f>
        <v>1421993</v>
      </c>
      <c r="F1535" t="s">
        <v>1780</v>
      </c>
    </row>
    <row r="1536" spans="1:6">
      <c r="A1536" t="s">
        <v>1476</v>
      </c>
      <c r="B1536" t="s">
        <v>397</v>
      </c>
      <c r="C1536" t="s">
        <v>398</v>
      </c>
      <c r="D1536" t="str">
        <f>HYPERLINK("http://service.sap.com/sap/support/notes/1410608","1410608")</f>
        <v>1410608</v>
      </c>
      <c r="F1536" t="s">
        <v>1781</v>
      </c>
    </row>
    <row r="1537" spans="1:6">
      <c r="A1537" t="s">
        <v>1476</v>
      </c>
      <c r="B1537" t="s">
        <v>397</v>
      </c>
      <c r="C1537" t="s">
        <v>398</v>
      </c>
      <c r="D1537" t="str">
        <f>HYPERLINK("http://service.sap.com/sap/support/notes/1413851","1413851")</f>
        <v>1413851</v>
      </c>
      <c r="F1537" t="s">
        <v>1782</v>
      </c>
    </row>
    <row r="1538" spans="1:6">
      <c r="A1538" t="s">
        <v>1476</v>
      </c>
      <c r="B1538" t="s">
        <v>397</v>
      </c>
      <c r="C1538" t="s">
        <v>398</v>
      </c>
      <c r="D1538" t="str">
        <f>HYPERLINK("http://service.sap.com/sap/support/notes/1421626","1421626")</f>
        <v>1421626</v>
      </c>
      <c r="F1538" t="s">
        <v>1783</v>
      </c>
    </row>
    <row r="1539" spans="1:6">
      <c r="A1539" t="s">
        <v>1476</v>
      </c>
      <c r="B1539" t="s">
        <v>401</v>
      </c>
      <c r="C1539" t="s">
        <v>402</v>
      </c>
      <c r="D1539" t="str">
        <f>HYPERLINK("http://service.sap.com/sap/support/notes/1398747","1398747")</f>
        <v>1398747</v>
      </c>
      <c r="F1539" t="s">
        <v>409</v>
      </c>
    </row>
    <row r="1540" spans="1:6">
      <c r="A1540" t="s">
        <v>1476</v>
      </c>
      <c r="B1540" t="s">
        <v>401</v>
      </c>
      <c r="C1540" t="s">
        <v>402</v>
      </c>
      <c r="D1540" t="str">
        <f>HYPERLINK("http://service.sap.com/sap/support/notes/1401333","1401333")</f>
        <v>1401333</v>
      </c>
      <c r="F1540" t="s">
        <v>1784</v>
      </c>
    </row>
    <row r="1541" spans="1:6">
      <c r="A1541" t="s">
        <v>1476</v>
      </c>
      <c r="B1541" t="s">
        <v>401</v>
      </c>
      <c r="C1541" t="s">
        <v>402</v>
      </c>
      <c r="D1541" t="str">
        <f>HYPERLINK("http://service.sap.com/sap/support/notes/1408975","1408975")</f>
        <v>1408975</v>
      </c>
      <c r="F1541" t="s">
        <v>1785</v>
      </c>
    </row>
    <row r="1542" spans="1:6">
      <c r="A1542" t="s">
        <v>1476</v>
      </c>
      <c r="B1542" t="s">
        <v>401</v>
      </c>
      <c r="C1542" t="s">
        <v>402</v>
      </c>
      <c r="D1542" t="str">
        <f>HYPERLINK("http://service.sap.com/sap/support/notes/1411660","1411660")</f>
        <v>1411660</v>
      </c>
      <c r="F1542" t="s">
        <v>1786</v>
      </c>
    </row>
    <row r="1543" spans="1:6">
      <c r="A1543" t="s">
        <v>1476</v>
      </c>
      <c r="B1543" t="s">
        <v>401</v>
      </c>
      <c r="C1543" t="s">
        <v>402</v>
      </c>
      <c r="D1543" t="str">
        <f>HYPERLINK("http://service.sap.com/sap/support/notes/1413314","1413314")</f>
        <v>1413314</v>
      </c>
      <c r="F1543" t="s">
        <v>1787</v>
      </c>
    </row>
    <row r="1544" spans="1:6">
      <c r="A1544" t="s">
        <v>1476</v>
      </c>
      <c r="B1544" t="s">
        <v>401</v>
      </c>
      <c r="C1544" t="s">
        <v>402</v>
      </c>
      <c r="D1544" t="str">
        <f>HYPERLINK("http://service.sap.com/sap/support/notes/1414829","1414829")</f>
        <v>1414829</v>
      </c>
      <c r="F1544" t="s">
        <v>1788</v>
      </c>
    </row>
    <row r="1545" spans="1:6">
      <c r="A1545" t="s">
        <v>1476</v>
      </c>
      <c r="B1545" t="s">
        <v>401</v>
      </c>
      <c r="C1545" t="s">
        <v>402</v>
      </c>
      <c r="D1545" t="str">
        <f>HYPERLINK("http://service.sap.com/sap/support/notes/1415342","1415342")</f>
        <v>1415342</v>
      </c>
      <c r="F1545" t="s">
        <v>1789</v>
      </c>
    </row>
    <row r="1546" spans="1:6">
      <c r="A1546" t="s">
        <v>1476</v>
      </c>
      <c r="B1546" t="s">
        <v>410</v>
      </c>
      <c r="C1546" t="s">
        <v>411</v>
      </c>
      <c r="D1546" t="str">
        <f>HYPERLINK("http://service.sap.com/sap/support/notes/1358511","1358511")</f>
        <v>1358511</v>
      </c>
      <c r="F1546" t="s">
        <v>1214</v>
      </c>
    </row>
    <row r="1547" spans="1:6">
      <c r="A1547" t="s">
        <v>1476</v>
      </c>
      <c r="B1547" t="s">
        <v>410</v>
      </c>
      <c r="C1547" t="s">
        <v>411</v>
      </c>
      <c r="D1547" t="str">
        <f>HYPERLINK("http://service.sap.com/sap/support/notes/1376279","1376279")</f>
        <v>1376279</v>
      </c>
      <c r="F1547" t="s">
        <v>1790</v>
      </c>
    </row>
    <row r="1548" spans="1:6">
      <c r="A1548" t="s">
        <v>1476</v>
      </c>
      <c r="B1548" t="s">
        <v>410</v>
      </c>
      <c r="C1548" t="s">
        <v>411</v>
      </c>
      <c r="D1548" t="str">
        <f>HYPERLINK("http://service.sap.com/sap/support/notes/1379621","1379621")</f>
        <v>1379621</v>
      </c>
      <c r="F1548" t="s">
        <v>1218</v>
      </c>
    </row>
    <row r="1549" spans="1:6">
      <c r="A1549" t="s">
        <v>1476</v>
      </c>
      <c r="B1549" t="s">
        <v>410</v>
      </c>
      <c r="C1549" t="s">
        <v>411</v>
      </c>
      <c r="D1549" t="str">
        <f>HYPERLINK("http://service.sap.com/sap/support/notes/1393999","1393999")</f>
        <v>1393999</v>
      </c>
      <c r="F1549" t="s">
        <v>1791</v>
      </c>
    </row>
    <row r="1550" spans="1:6">
      <c r="A1550" t="s">
        <v>1476</v>
      </c>
      <c r="B1550" t="s">
        <v>410</v>
      </c>
      <c r="C1550" t="s">
        <v>411</v>
      </c>
      <c r="D1550" t="str">
        <f>HYPERLINK("http://service.sap.com/sap/support/notes/1411255","1411255")</f>
        <v>1411255</v>
      </c>
      <c r="F1550" t="s">
        <v>1792</v>
      </c>
    </row>
    <row r="1551" spans="1:6">
      <c r="A1551" t="s">
        <v>1476</v>
      </c>
      <c r="B1551" t="s">
        <v>410</v>
      </c>
      <c r="C1551" t="s">
        <v>411</v>
      </c>
      <c r="D1551" t="str">
        <f>HYPERLINK("http://service.sap.com/sap/support/notes/1422167","1422167")</f>
        <v>1422167</v>
      </c>
      <c r="F1551" t="s">
        <v>1793</v>
      </c>
    </row>
    <row r="1552" spans="1:6">
      <c r="A1552" t="s">
        <v>1476</v>
      </c>
      <c r="B1552" t="s">
        <v>424</v>
      </c>
      <c r="C1552" t="s">
        <v>425</v>
      </c>
      <c r="D1552" t="str">
        <f>HYPERLINK("http://service.sap.com/sap/support/notes/1293443","1293443")</f>
        <v>1293443</v>
      </c>
      <c r="F1552" t="s">
        <v>428</v>
      </c>
    </row>
    <row r="1553" spans="1:6">
      <c r="A1553" t="s">
        <v>1476</v>
      </c>
      <c r="B1553" t="s">
        <v>424</v>
      </c>
      <c r="C1553" t="s">
        <v>425</v>
      </c>
      <c r="D1553" t="str">
        <f>HYPERLINK("http://service.sap.com/sap/support/notes/1387445","1387445")</f>
        <v>1387445</v>
      </c>
      <c r="F1553" t="s">
        <v>1794</v>
      </c>
    </row>
    <row r="1554" spans="1:6">
      <c r="A1554" t="s">
        <v>1476</v>
      </c>
      <c r="B1554" t="s">
        <v>424</v>
      </c>
      <c r="C1554" t="s">
        <v>425</v>
      </c>
      <c r="D1554" t="str">
        <f>HYPERLINK("http://service.sap.com/sap/support/notes/1401101","1401101")</f>
        <v>1401101</v>
      </c>
      <c r="F1554" t="s">
        <v>1795</v>
      </c>
    </row>
    <row r="1555" spans="1:6">
      <c r="A1555" t="s">
        <v>1476</v>
      </c>
      <c r="B1555" t="s">
        <v>424</v>
      </c>
      <c r="C1555" t="s">
        <v>425</v>
      </c>
      <c r="D1555" t="str">
        <f>HYPERLINK("http://service.sap.com/sap/support/notes/1405473","1405473")</f>
        <v>1405473</v>
      </c>
      <c r="F1555" t="s">
        <v>1237</v>
      </c>
    </row>
    <row r="1556" spans="1:6">
      <c r="A1556" t="s">
        <v>1476</v>
      </c>
      <c r="B1556" t="s">
        <v>424</v>
      </c>
      <c r="C1556" t="s">
        <v>425</v>
      </c>
      <c r="D1556" t="str">
        <f>HYPERLINK("http://service.sap.com/sap/support/notes/1405784","1405784")</f>
        <v>1405784</v>
      </c>
      <c r="F1556" t="s">
        <v>1796</v>
      </c>
    </row>
    <row r="1557" spans="1:6">
      <c r="A1557" t="s">
        <v>1476</v>
      </c>
      <c r="B1557" t="s">
        <v>424</v>
      </c>
      <c r="C1557" t="s">
        <v>425</v>
      </c>
      <c r="D1557" t="str">
        <f>HYPERLINK("http://service.sap.com/sap/support/notes/1406541","1406541")</f>
        <v>1406541</v>
      </c>
      <c r="F1557" t="s">
        <v>1797</v>
      </c>
    </row>
    <row r="1558" spans="1:6">
      <c r="A1558" t="s">
        <v>1476</v>
      </c>
      <c r="B1558" t="s">
        <v>424</v>
      </c>
      <c r="C1558" t="s">
        <v>425</v>
      </c>
      <c r="D1558" t="str">
        <f>HYPERLINK("http://service.sap.com/sap/support/notes/1411571","1411571")</f>
        <v>1411571</v>
      </c>
      <c r="F1558" t="s">
        <v>1798</v>
      </c>
    </row>
    <row r="1559" spans="1:6">
      <c r="A1559" t="s">
        <v>1476</v>
      </c>
      <c r="B1559" t="s">
        <v>424</v>
      </c>
      <c r="C1559" t="s">
        <v>425</v>
      </c>
      <c r="D1559" t="str">
        <f>HYPERLINK("http://service.sap.com/sap/support/notes/1412442","1412442")</f>
        <v>1412442</v>
      </c>
      <c r="F1559" t="s">
        <v>1799</v>
      </c>
    </row>
    <row r="1560" spans="1:6">
      <c r="A1560" t="s">
        <v>1476</v>
      </c>
      <c r="B1560" t="s">
        <v>424</v>
      </c>
      <c r="C1560" t="s">
        <v>425</v>
      </c>
      <c r="D1560" t="str">
        <f>HYPERLINK("http://service.sap.com/sap/support/notes/1413302","1413302")</f>
        <v>1413302</v>
      </c>
      <c r="F1560" t="s">
        <v>1800</v>
      </c>
    </row>
    <row r="1561" spans="1:6">
      <c r="A1561" t="s">
        <v>1476</v>
      </c>
      <c r="B1561" t="s">
        <v>424</v>
      </c>
      <c r="C1561" t="s">
        <v>425</v>
      </c>
      <c r="D1561" t="str">
        <f>HYPERLINK("http://service.sap.com/sap/support/notes/1417144","1417144")</f>
        <v>1417144</v>
      </c>
      <c r="F1561" t="s">
        <v>1801</v>
      </c>
    </row>
    <row r="1562" spans="1:6">
      <c r="A1562" t="s">
        <v>1476</v>
      </c>
      <c r="B1562" t="s">
        <v>424</v>
      </c>
      <c r="C1562" t="s">
        <v>425</v>
      </c>
      <c r="D1562" t="str">
        <f>HYPERLINK("http://service.sap.com/sap/support/notes/1418879","1418879")</f>
        <v>1418879</v>
      </c>
      <c r="F1562" t="s">
        <v>1802</v>
      </c>
    </row>
    <row r="1563" spans="1:6">
      <c r="A1563" t="s">
        <v>1476</v>
      </c>
      <c r="B1563" t="s">
        <v>424</v>
      </c>
      <c r="C1563" t="s">
        <v>425</v>
      </c>
      <c r="D1563" t="str">
        <f>HYPERLINK("http://service.sap.com/sap/support/notes/1420477","1420477")</f>
        <v>1420477</v>
      </c>
      <c r="F1563" t="s">
        <v>1803</v>
      </c>
    </row>
    <row r="1564" spans="1:6">
      <c r="A1564" t="s">
        <v>1476</v>
      </c>
      <c r="B1564" t="s">
        <v>439</v>
      </c>
      <c r="C1564" t="s">
        <v>189</v>
      </c>
      <c r="D1564" t="str">
        <f>HYPERLINK("http://service.sap.com/sap/support/notes/1391921","1391921")</f>
        <v>1391921</v>
      </c>
      <c r="F1564" t="s">
        <v>440</v>
      </c>
    </row>
    <row r="1565" spans="1:6">
      <c r="A1565" t="s">
        <v>1476</v>
      </c>
      <c r="B1565" t="s">
        <v>441</v>
      </c>
      <c r="C1565" t="s">
        <v>442</v>
      </c>
      <c r="D1565" t="str">
        <f>HYPERLINK("http://service.sap.com/sap/support/notes/1132738","1132738")</f>
        <v>1132738</v>
      </c>
      <c r="F1565" t="s">
        <v>443</v>
      </c>
    </row>
    <row r="1566" spans="1:6">
      <c r="A1566" t="s">
        <v>1476</v>
      </c>
      <c r="B1566" t="s">
        <v>441</v>
      </c>
      <c r="C1566" t="s">
        <v>442</v>
      </c>
      <c r="D1566" t="str">
        <f>HYPERLINK("http://service.sap.com/sap/support/notes/1409620","1409620")</f>
        <v>1409620</v>
      </c>
      <c r="F1566" t="s">
        <v>1804</v>
      </c>
    </row>
    <row r="1567" spans="1:6">
      <c r="A1567" t="s">
        <v>1476</v>
      </c>
      <c r="B1567" t="s">
        <v>441</v>
      </c>
      <c r="C1567" t="s">
        <v>442</v>
      </c>
      <c r="D1567" t="str">
        <f>HYPERLINK("http://service.sap.com/sap/support/notes/1410570","1410570")</f>
        <v>1410570</v>
      </c>
      <c r="F1567" t="s">
        <v>1805</v>
      </c>
    </row>
    <row r="1568" spans="1:6">
      <c r="A1568" t="s">
        <v>1476</v>
      </c>
      <c r="B1568" t="s">
        <v>441</v>
      </c>
      <c r="C1568" t="s">
        <v>442</v>
      </c>
      <c r="D1568" t="str">
        <f>HYPERLINK("http://service.sap.com/sap/support/notes/1413210","1413210")</f>
        <v>1413210</v>
      </c>
      <c r="F1568" t="s">
        <v>1806</v>
      </c>
    </row>
    <row r="1569" spans="1:6">
      <c r="A1569" t="s">
        <v>1476</v>
      </c>
      <c r="B1569" t="s">
        <v>441</v>
      </c>
      <c r="C1569" t="s">
        <v>442</v>
      </c>
      <c r="D1569" t="str">
        <f>HYPERLINK("http://service.sap.com/sap/support/notes/1416856","1416856")</f>
        <v>1416856</v>
      </c>
      <c r="F1569" t="s">
        <v>1807</v>
      </c>
    </row>
    <row r="1570" spans="1:6">
      <c r="A1570" t="s">
        <v>1476</v>
      </c>
      <c r="B1570" t="s">
        <v>1247</v>
      </c>
      <c r="C1570" t="s">
        <v>87</v>
      </c>
      <c r="D1570" t="str">
        <f>HYPERLINK("http://service.sap.com/sap/support/notes/1224058","1224058")</f>
        <v>1224058</v>
      </c>
      <c r="F1570" t="s">
        <v>1808</v>
      </c>
    </row>
    <row r="1571" spans="1:6">
      <c r="A1571" t="s">
        <v>1476</v>
      </c>
      <c r="B1571" t="s">
        <v>1247</v>
      </c>
      <c r="C1571" t="s">
        <v>87</v>
      </c>
      <c r="D1571" t="str">
        <f>HYPERLINK("http://service.sap.com/sap/support/notes/1322780","1322780")</f>
        <v>1322780</v>
      </c>
      <c r="F1571" t="s">
        <v>1809</v>
      </c>
    </row>
    <row r="1572" spans="1:6">
      <c r="A1572" t="s">
        <v>1476</v>
      </c>
      <c r="B1572" t="s">
        <v>1247</v>
      </c>
      <c r="C1572" t="s">
        <v>87</v>
      </c>
      <c r="D1572" t="str">
        <f>HYPERLINK("http://service.sap.com/sap/support/notes/1413363","1413363")</f>
        <v>1413363</v>
      </c>
      <c r="F1572" t="s">
        <v>1810</v>
      </c>
    </row>
    <row r="1573" spans="1:6">
      <c r="A1573" t="s">
        <v>1476</v>
      </c>
      <c r="B1573" t="s">
        <v>1247</v>
      </c>
      <c r="C1573" t="s">
        <v>87</v>
      </c>
      <c r="D1573" t="str">
        <f>HYPERLINK("http://service.sap.com/sap/support/notes/1415937","1415937")</f>
        <v>1415937</v>
      </c>
      <c r="F1573" t="s">
        <v>1811</v>
      </c>
    </row>
    <row r="1574" spans="1:6">
      <c r="A1574" t="s">
        <v>1476</v>
      </c>
      <c r="B1574" t="s">
        <v>1247</v>
      </c>
      <c r="C1574" t="s">
        <v>87</v>
      </c>
      <c r="D1574" t="str">
        <f>HYPERLINK("http://service.sap.com/sap/support/notes/1416907","1416907")</f>
        <v>1416907</v>
      </c>
      <c r="F1574" t="s">
        <v>1812</v>
      </c>
    </row>
    <row r="1575" spans="1:6">
      <c r="A1575" t="s">
        <v>1476</v>
      </c>
      <c r="B1575" t="s">
        <v>1247</v>
      </c>
      <c r="C1575" t="s">
        <v>87</v>
      </c>
      <c r="D1575" t="str">
        <f>HYPERLINK("http://service.sap.com/sap/support/notes/1418390","1418390")</f>
        <v>1418390</v>
      </c>
      <c r="F1575" t="s">
        <v>1813</v>
      </c>
    </row>
    <row r="1576" spans="1:6">
      <c r="A1576" t="s">
        <v>1476</v>
      </c>
      <c r="B1576" t="s">
        <v>1247</v>
      </c>
      <c r="C1576" t="s">
        <v>87</v>
      </c>
      <c r="D1576" t="str">
        <f>HYPERLINK("http://service.sap.com/sap/support/notes/1422944","1422944")</f>
        <v>1422944</v>
      </c>
      <c r="F1576" t="s">
        <v>1814</v>
      </c>
    </row>
    <row r="1577" spans="1:6">
      <c r="A1577" t="s">
        <v>1476</v>
      </c>
      <c r="B1577" t="s">
        <v>450</v>
      </c>
      <c r="C1577" t="s">
        <v>451</v>
      </c>
      <c r="D1577" t="str">
        <f>HYPERLINK("http://service.sap.com/sap/support/notes/1346548","1346548")</f>
        <v>1346548</v>
      </c>
      <c r="F1577" t="s">
        <v>452</v>
      </c>
    </row>
    <row r="1578" spans="1:6">
      <c r="A1578" t="s">
        <v>1476</v>
      </c>
      <c r="B1578" t="s">
        <v>450</v>
      </c>
      <c r="C1578" t="s">
        <v>451</v>
      </c>
      <c r="D1578" t="str">
        <f>HYPERLINK("http://service.sap.com/sap/support/notes/1400532","1400532")</f>
        <v>1400532</v>
      </c>
      <c r="F1578" t="s">
        <v>1815</v>
      </c>
    </row>
    <row r="1579" spans="1:6">
      <c r="A1579" t="s">
        <v>1476</v>
      </c>
      <c r="B1579" t="s">
        <v>450</v>
      </c>
      <c r="C1579" t="s">
        <v>451</v>
      </c>
      <c r="D1579" t="str">
        <f>HYPERLINK("http://service.sap.com/sap/support/notes/1406256","1406256")</f>
        <v>1406256</v>
      </c>
      <c r="F1579" t="s">
        <v>1816</v>
      </c>
    </row>
    <row r="1580" spans="1:6">
      <c r="A1580" t="s">
        <v>1476</v>
      </c>
      <c r="B1580" t="s">
        <v>450</v>
      </c>
      <c r="C1580" t="s">
        <v>451</v>
      </c>
      <c r="D1580" t="str">
        <f>HYPERLINK("http://service.sap.com/sap/support/notes/1408146","1408146")</f>
        <v>1408146</v>
      </c>
      <c r="F1580" t="s">
        <v>1817</v>
      </c>
    </row>
    <row r="1581" spans="1:6">
      <c r="A1581" t="s">
        <v>1476</v>
      </c>
      <c r="B1581" t="s">
        <v>450</v>
      </c>
      <c r="C1581" t="s">
        <v>451</v>
      </c>
      <c r="D1581" t="str">
        <f>HYPERLINK("http://service.sap.com/sap/support/notes/1408909","1408909")</f>
        <v>1408909</v>
      </c>
      <c r="F1581" t="s">
        <v>1818</v>
      </c>
    </row>
    <row r="1582" spans="1:6">
      <c r="A1582" t="s">
        <v>1476</v>
      </c>
      <c r="B1582" t="s">
        <v>450</v>
      </c>
      <c r="C1582" t="s">
        <v>451</v>
      </c>
      <c r="D1582" t="str">
        <f>HYPERLINK("http://service.sap.com/sap/support/notes/1412600","1412600")</f>
        <v>1412600</v>
      </c>
      <c r="F1582" t="s">
        <v>1819</v>
      </c>
    </row>
    <row r="1583" spans="1:6">
      <c r="A1583" t="s">
        <v>1476</v>
      </c>
      <c r="B1583" t="s">
        <v>450</v>
      </c>
      <c r="C1583" t="s">
        <v>451</v>
      </c>
      <c r="D1583" t="str">
        <f>HYPERLINK("http://service.sap.com/sap/support/notes/1417827","1417827")</f>
        <v>1417827</v>
      </c>
      <c r="F1583" t="s">
        <v>1820</v>
      </c>
    </row>
    <row r="1584" spans="1:6">
      <c r="A1584" t="s">
        <v>1476</v>
      </c>
      <c r="B1584" t="s">
        <v>450</v>
      </c>
      <c r="C1584" t="s">
        <v>451</v>
      </c>
      <c r="D1584" t="str">
        <f>HYPERLINK("http://service.sap.com/sap/support/notes/1420959","1420959")</f>
        <v>1420959</v>
      </c>
      <c r="F1584" t="s">
        <v>1821</v>
      </c>
    </row>
    <row r="1585" spans="1:6">
      <c r="A1585" t="s">
        <v>1476</v>
      </c>
      <c r="B1585" t="s">
        <v>450</v>
      </c>
      <c r="C1585" t="s">
        <v>451</v>
      </c>
      <c r="D1585" t="str">
        <f>HYPERLINK("http://service.sap.com/sap/support/notes/1422204","1422204")</f>
        <v>1422204</v>
      </c>
      <c r="F1585" t="s">
        <v>1822</v>
      </c>
    </row>
    <row r="1586" spans="1:6">
      <c r="A1586" t="s">
        <v>1476</v>
      </c>
      <c r="B1586" t="s">
        <v>450</v>
      </c>
      <c r="C1586" t="s">
        <v>451</v>
      </c>
      <c r="D1586" t="str">
        <f>HYPERLINK("http://service.sap.com/sap/support/notes/1423677","1423677")</f>
        <v>1423677</v>
      </c>
      <c r="F1586" t="s">
        <v>1823</v>
      </c>
    </row>
    <row r="1587" spans="1:6">
      <c r="A1587" t="s">
        <v>1476</v>
      </c>
      <c r="B1587" t="s">
        <v>455</v>
      </c>
      <c r="C1587" t="s">
        <v>456</v>
      </c>
      <c r="D1587" t="str">
        <f>HYPERLINK("http://service.sap.com/sap/support/notes/1411870","1411870")</f>
        <v>1411870</v>
      </c>
      <c r="F1587" t="s">
        <v>1824</v>
      </c>
    </row>
    <row r="1588" spans="1:6">
      <c r="A1588" t="s">
        <v>1476</v>
      </c>
      <c r="B1588" t="s">
        <v>458</v>
      </c>
      <c r="C1588" t="s">
        <v>90</v>
      </c>
      <c r="D1588" t="str">
        <f>HYPERLINK("http://service.sap.com/sap/support/notes/1406465","1406465")</f>
        <v>1406465</v>
      </c>
      <c r="F1588" t="s">
        <v>1825</v>
      </c>
    </row>
    <row r="1589" spans="1:6">
      <c r="A1589" t="s">
        <v>1476</v>
      </c>
      <c r="B1589" t="s">
        <v>458</v>
      </c>
      <c r="C1589" t="s">
        <v>90</v>
      </c>
      <c r="D1589" t="str">
        <f>HYPERLINK("http://service.sap.com/sap/support/notes/1413833","1413833")</f>
        <v>1413833</v>
      </c>
      <c r="F1589" t="s">
        <v>1826</v>
      </c>
    </row>
    <row r="1590" spans="1:6">
      <c r="A1590" t="s">
        <v>1476</v>
      </c>
      <c r="B1590" t="s">
        <v>458</v>
      </c>
      <c r="C1590" t="s">
        <v>90</v>
      </c>
      <c r="D1590" t="str">
        <f>HYPERLINK("http://service.sap.com/sap/support/notes/1414804","1414804")</f>
        <v>1414804</v>
      </c>
      <c r="F1590" t="s">
        <v>1827</v>
      </c>
    </row>
    <row r="1591" spans="1:6">
      <c r="A1591" t="s">
        <v>1476</v>
      </c>
      <c r="B1591" t="s">
        <v>458</v>
      </c>
      <c r="C1591" t="s">
        <v>90</v>
      </c>
      <c r="D1591" t="str">
        <f>HYPERLINK("http://service.sap.com/sap/support/notes/1416320","1416320")</f>
        <v>1416320</v>
      </c>
      <c r="F1591" t="s">
        <v>1828</v>
      </c>
    </row>
    <row r="1592" spans="1:6">
      <c r="A1592" t="s">
        <v>1476</v>
      </c>
      <c r="B1592" t="s">
        <v>458</v>
      </c>
      <c r="C1592" t="s">
        <v>90</v>
      </c>
      <c r="D1592" t="str">
        <f>HYPERLINK("http://service.sap.com/sap/support/notes/1416481","1416481")</f>
        <v>1416481</v>
      </c>
      <c r="F1592" t="s">
        <v>1829</v>
      </c>
    </row>
    <row r="1593" spans="1:6">
      <c r="A1593" t="s">
        <v>1476</v>
      </c>
      <c r="B1593" t="s">
        <v>458</v>
      </c>
      <c r="C1593" t="s">
        <v>90</v>
      </c>
      <c r="D1593" t="str">
        <f>HYPERLINK("http://service.sap.com/sap/support/notes/1416660","1416660")</f>
        <v>1416660</v>
      </c>
      <c r="F1593" t="s">
        <v>1830</v>
      </c>
    </row>
    <row r="1594" spans="1:6">
      <c r="A1594" t="s">
        <v>1476</v>
      </c>
      <c r="B1594" t="s">
        <v>458</v>
      </c>
      <c r="C1594" t="s">
        <v>90</v>
      </c>
      <c r="D1594" t="str">
        <f>HYPERLINK("http://service.sap.com/sap/support/notes/1416849","1416849")</f>
        <v>1416849</v>
      </c>
      <c r="F1594" t="s">
        <v>1831</v>
      </c>
    </row>
    <row r="1595" spans="1:6">
      <c r="A1595" t="s">
        <v>1476</v>
      </c>
      <c r="B1595" t="s">
        <v>458</v>
      </c>
      <c r="C1595" t="s">
        <v>90</v>
      </c>
      <c r="D1595" t="str">
        <f>HYPERLINK("http://service.sap.com/sap/support/notes/1418350","1418350")</f>
        <v>1418350</v>
      </c>
      <c r="F1595" t="s">
        <v>1832</v>
      </c>
    </row>
    <row r="1596" spans="1:6">
      <c r="A1596" t="s">
        <v>1476</v>
      </c>
      <c r="B1596" t="s">
        <v>458</v>
      </c>
      <c r="C1596" t="s">
        <v>90</v>
      </c>
      <c r="D1596" t="str">
        <f>HYPERLINK("http://service.sap.com/sap/support/notes/1421751","1421751")</f>
        <v>1421751</v>
      </c>
      <c r="F1596" t="s">
        <v>1833</v>
      </c>
    </row>
    <row r="1597" spans="1:6">
      <c r="A1597" t="s">
        <v>1476</v>
      </c>
      <c r="B1597" t="s">
        <v>458</v>
      </c>
      <c r="C1597" t="s">
        <v>90</v>
      </c>
      <c r="D1597" t="str">
        <f>HYPERLINK("http://service.sap.com/sap/support/notes/1422955","1422955")</f>
        <v>1422955</v>
      </c>
      <c r="F1597" t="s">
        <v>1834</v>
      </c>
    </row>
    <row r="1598" spans="1:6">
      <c r="A1598" t="s">
        <v>1476</v>
      </c>
      <c r="B1598" t="s">
        <v>463</v>
      </c>
      <c r="C1598" t="s">
        <v>93</v>
      </c>
      <c r="D1598" t="str">
        <f>HYPERLINK("http://service.sap.com/sap/support/notes/1395411","1395411")</f>
        <v>1395411</v>
      </c>
      <c r="F1598" t="s">
        <v>1835</v>
      </c>
    </row>
    <row r="1599" spans="1:6">
      <c r="A1599" t="s">
        <v>1476</v>
      </c>
      <c r="B1599" t="s">
        <v>463</v>
      </c>
      <c r="C1599" t="s">
        <v>93</v>
      </c>
      <c r="D1599" t="str">
        <f>HYPERLINK("http://service.sap.com/sap/support/notes/1415485","1415485")</f>
        <v>1415485</v>
      </c>
      <c r="F1599" t="s">
        <v>1836</v>
      </c>
    </row>
    <row r="1600" spans="1:6">
      <c r="A1600" t="s">
        <v>1476</v>
      </c>
      <c r="B1600" t="s">
        <v>463</v>
      </c>
      <c r="C1600" t="s">
        <v>93</v>
      </c>
      <c r="D1600" t="str">
        <f>HYPERLINK("http://service.sap.com/sap/support/notes/1415627","1415627")</f>
        <v>1415627</v>
      </c>
      <c r="F1600" t="s">
        <v>1837</v>
      </c>
    </row>
    <row r="1601" spans="1:6">
      <c r="A1601" t="s">
        <v>1476</v>
      </c>
      <c r="B1601" t="s">
        <v>463</v>
      </c>
      <c r="C1601" t="s">
        <v>93</v>
      </c>
      <c r="D1601" t="str">
        <f>HYPERLINK("http://service.sap.com/sap/support/notes/1415632","1415632")</f>
        <v>1415632</v>
      </c>
      <c r="F1601" t="s">
        <v>1838</v>
      </c>
    </row>
    <row r="1602" spans="1:6">
      <c r="A1602" t="s">
        <v>1476</v>
      </c>
      <c r="B1602" t="s">
        <v>463</v>
      </c>
      <c r="C1602" t="s">
        <v>93</v>
      </c>
      <c r="D1602" t="str">
        <f>HYPERLINK("http://service.sap.com/sap/support/notes/1416129","1416129")</f>
        <v>1416129</v>
      </c>
      <c r="F1602" t="s">
        <v>1839</v>
      </c>
    </row>
    <row r="1603" spans="1:6">
      <c r="A1603" t="s">
        <v>1476</v>
      </c>
      <c r="B1603" t="s">
        <v>463</v>
      </c>
      <c r="C1603" t="s">
        <v>93</v>
      </c>
      <c r="D1603" t="str">
        <f>HYPERLINK("http://service.sap.com/sap/support/notes/1416486","1416486")</f>
        <v>1416486</v>
      </c>
      <c r="F1603" t="s">
        <v>1840</v>
      </c>
    </row>
    <row r="1604" spans="1:6">
      <c r="A1604" t="s">
        <v>1476</v>
      </c>
      <c r="B1604" t="s">
        <v>463</v>
      </c>
      <c r="C1604" t="s">
        <v>93</v>
      </c>
      <c r="D1604" t="str">
        <f>HYPERLINK("http://service.sap.com/sap/support/notes/1416919","1416919")</f>
        <v>1416919</v>
      </c>
      <c r="F1604" t="s">
        <v>1841</v>
      </c>
    </row>
    <row r="1605" spans="1:6">
      <c r="A1605" t="s">
        <v>1476</v>
      </c>
      <c r="B1605" t="s">
        <v>463</v>
      </c>
      <c r="C1605" t="s">
        <v>93</v>
      </c>
      <c r="D1605" t="str">
        <f>HYPERLINK("http://service.sap.com/sap/support/notes/1417517","1417517")</f>
        <v>1417517</v>
      </c>
      <c r="F1605" t="s">
        <v>1842</v>
      </c>
    </row>
    <row r="1606" spans="1:6">
      <c r="A1606" t="s">
        <v>1476</v>
      </c>
      <c r="B1606" t="s">
        <v>463</v>
      </c>
      <c r="C1606" t="s">
        <v>93</v>
      </c>
      <c r="D1606" t="str">
        <f>HYPERLINK("http://service.sap.com/sap/support/notes/1421782","1421782")</f>
        <v>1421782</v>
      </c>
      <c r="F1606" t="s">
        <v>1843</v>
      </c>
    </row>
    <row r="1607" spans="1:6">
      <c r="A1607" t="s">
        <v>1476</v>
      </c>
      <c r="B1607" t="s">
        <v>463</v>
      </c>
      <c r="C1607" t="s">
        <v>93</v>
      </c>
      <c r="D1607" t="str">
        <f>HYPERLINK("http://service.sap.com/sap/support/notes/1422947","1422947")</f>
        <v>1422947</v>
      </c>
      <c r="F1607" t="s">
        <v>1844</v>
      </c>
    </row>
    <row r="1608" spans="1:6">
      <c r="A1608" t="s">
        <v>1476</v>
      </c>
      <c r="B1608" t="s">
        <v>463</v>
      </c>
      <c r="C1608" t="s">
        <v>93</v>
      </c>
      <c r="D1608" t="str">
        <f>HYPERLINK("http://service.sap.com/sap/support/notes/1422950","1422950")</f>
        <v>1422950</v>
      </c>
      <c r="F1608" t="s">
        <v>1845</v>
      </c>
    </row>
    <row r="1609" spans="1:6">
      <c r="A1609" t="s">
        <v>1476</v>
      </c>
      <c r="B1609" t="s">
        <v>475</v>
      </c>
      <c r="C1609" t="s">
        <v>476</v>
      </c>
      <c r="D1609" t="str">
        <f>HYPERLINK("http://service.sap.com/sap/support/notes/1368345","1368345")</f>
        <v>1368345</v>
      </c>
      <c r="F1609" t="s">
        <v>1846</v>
      </c>
    </row>
    <row r="1610" spans="1:6">
      <c r="A1610" t="s">
        <v>1476</v>
      </c>
      <c r="B1610" t="s">
        <v>475</v>
      </c>
      <c r="C1610" t="s">
        <v>476</v>
      </c>
      <c r="D1610" t="str">
        <f>HYPERLINK("http://service.sap.com/sap/support/notes/1374311","1374311")</f>
        <v>1374311</v>
      </c>
      <c r="F1610" t="s">
        <v>477</v>
      </c>
    </row>
    <row r="1611" spans="1:6">
      <c r="A1611" t="s">
        <v>1476</v>
      </c>
      <c r="B1611" t="s">
        <v>475</v>
      </c>
      <c r="C1611" t="s">
        <v>476</v>
      </c>
      <c r="D1611" t="str">
        <f>HYPERLINK("http://service.sap.com/sap/support/notes/1388401","1388401")</f>
        <v>1388401</v>
      </c>
      <c r="F1611" t="s">
        <v>1847</v>
      </c>
    </row>
    <row r="1612" spans="1:6">
      <c r="A1612" t="s">
        <v>1476</v>
      </c>
      <c r="B1612" t="s">
        <v>475</v>
      </c>
      <c r="C1612" t="s">
        <v>476</v>
      </c>
      <c r="D1612" t="str">
        <f>HYPERLINK("http://service.sap.com/sap/support/notes/1395421","1395421")</f>
        <v>1395421</v>
      </c>
      <c r="F1612" t="s">
        <v>1848</v>
      </c>
    </row>
    <row r="1613" spans="1:6">
      <c r="A1613" t="s">
        <v>1476</v>
      </c>
      <c r="B1613" t="s">
        <v>475</v>
      </c>
      <c r="C1613" t="s">
        <v>476</v>
      </c>
      <c r="D1613" t="str">
        <f>HYPERLINK("http://service.sap.com/sap/support/notes/1402644","1402644")</f>
        <v>1402644</v>
      </c>
      <c r="F1613" t="s">
        <v>1849</v>
      </c>
    </row>
    <row r="1614" spans="1:6">
      <c r="A1614" t="s">
        <v>1476</v>
      </c>
      <c r="B1614" t="s">
        <v>475</v>
      </c>
      <c r="C1614" t="s">
        <v>476</v>
      </c>
      <c r="D1614" t="str">
        <f>HYPERLINK("http://service.sap.com/sap/support/notes/1413993","1413993")</f>
        <v>1413993</v>
      </c>
      <c r="F1614" t="s">
        <v>1850</v>
      </c>
    </row>
    <row r="1615" spans="1:6">
      <c r="A1615" t="s">
        <v>1476</v>
      </c>
      <c r="B1615" t="s">
        <v>475</v>
      </c>
      <c r="C1615" t="s">
        <v>476</v>
      </c>
      <c r="D1615" t="str">
        <f>HYPERLINK("http://service.sap.com/sap/support/notes/1417002","1417002")</f>
        <v>1417002</v>
      </c>
      <c r="F1615" t="s">
        <v>1851</v>
      </c>
    </row>
    <row r="1616" spans="1:6">
      <c r="A1616" t="s">
        <v>1476</v>
      </c>
      <c r="B1616" t="s">
        <v>475</v>
      </c>
      <c r="C1616" t="s">
        <v>476</v>
      </c>
      <c r="D1616" t="str">
        <f>HYPERLINK("http://service.sap.com/sap/support/notes/1418116","1418116")</f>
        <v>1418116</v>
      </c>
      <c r="F1616" t="s">
        <v>1852</v>
      </c>
    </row>
    <row r="1617" spans="1:6">
      <c r="A1617" t="s">
        <v>1476</v>
      </c>
      <c r="B1617" t="s">
        <v>475</v>
      </c>
      <c r="C1617" t="s">
        <v>476</v>
      </c>
      <c r="D1617" t="str">
        <f>HYPERLINK("http://service.sap.com/sap/support/notes/1419280","1419280")</f>
        <v>1419280</v>
      </c>
      <c r="F1617" t="s">
        <v>1853</v>
      </c>
    </row>
    <row r="1618" spans="1:6">
      <c r="A1618" t="s">
        <v>1476</v>
      </c>
      <c r="B1618" t="s">
        <v>475</v>
      </c>
      <c r="C1618" t="s">
        <v>476</v>
      </c>
      <c r="D1618" t="str">
        <f>HYPERLINK("http://service.sap.com/sap/support/notes/1419336","1419336")</f>
        <v>1419336</v>
      </c>
      <c r="F1618" t="s">
        <v>1854</v>
      </c>
    </row>
    <row r="1619" spans="1:6">
      <c r="A1619" t="s">
        <v>1476</v>
      </c>
      <c r="B1619" t="s">
        <v>475</v>
      </c>
      <c r="C1619" t="s">
        <v>476</v>
      </c>
      <c r="D1619" t="str">
        <f>HYPERLINK("http://service.sap.com/sap/support/notes/1421760","1421760")</f>
        <v>1421760</v>
      </c>
      <c r="F1619" t="s">
        <v>1855</v>
      </c>
    </row>
    <row r="1620" spans="1:6">
      <c r="A1620" t="s">
        <v>1476</v>
      </c>
      <c r="B1620" t="s">
        <v>475</v>
      </c>
      <c r="C1620" t="s">
        <v>476</v>
      </c>
      <c r="D1620" t="str">
        <f>HYPERLINK("http://service.sap.com/sap/support/notes/1422716","1422716")</f>
        <v>1422716</v>
      </c>
      <c r="F1620" t="s">
        <v>1856</v>
      </c>
    </row>
    <row r="1621" spans="1:6">
      <c r="A1621" t="s">
        <v>1476</v>
      </c>
      <c r="B1621" t="s">
        <v>482</v>
      </c>
      <c r="C1621" t="s">
        <v>483</v>
      </c>
      <c r="D1621" t="str">
        <f>HYPERLINK("http://service.sap.com/sap/support/notes/808408","808408")</f>
        <v>808408</v>
      </c>
      <c r="F1621" t="s">
        <v>1857</v>
      </c>
    </row>
    <row r="1622" spans="1:6">
      <c r="A1622" t="s">
        <v>1476</v>
      </c>
      <c r="B1622" t="s">
        <v>482</v>
      </c>
      <c r="C1622" t="s">
        <v>483</v>
      </c>
      <c r="D1622" t="str">
        <f>HYPERLINK("http://service.sap.com/sap/support/notes/1405439","1405439")</f>
        <v>1405439</v>
      </c>
      <c r="F1622" t="s">
        <v>1858</v>
      </c>
    </row>
    <row r="1623" spans="1:6">
      <c r="A1623" t="s">
        <v>1476</v>
      </c>
      <c r="B1623" t="s">
        <v>482</v>
      </c>
      <c r="C1623" t="s">
        <v>483</v>
      </c>
      <c r="D1623" t="str">
        <f>HYPERLINK("http://service.sap.com/sap/support/notes/1406616","1406616")</f>
        <v>1406616</v>
      </c>
      <c r="F1623" t="s">
        <v>1859</v>
      </c>
    </row>
    <row r="1624" spans="1:6">
      <c r="A1624" t="s">
        <v>1476</v>
      </c>
      <c r="B1624" t="s">
        <v>482</v>
      </c>
      <c r="C1624" t="s">
        <v>483</v>
      </c>
      <c r="D1624" t="str">
        <f>HYPERLINK("http://service.sap.com/sap/support/notes/1412710","1412710")</f>
        <v>1412710</v>
      </c>
      <c r="F1624" t="s">
        <v>1860</v>
      </c>
    </row>
    <row r="1625" spans="1:6">
      <c r="A1625" t="s">
        <v>1476</v>
      </c>
      <c r="B1625" t="s">
        <v>482</v>
      </c>
      <c r="C1625" t="s">
        <v>483</v>
      </c>
      <c r="D1625" t="str">
        <f>HYPERLINK("http://service.sap.com/sap/support/notes/1420697","1420697")</f>
        <v>1420697</v>
      </c>
      <c r="F1625" t="s">
        <v>1861</v>
      </c>
    </row>
    <row r="1626" spans="1:6">
      <c r="A1626" t="s">
        <v>1476</v>
      </c>
      <c r="B1626" t="s">
        <v>482</v>
      </c>
      <c r="C1626" t="s">
        <v>483</v>
      </c>
      <c r="D1626" t="str">
        <f>HYPERLINK("http://service.sap.com/sap/support/notes/1422038","1422038")</f>
        <v>1422038</v>
      </c>
      <c r="F1626" t="s">
        <v>1862</v>
      </c>
    </row>
    <row r="1627" spans="1:6">
      <c r="A1627" t="s">
        <v>1476</v>
      </c>
      <c r="B1627" t="s">
        <v>482</v>
      </c>
      <c r="C1627" t="s">
        <v>483</v>
      </c>
      <c r="D1627" t="str">
        <f>HYPERLINK("http://service.sap.com/sap/support/notes/1422515","1422515")</f>
        <v>1422515</v>
      </c>
      <c r="F1627" t="s">
        <v>1863</v>
      </c>
    </row>
    <row r="1628" spans="1:6">
      <c r="A1628" t="s">
        <v>1476</v>
      </c>
      <c r="B1628" t="s">
        <v>482</v>
      </c>
      <c r="C1628" t="s">
        <v>483</v>
      </c>
      <c r="D1628" t="str">
        <f>HYPERLINK("http://service.sap.com/sap/support/notes/1423094","1423094")</f>
        <v>1423094</v>
      </c>
      <c r="F1628" t="s">
        <v>1864</v>
      </c>
    </row>
    <row r="1629" spans="1:6">
      <c r="A1629" t="s">
        <v>1476</v>
      </c>
      <c r="B1629" t="s">
        <v>485</v>
      </c>
      <c r="C1629" t="s">
        <v>486</v>
      </c>
      <c r="D1629" t="str">
        <f>HYPERLINK("http://service.sap.com/sap/support/notes/1070285","1070285")</f>
        <v>1070285</v>
      </c>
      <c r="F1629" t="s">
        <v>1865</v>
      </c>
    </row>
    <row r="1630" spans="1:6">
      <c r="A1630" t="s">
        <v>1476</v>
      </c>
      <c r="B1630" t="s">
        <v>485</v>
      </c>
      <c r="C1630" t="s">
        <v>486</v>
      </c>
      <c r="D1630" t="str">
        <f>HYPERLINK("http://service.sap.com/sap/support/notes/1364274","1364274")</f>
        <v>1364274</v>
      </c>
      <c r="F1630" t="s">
        <v>1866</v>
      </c>
    </row>
    <row r="1631" spans="1:6">
      <c r="A1631" t="s">
        <v>1476</v>
      </c>
      <c r="B1631" t="s">
        <v>485</v>
      </c>
      <c r="C1631" t="s">
        <v>486</v>
      </c>
      <c r="D1631" t="str">
        <f>HYPERLINK("http://service.sap.com/sap/support/notes/1394541","1394541")</f>
        <v>1394541</v>
      </c>
      <c r="F1631" t="s">
        <v>1867</v>
      </c>
    </row>
    <row r="1632" spans="1:6">
      <c r="A1632" t="s">
        <v>1476</v>
      </c>
      <c r="B1632" t="s">
        <v>485</v>
      </c>
      <c r="C1632" t="s">
        <v>486</v>
      </c>
      <c r="D1632" t="str">
        <f>HYPERLINK("http://service.sap.com/sap/support/notes/1414230","1414230")</f>
        <v>1414230</v>
      </c>
      <c r="F1632" t="s">
        <v>1868</v>
      </c>
    </row>
    <row r="1633" spans="1:6">
      <c r="A1633" t="s">
        <v>1476</v>
      </c>
      <c r="B1633" t="s">
        <v>492</v>
      </c>
      <c r="C1633" t="s">
        <v>493</v>
      </c>
      <c r="D1633" t="str">
        <f>HYPERLINK("http://service.sap.com/sap/support/notes/1364499","1364499")</f>
        <v>1364499</v>
      </c>
      <c r="F1633" t="s">
        <v>494</v>
      </c>
    </row>
    <row r="1634" spans="1:6">
      <c r="A1634" t="s">
        <v>1476</v>
      </c>
      <c r="B1634" t="s">
        <v>492</v>
      </c>
      <c r="C1634" t="s">
        <v>493</v>
      </c>
      <c r="D1634" t="str">
        <f>HYPERLINK("http://service.sap.com/sap/support/notes/1400292","1400292")</f>
        <v>1400292</v>
      </c>
      <c r="F1634" t="s">
        <v>1287</v>
      </c>
    </row>
    <row r="1635" spans="1:6">
      <c r="A1635" t="s">
        <v>1476</v>
      </c>
      <c r="B1635" t="s">
        <v>492</v>
      </c>
      <c r="C1635" t="s">
        <v>493</v>
      </c>
      <c r="D1635" t="str">
        <f>HYPERLINK("http://service.sap.com/sap/support/notes/1410048","1410048")</f>
        <v>1410048</v>
      </c>
      <c r="F1635" t="s">
        <v>1869</v>
      </c>
    </row>
    <row r="1636" spans="1:6">
      <c r="A1636" t="s">
        <v>1476</v>
      </c>
      <c r="B1636" t="s">
        <v>492</v>
      </c>
      <c r="C1636" t="s">
        <v>493</v>
      </c>
      <c r="D1636" t="str">
        <f>HYPERLINK("http://service.sap.com/sap/support/notes/1411581","1411581")</f>
        <v>1411581</v>
      </c>
      <c r="F1636" t="s">
        <v>1870</v>
      </c>
    </row>
    <row r="1637" spans="1:6">
      <c r="A1637" t="s">
        <v>1476</v>
      </c>
      <c r="B1637" t="s">
        <v>492</v>
      </c>
      <c r="C1637" t="s">
        <v>493</v>
      </c>
      <c r="D1637" t="str">
        <f>HYPERLINK("http://service.sap.com/sap/support/notes/1413470","1413470")</f>
        <v>1413470</v>
      </c>
      <c r="F1637" t="s">
        <v>1871</v>
      </c>
    </row>
    <row r="1638" spans="1:6">
      <c r="A1638" t="s">
        <v>1476</v>
      </c>
      <c r="B1638" t="s">
        <v>492</v>
      </c>
      <c r="C1638" t="s">
        <v>493</v>
      </c>
      <c r="D1638" t="str">
        <f>HYPERLINK("http://service.sap.com/sap/support/notes/1413974","1413974")</f>
        <v>1413974</v>
      </c>
      <c r="F1638" t="s">
        <v>1872</v>
      </c>
    </row>
    <row r="1639" spans="1:6">
      <c r="A1639" t="s">
        <v>1476</v>
      </c>
      <c r="B1639" t="s">
        <v>492</v>
      </c>
      <c r="C1639" t="s">
        <v>493</v>
      </c>
      <c r="D1639" t="str">
        <f>HYPERLINK("http://service.sap.com/sap/support/notes/1415047","1415047")</f>
        <v>1415047</v>
      </c>
      <c r="F1639" t="s">
        <v>1873</v>
      </c>
    </row>
    <row r="1640" spans="1:6">
      <c r="A1640" t="s">
        <v>1476</v>
      </c>
      <c r="B1640" t="s">
        <v>492</v>
      </c>
      <c r="C1640" t="s">
        <v>493</v>
      </c>
      <c r="D1640" t="str">
        <f>HYPERLINK("http://service.sap.com/sap/support/notes/1415654","1415654")</f>
        <v>1415654</v>
      </c>
      <c r="F1640" t="s">
        <v>1874</v>
      </c>
    </row>
    <row r="1641" spans="1:6">
      <c r="A1641" t="s">
        <v>1476</v>
      </c>
      <c r="B1641" t="s">
        <v>492</v>
      </c>
      <c r="C1641" t="s">
        <v>493</v>
      </c>
      <c r="D1641" t="str">
        <f>HYPERLINK("http://service.sap.com/sap/support/notes/1416555","1416555")</f>
        <v>1416555</v>
      </c>
      <c r="F1641" t="s">
        <v>1875</v>
      </c>
    </row>
    <row r="1642" spans="1:6">
      <c r="A1642" t="s">
        <v>1476</v>
      </c>
      <c r="B1642" t="s">
        <v>492</v>
      </c>
      <c r="C1642" t="s">
        <v>493</v>
      </c>
      <c r="D1642" t="str">
        <f>HYPERLINK("http://service.sap.com/sap/support/notes/1417203","1417203")</f>
        <v>1417203</v>
      </c>
      <c r="F1642" t="s">
        <v>1876</v>
      </c>
    </row>
    <row r="1643" spans="1:6">
      <c r="A1643" t="s">
        <v>1476</v>
      </c>
      <c r="B1643" t="s">
        <v>492</v>
      </c>
      <c r="C1643" t="s">
        <v>493</v>
      </c>
      <c r="D1643" t="str">
        <f>HYPERLINK("http://service.sap.com/sap/support/notes/1417592","1417592")</f>
        <v>1417592</v>
      </c>
      <c r="F1643" t="s">
        <v>1877</v>
      </c>
    </row>
    <row r="1644" spans="1:6">
      <c r="A1644" t="s">
        <v>1476</v>
      </c>
      <c r="B1644" t="s">
        <v>492</v>
      </c>
      <c r="C1644" t="s">
        <v>493</v>
      </c>
      <c r="D1644" t="str">
        <f>HYPERLINK("http://service.sap.com/sap/support/notes/1420069","1420069")</f>
        <v>1420069</v>
      </c>
      <c r="F1644" t="s">
        <v>1878</v>
      </c>
    </row>
    <row r="1645" spans="1:6">
      <c r="A1645" t="s">
        <v>1476</v>
      </c>
      <c r="B1645" t="s">
        <v>492</v>
      </c>
      <c r="C1645" t="s">
        <v>493</v>
      </c>
      <c r="D1645" t="str">
        <f>HYPERLINK("http://service.sap.com/sap/support/notes/1420908","1420908")</f>
        <v>1420908</v>
      </c>
      <c r="F1645" t="s">
        <v>1879</v>
      </c>
    </row>
    <row r="1646" spans="1:6">
      <c r="A1646" t="s">
        <v>1476</v>
      </c>
      <c r="B1646" t="s">
        <v>500</v>
      </c>
      <c r="C1646" t="s">
        <v>501</v>
      </c>
      <c r="D1646" t="str">
        <f>HYPERLINK("http://service.sap.com/sap/support/notes/1174708","1174708")</f>
        <v>1174708</v>
      </c>
      <c r="F1646" t="s">
        <v>502</v>
      </c>
    </row>
    <row r="1647" spans="1:6">
      <c r="A1647" t="s">
        <v>1476</v>
      </c>
      <c r="B1647" t="s">
        <v>500</v>
      </c>
      <c r="C1647" t="s">
        <v>501</v>
      </c>
      <c r="D1647" t="str">
        <f>HYPERLINK("http://service.sap.com/sap/support/notes/1289949","1289949")</f>
        <v>1289949</v>
      </c>
      <c r="F1647" t="s">
        <v>1880</v>
      </c>
    </row>
    <row r="1648" spans="1:6">
      <c r="A1648" t="s">
        <v>1476</v>
      </c>
      <c r="B1648" t="s">
        <v>500</v>
      </c>
      <c r="C1648" t="s">
        <v>501</v>
      </c>
      <c r="D1648" t="str">
        <f>HYPERLINK("http://service.sap.com/sap/support/notes/1411409","1411409")</f>
        <v>1411409</v>
      </c>
      <c r="F1648" t="s">
        <v>1881</v>
      </c>
    </row>
    <row r="1649" spans="1:6">
      <c r="A1649" t="s">
        <v>1476</v>
      </c>
      <c r="B1649" t="s">
        <v>500</v>
      </c>
      <c r="C1649" t="s">
        <v>501</v>
      </c>
      <c r="D1649" t="str">
        <f>HYPERLINK("http://service.sap.com/sap/support/notes/1415985","1415985")</f>
        <v>1415985</v>
      </c>
      <c r="F1649" t="s">
        <v>1882</v>
      </c>
    </row>
    <row r="1650" spans="1:6">
      <c r="A1650" t="s">
        <v>1476</v>
      </c>
      <c r="B1650" t="s">
        <v>500</v>
      </c>
      <c r="C1650" t="s">
        <v>501</v>
      </c>
      <c r="D1650" t="str">
        <f>HYPERLINK("http://service.sap.com/sap/support/notes/1416061","1416061")</f>
        <v>1416061</v>
      </c>
      <c r="F1650" t="s">
        <v>1883</v>
      </c>
    </row>
    <row r="1651" spans="1:6">
      <c r="A1651" t="s">
        <v>1476</v>
      </c>
      <c r="B1651" t="s">
        <v>500</v>
      </c>
      <c r="C1651" t="s">
        <v>501</v>
      </c>
      <c r="D1651" t="str">
        <f>HYPERLINK("http://service.sap.com/sap/support/notes/1419497","1419497")</f>
        <v>1419497</v>
      </c>
      <c r="F1651" t="s">
        <v>1884</v>
      </c>
    </row>
    <row r="1652" spans="1:6">
      <c r="A1652" t="s">
        <v>1476</v>
      </c>
      <c r="B1652" t="s">
        <v>500</v>
      </c>
      <c r="C1652" t="s">
        <v>501</v>
      </c>
      <c r="D1652" t="str">
        <f>HYPERLINK("http://service.sap.com/sap/support/notes/1420285","1420285")</f>
        <v>1420285</v>
      </c>
      <c r="F1652" t="s">
        <v>1885</v>
      </c>
    </row>
    <row r="1653" spans="1:6">
      <c r="A1653" t="s">
        <v>1476</v>
      </c>
      <c r="B1653" t="s">
        <v>500</v>
      </c>
      <c r="C1653" t="s">
        <v>501</v>
      </c>
      <c r="D1653" t="str">
        <f>HYPERLINK("http://service.sap.com/sap/support/notes/1421629","1421629")</f>
        <v>1421629</v>
      </c>
      <c r="F1653" t="s">
        <v>1886</v>
      </c>
    </row>
    <row r="1654" spans="1:6">
      <c r="A1654" t="s">
        <v>1476</v>
      </c>
      <c r="B1654" t="s">
        <v>504</v>
      </c>
      <c r="C1654" t="s">
        <v>110</v>
      </c>
      <c r="D1654" t="str">
        <f>HYPERLINK("http://service.sap.com/sap/support/notes/1382858","1382858")</f>
        <v>1382858</v>
      </c>
      <c r="F1654" t="s">
        <v>1887</v>
      </c>
    </row>
    <row r="1655" spans="1:6">
      <c r="A1655" t="s">
        <v>1476</v>
      </c>
      <c r="B1655" t="s">
        <v>504</v>
      </c>
      <c r="C1655" t="s">
        <v>110</v>
      </c>
      <c r="D1655" t="str">
        <f>HYPERLINK("http://service.sap.com/sap/support/notes/1411136","1411136")</f>
        <v>1411136</v>
      </c>
      <c r="F1655" t="s">
        <v>1888</v>
      </c>
    </row>
    <row r="1656" spans="1:6">
      <c r="A1656" t="s">
        <v>1476</v>
      </c>
      <c r="B1656" t="s">
        <v>504</v>
      </c>
      <c r="C1656" t="s">
        <v>110</v>
      </c>
      <c r="D1656" t="str">
        <f>HYPERLINK("http://service.sap.com/sap/support/notes/1411372","1411372")</f>
        <v>1411372</v>
      </c>
      <c r="F1656" t="s">
        <v>1889</v>
      </c>
    </row>
    <row r="1657" spans="1:6">
      <c r="A1657" t="s">
        <v>1476</v>
      </c>
      <c r="B1657" t="s">
        <v>504</v>
      </c>
      <c r="C1657" t="s">
        <v>110</v>
      </c>
      <c r="D1657" t="str">
        <f>HYPERLINK("http://service.sap.com/sap/support/notes/1411447","1411447")</f>
        <v>1411447</v>
      </c>
      <c r="F1657" t="s">
        <v>1890</v>
      </c>
    </row>
    <row r="1658" spans="1:6">
      <c r="A1658" t="s">
        <v>1476</v>
      </c>
      <c r="B1658" t="s">
        <v>504</v>
      </c>
      <c r="C1658" t="s">
        <v>110</v>
      </c>
      <c r="D1658" t="str">
        <f>HYPERLINK("http://service.sap.com/sap/support/notes/1417361","1417361")</f>
        <v>1417361</v>
      </c>
      <c r="F1658" t="s">
        <v>1891</v>
      </c>
    </row>
    <row r="1659" spans="1:6">
      <c r="A1659" t="s">
        <v>1476</v>
      </c>
      <c r="B1659" t="s">
        <v>504</v>
      </c>
      <c r="C1659" t="s">
        <v>110</v>
      </c>
      <c r="D1659" t="str">
        <f>HYPERLINK("http://service.sap.com/sap/support/notes/1419401","1419401")</f>
        <v>1419401</v>
      </c>
      <c r="F1659" t="s">
        <v>1892</v>
      </c>
    </row>
    <row r="1660" spans="1:6">
      <c r="A1660" t="s">
        <v>1476</v>
      </c>
      <c r="B1660" t="s">
        <v>504</v>
      </c>
      <c r="C1660" t="s">
        <v>110</v>
      </c>
      <c r="D1660" t="str">
        <f>HYPERLINK("http://service.sap.com/sap/support/notes/1422690","1422690")</f>
        <v>1422690</v>
      </c>
      <c r="F1660" t="s">
        <v>1893</v>
      </c>
    </row>
    <row r="1661" spans="1:6">
      <c r="A1661" t="s">
        <v>1476</v>
      </c>
      <c r="B1661" t="s">
        <v>504</v>
      </c>
      <c r="C1661" t="s">
        <v>110</v>
      </c>
      <c r="D1661" t="str">
        <f>HYPERLINK("http://service.sap.com/sap/support/notes/1422907","1422907")</f>
        <v>1422907</v>
      </c>
      <c r="F1661" t="s">
        <v>1894</v>
      </c>
    </row>
    <row r="1662" spans="1:6">
      <c r="A1662" t="s">
        <v>1476</v>
      </c>
      <c r="B1662" t="s">
        <v>504</v>
      </c>
      <c r="C1662" t="s">
        <v>110</v>
      </c>
      <c r="D1662" t="str">
        <f>HYPERLINK("http://service.sap.com/sap/support/notes/1423089","1423089")</f>
        <v>1423089</v>
      </c>
      <c r="F1662" t="s">
        <v>1895</v>
      </c>
    </row>
    <row r="1663" spans="1:6">
      <c r="A1663" t="s">
        <v>1476</v>
      </c>
      <c r="B1663" t="s">
        <v>510</v>
      </c>
      <c r="C1663" t="s">
        <v>114</v>
      </c>
      <c r="D1663" t="str">
        <f>HYPERLINK("http://service.sap.com/sap/support/notes/1399231","1399231")</f>
        <v>1399231</v>
      </c>
      <c r="F1663" t="s">
        <v>1896</v>
      </c>
    </row>
    <row r="1664" spans="1:6">
      <c r="A1664" t="s">
        <v>1476</v>
      </c>
      <c r="B1664" t="s">
        <v>510</v>
      </c>
      <c r="C1664" t="s">
        <v>114</v>
      </c>
      <c r="D1664" t="str">
        <f>HYPERLINK("http://service.sap.com/sap/support/notes/1411441","1411441")</f>
        <v>1411441</v>
      </c>
      <c r="F1664" t="s">
        <v>1897</v>
      </c>
    </row>
    <row r="1665" spans="1:6">
      <c r="A1665" t="s">
        <v>1476</v>
      </c>
      <c r="B1665" t="s">
        <v>510</v>
      </c>
      <c r="C1665" t="s">
        <v>114</v>
      </c>
      <c r="D1665" t="str">
        <f>HYPERLINK("http://service.sap.com/sap/support/notes/1415327","1415327")</f>
        <v>1415327</v>
      </c>
      <c r="F1665" t="s">
        <v>1898</v>
      </c>
    </row>
    <row r="1666" spans="1:6">
      <c r="A1666" t="s">
        <v>1476</v>
      </c>
      <c r="B1666" t="s">
        <v>510</v>
      </c>
      <c r="C1666" t="s">
        <v>114</v>
      </c>
      <c r="D1666" t="str">
        <f>HYPERLINK("http://service.sap.com/sap/support/notes/1421180","1421180")</f>
        <v>1421180</v>
      </c>
      <c r="F1666" t="s">
        <v>1899</v>
      </c>
    </row>
    <row r="1667" spans="1:6">
      <c r="A1667" t="s">
        <v>1476</v>
      </c>
      <c r="B1667" t="s">
        <v>510</v>
      </c>
      <c r="C1667" t="s">
        <v>114</v>
      </c>
      <c r="D1667" t="str">
        <f>HYPERLINK("http://service.sap.com/sap/support/notes/1421199","1421199")</f>
        <v>1421199</v>
      </c>
      <c r="F1667" t="s">
        <v>1900</v>
      </c>
    </row>
    <row r="1668" spans="1:6">
      <c r="A1668" t="s">
        <v>1476</v>
      </c>
      <c r="B1668" t="s">
        <v>510</v>
      </c>
      <c r="C1668" t="s">
        <v>114</v>
      </c>
      <c r="D1668" t="str">
        <f>HYPERLINK("http://service.sap.com/sap/support/notes/1422649","1422649")</f>
        <v>1422649</v>
      </c>
      <c r="F1668" t="s">
        <v>1901</v>
      </c>
    </row>
    <row r="1669" spans="1:6">
      <c r="A1669" t="s">
        <v>1476</v>
      </c>
      <c r="B1669" t="s">
        <v>510</v>
      </c>
      <c r="C1669" t="s">
        <v>114</v>
      </c>
      <c r="D1669" t="str">
        <f>HYPERLINK("http://service.sap.com/sap/support/notes/1425936","1425936")</f>
        <v>1425936</v>
      </c>
      <c r="F1669" t="s">
        <v>1902</v>
      </c>
    </row>
    <row r="1670" spans="1:6">
      <c r="A1670" t="s">
        <v>1476</v>
      </c>
      <c r="B1670" t="s">
        <v>513</v>
      </c>
      <c r="C1670" t="s">
        <v>514</v>
      </c>
      <c r="D1670" t="str">
        <f>HYPERLINK("http://service.sap.com/sap/support/notes/1322861","1322861")</f>
        <v>1322861</v>
      </c>
      <c r="F1670" t="s">
        <v>1903</v>
      </c>
    </row>
    <row r="1671" spans="1:6">
      <c r="A1671" t="s">
        <v>1476</v>
      </c>
      <c r="B1671" t="s">
        <v>513</v>
      </c>
      <c r="C1671" t="s">
        <v>514</v>
      </c>
      <c r="D1671" t="str">
        <f>HYPERLINK("http://service.sap.com/sap/support/notes/1421081","1421081")</f>
        <v>1421081</v>
      </c>
      <c r="F1671" t="s">
        <v>1904</v>
      </c>
    </row>
    <row r="1672" spans="1:6">
      <c r="A1672" t="s">
        <v>1476</v>
      </c>
      <c r="B1672" t="s">
        <v>519</v>
      </c>
      <c r="C1672" t="s">
        <v>117</v>
      </c>
    </row>
    <row r="1673" spans="1:6">
      <c r="A1673" t="s">
        <v>1476</v>
      </c>
      <c r="B1673" t="s">
        <v>1320</v>
      </c>
      <c r="C1673" t="s">
        <v>1321</v>
      </c>
      <c r="D1673" t="str">
        <f>HYPERLINK("http://service.sap.com/sap/support/notes/1415306","1415306")</f>
        <v>1415306</v>
      </c>
      <c r="F1673" t="s">
        <v>1905</v>
      </c>
    </row>
    <row r="1674" spans="1:6">
      <c r="A1674" t="s">
        <v>1476</v>
      </c>
      <c r="B1674" t="s">
        <v>529</v>
      </c>
      <c r="C1674" t="s">
        <v>530</v>
      </c>
      <c r="D1674" t="str">
        <f>HYPERLINK("http://service.sap.com/sap/support/notes/1413275","1413275")</f>
        <v>1413275</v>
      </c>
      <c r="F1674" t="s">
        <v>1906</v>
      </c>
    </row>
    <row r="1675" spans="1:6">
      <c r="A1675" t="s">
        <v>1476</v>
      </c>
      <c r="B1675" t="s">
        <v>529</v>
      </c>
      <c r="C1675" t="s">
        <v>530</v>
      </c>
      <c r="D1675" t="str">
        <f>HYPERLINK("http://service.sap.com/sap/support/notes/1415885","1415885")</f>
        <v>1415885</v>
      </c>
      <c r="F1675" t="s">
        <v>1907</v>
      </c>
    </row>
    <row r="1676" spans="1:6">
      <c r="A1676" t="s">
        <v>1476</v>
      </c>
      <c r="B1676" t="s">
        <v>533</v>
      </c>
      <c r="C1676" t="s">
        <v>534</v>
      </c>
      <c r="D1676" t="str">
        <f>HYPERLINK("http://service.sap.com/sap/support/notes/1407781","1407781")</f>
        <v>1407781</v>
      </c>
      <c r="F1676" t="s">
        <v>1908</v>
      </c>
    </row>
    <row r="1677" spans="1:6">
      <c r="A1677" t="s">
        <v>1476</v>
      </c>
      <c r="B1677" t="s">
        <v>533</v>
      </c>
      <c r="C1677" t="s">
        <v>534</v>
      </c>
      <c r="D1677" t="str">
        <f>HYPERLINK("http://service.sap.com/sap/support/notes/1418902","1418902")</f>
        <v>1418902</v>
      </c>
      <c r="F1677" t="s">
        <v>1909</v>
      </c>
    </row>
    <row r="1678" spans="1:6">
      <c r="A1678" t="s">
        <v>1476</v>
      </c>
      <c r="B1678" t="s">
        <v>533</v>
      </c>
      <c r="C1678" t="s">
        <v>534</v>
      </c>
      <c r="D1678" t="str">
        <f>HYPERLINK("http://service.sap.com/sap/support/notes/1422655","1422655")</f>
        <v>1422655</v>
      </c>
      <c r="F1678" t="s">
        <v>1910</v>
      </c>
    </row>
    <row r="1679" spans="1:6">
      <c r="A1679" t="s">
        <v>1476</v>
      </c>
      <c r="B1679" t="s">
        <v>537</v>
      </c>
      <c r="C1679" t="s">
        <v>538</v>
      </c>
      <c r="D1679" t="str">
        <f>HYPERLINK("http://service.sap.com/sap/support/notes/1412088","1412088")</f>
        <v>1412088</v>
      </c>
      <c r="F1679" t="s">
        <v>1911</v>
      </c>
    </row>
    <row r="1680" spans="1:6">
      <c r="A1680" t="s">
        <v>1476</v>
      </c>
      <c r="B1680" t="s">
        <v>541</v>
      </c>
      <c r="C1680" t="s">
        <v>542</v>
      </c>
      <c r="D1680" t="str">
        <f>HYPERLINK("http://service.sap.com/sap/support/notes/1410616","1410616")</f>
        <v>1410616</v>
      </c>
      <c r="F1680" t="s">
        <v>1912</v>
      </c>
    </row>
    <row r="1681" spans="1:6">
      <c r="A1681" t="s">
        <v>1476</v>
      </c>
      <c r="B1681" t="s">
        <v>1392</v>
      </c>
      <c r="C1681" t="s">
        <v>1393</v>
      </c>
      <c r="D1681" t="str">
        <f>HYPERLINK("http://service.sap.com/sap/support/notes/1419334","1419334")</f>
        <v>1419334</v>
      </c>
      <c r="F1681" t="s">
        <v>1913</v>
      </c>
    </row>
    <row r="1682" spans="1:6">
      <c r="A1682" t="s">
        <v>1476</v>
      </c>
      <c r="B1682" t="s">
        <v>544</v>
      </c>
      <c r="C1682" t="s">
        <v>545</v>
      </c>
      <c r="D1682" t="str">
        <f>HYPERLINK("http://service.sap.com/sap/support/notes/1391367","1391367")</f>
        <v>1391367</v>
      </c>
      <c r="F1682" t="s">
        <v>546</v>
      </c>
    </row>
    <row r="1683" spans="1:6">
      <c r="A1683" t="s">
        <v>1476</v>
      </c>
      <c r="B1683" t="s">
        <v>1914</v>
      </c>
      <c r="C1683" t="s">
        <v>1915</v>
      </c>
      <c r="D1683" t="str">
        <f>HYPERLINK("http://service.sap.com/sap/support/notes/1175233","1175233")</f>
        <v>1175233</v>
      </c>
      <c r="F1683" t="s">
        <v>1916</v>
      </c>
    </row>
    <row r="1684" spans="1:6">
      <c r="A1684" t="s">
        <v>1476</v>
      </c>
      <c r="B1684" t="s">
        <v>1914</v>
      </c>
      <c r="C1684" t="s">
        <v>1915</v>
      </c>
      <c r="D1684" t="str">
        <f>HYPERLINK("http://service.sap.com/sap/support/notes/1402150","1402150")</f>
        <v>1402150</v>
      </c>
      <c r="F1684" t="s">
        <v>1917</v>
      </c>
    </row>
    <row r="1685" spans="1:6">
      <c r="A1685" t="s">
        <v>1918</v>
      </c>
      <c r="B1685" t="s">
        <v>567</v>
      </c>
      <c r="C1685" t="s">
        <v>1919</v>
      </c>
    </row>
    <row r="1686" spans="1:6">
      <c r="A1686" t="s">
        <v>1918</v>
      </c>
      <c r="B1686" t="s">
        <v>1920</v>
      </c>
      <c r="C1686" t="s">
        <v>1921</v>
      </c>
    </row>
    <row r="1687" spans="1:6">
      <c r="A1687" t="s">
        <v>1918</v>
      </c>
      <c r="B1687" t="s">
        <v>1922</v>
      </c>
      <c r="C1687" t="s">
        <v>1923</v>
      </c>
      <c r="D1687" t="str">
        <f>HYPERLINK("http://service.sap.com/sap/support/notes/1425550","1425550")</f>
        <v>1425550</v>
      </c>
      <c r="F1687" t="s">
        <v>1924</v>
      </c>
    </row>
    <row r="1688" spans="1:6">
      <c r="A1688" t="s">
        <v>1918</v>
      </c>
      <c r="B1688" t="s">
        <v>29</v>
      </c>
      <c r="C1688" t="s">
        <v>30</v>
      </c>
    </row>
    <row r="1689" spans="1:6">
      <c r="A1689" t="s">
        <v>1918</v>
      </c>
      <c r="B1689" t="s">
        <v>31</v>
      </c>
      <c r="C1689" t="s">
        <v>32</v>
      </c>
      <c r="D1689" t="str">
        <f>HYPERLINK("http://service.sap.com/sap/support/notes/1420345","1420345")</f>
        <v>1420345</v>
      </c>
      <c r="F1689" t="s">
        <v>1480</v>
      </c>
    </row>
    <row r="1690" spans="1:6">
      <c r="A1690" t="s">
        <v>1918</v>
      </c>
      <c r="B1690" t="s">
        <v>33</v>
      </c>
      <c r="C1690" t="s">
        <v>34</v>
      </c>
      <c r="D1690" t="str">
        <f>HYPERLINK("http://service.sap.com/sap/support/notes/1284280","1284280")</f>
        <v>1284280</v>
      </c>
      <c r="F1690" t="s">
        <v>35</v>
      </c>
    </row>
    <row r="1691" spans="1:6">
      <c r="A1691" t="s">
        <v>1918</v>
      </c>
      <c r="B1691" t="s">
        <v>37</v>
      </c>
      <c r="C1691" t="s">
        <v>17</v>
      </c>
    </row>
    <row r="1692" spans="1:6">
      <c r="A1692" t="s">
        <v>1918</v>
      </c>
      <c r="B1692" t="s">
        <v>618</v>
      </c>
      <c r="C1692" t="s">
        <v>1925</v>
      </c>
      <c r="D1692" t="str">
        <f>HYPERLINK("http://service.sap.com/sap/support/notes/1393259","1393259")</f>
        <v>1393259</v>
      </c>
      <c r="F1692" t="s">
        <v>1926</v>
      </c>
    </row>
    <row r="1693" spans="1:6">
      <c r="A1693" t="s">
        <v>1918</v>
      </c>
      <c r="B1693" t="s">
        <v>44</v>
      </c>
      <c r="C1693" t="s">
        <v>45</v>
      </c>
    </row>
    <row r="1694" spans="1:6">
      <c r="A1694" t="s">
        <v>1918</v>
      </c>
      <c r="B1694" t="s">
        <v>49</v>
      </c>
      <c r="C1694" t="s">
        <v>50</v>
      </c>
      <c r="D1694" t="str">
        <f>HYPERLINK("http://service.sap.com/sap/support/notes/1409381","1409381")</f>
        <v>1409381</v>
      </c>
      <c r="F1694" t="s">
        <v>1927</v>
      </c>
    </row>
    <row r="1695" spans="1:6">
      <c r="A1695" t="s">
        <v>1918</v>
      </c>
      <c r="B1695" t="s">
        <v>59</v>
      </c>
      <c r="C1695" t="s">
        <v>60</v>
      </c>
      <c r="D1695" t="str">
        <f>HYPERLINK("http://service.sap.com/sap/support/notes/1427132","1427132")</f>
        <v>1427132</v>
      </c>
      <c r="F1695" t="s">
        <v>1928</v>
      </c>
    </row>
    <row r="1696" spans="1:6">
      <c r="A1696" t="s">
        <v>1918</v>
      </c>
      <c r="B1696" t="s">
        <v>75</v>
      </c>
      <c r="C1696" t="s">
        <v>76</v>
      </c>
    </row>
    <row r="1697" spans="1:6">
      <c r="A1697" t="s">
        <v>1918</v>
      </c>
      <c r="B1697" t="s">
        <v>79</v>
      </c>
      <c r="C1697" t="s">
        <v>80</v>
      </c>
      <c r="D1697" t="str">
        <f>HYPERLINK("http://service.sap.com/sap/support/notes/1320413","1320413")</f>
        <v>1320413</v>
      </c>
      <c r="F1697" t="s">
        <v>1929</v>
      </c>
    </row>
    <row r="1698" spans="1:6">
      <c r="A1698" t="s">
        <v>1918</v>
      </c>
      <c r="B1698" t="s">
        <v>79</v>
      </c>
      <c r="C1698" t="s">
        <v>80</v>
      </c>
      <c r="D1698" t="str">
        <f>HYPERLINK("http://service.sap.com/sap/support/notes/1395554","1395554")</f>
        <v>1395554</v>
      </c>
      <c r="F1698" t="s">
        <v>1930</v>
      </c>
    </row>
    <row r="1699" spans="1:6">
      <c r="A1699" t="s">
        <v>1918</v>
      </c>
      <c r="B1699" t="s">
        <v>79</v>
      </c>
      <c r="C1699" t="s">
        <v>80</v>
      </c>
      <c r="D1699" t="str">
        <f>HYPERLINK("http://service.sap.com/sap/support/notes/1406122","1406122")</f>
        <v>1406122</v>
      </c>
      <c r="F1699" t="s">
        <v>1931</v>
      </c>
    </row>
    <row r="1700" spans="1:6">
      <c r="A1700" t="s">
        <v>1918</v>
      </c>
      <c r="B1700" t="s">
        <v>79</v>
      </c>
      <c r="C1700" t="s">
        <v>80</v>
      </c>
      <c r="D1700" t="str">
        <f>HYPERLINK("http://service.sap.com/sap/support/notes/1418261","1418261")</f>
        <v>1418261</v>
      </c>
      <c r="F1700" t="s">
        <v>1932</v>
      </c>
    </row>
    <row r="1701" spans="1:6">
      <c r="A1701" t="s">
        <v>1918</v>
      </c>
      <c r="B1701" t="s">
        <v>79</v>
      </c>
      <c r="C1701" t="s">
        <v>80</v>
      </c>
      <c r="D1701" t="str">
        <f>HYPERLINK("http://service.sap.com/sap/support/notes/1422808","1422808")</f>
        <v>1422808</v>
      </c>
      <c r="F1701" t="s">
        <v>1933</v>
      </c>
    </row>
    <row r="1702" spans="1:6">
      <c r="A1702" t="s">
        <v>1918</v>
      </c>
      <c r="B1702" t="s">
        <v>79</v>
      </c>
      <c r="C1702" t="s">
        <v>80</v>
      </c>
      <c r="D1702" t="str">
        <f>HYPERLINK("http://service.sap.com/sap/support/notes/1425130","1425130")</f>
        <v>1425130</v>
      </c>
      <c r="F1702" t="s">
        <v>1934</v>
      </c>
    </row>
    <row r="1703" spans="1:6">
      <c r="A1703" t="s">
        <v>1918</v>
      </c>
      <c r="B1703" t="s">
        <v>79</v>
      </c>
      <c r="C1703" t="s">
        <v>80</v>
      </c>
      <c r="D1703" t="str">
        <f>HYPERLINK("http://service.sap.com/sap/support/notes/1425353","1425353")</f>
        <v>1425353</v>
      </c>
      <c r="F1703" t="s">
        <v>1935</v>
      </c>
    </row>
    <row r="1704" spans="1:6">
      <c r="A1704" t="s">
        <v>1918</v>
      </c>
      <c r="B1704" t="s">
        <v>79</v>
      </c>
      <c r="C1704" t="s">
        <v>80</v>
      </c>
      <c r="D1704" t="str">
        <f>HYPERLINK("http://service.sap.com/sap/support/notes/1426058","1426058")</f>
        <v>1426058</v>
      </c>
      <c r="F1704" t="s">
        <v>1936</v>
      </c>
    </row>
    <row r="1705" spans="1:6">
      <c r="A1705" t="s">
        <v>1918</v>
      </c>
      <c r="B1705" t="s">
        <v>79</v>
      </c>
      <c r="C1705" t="s">
        <v>80</v>
      </c>
      <c r="D1705" t="str">
        <f>HYPERLINK("http://service.sap.com/sap/support/notes/1426452","1426452")</f>
        <v>1426452</v>
      </c>
      <c r="F1705" t="s">
        <v>1937</v>
      </c>
    </row>
    <row r="1706" spans="1:6">
      <c r="A1706" t="s">
        <v>1918</v>
      </c>
      <c r="B1706" t="s">
        <v>79</v>
      </c>
      <c r="C1706" t="s">
        <v>80</v>
      </c>
      <c r="D1706" t="str">
        <f>HYPERLINK("http://service.sap.com/sap/support/notes/1426505","1426505")</f>
        <v>1426505</v>
      </c>
      <c r="F1706" t="s">
        <v>1938</v>
      </c>
    </row>
    <row r="1707" spans="1:6">
      <c r="A1707" t="s">
        <v>1918</v>
      </c>
      <c r="B1707" t="s">
        <v>79</v>
      </c>
      <c r="C1707" t="s">
        <v>80</v>
      </c>
      <c r="D1707" t="str">
        <f>HYPERLINK("http://service.sap.com/sap/support/notes/1426576","1426576")</f>
        <v>1426576</v>
      </c>
      <c r="F1707" t="s">
        <v>1939</v>
      </c>
    </row>
    <row r="1708" spans="1:6">
      <c r="A1708" t="s">
        <v>1918</v>
      </c>
      <c r="B1708" t="s">
        <v>79</v>
      </c>
      <c r="C1708" t="s">
        <v>80</v>
      </c>
      <c r="D1708" t="str">
        <f>HYPERLINK("http://service.sap.com/sap/support/notes/1426674","1426674")</f>
        <v>1426674</v>
      </c>
      <c r="F1708" t="s">
        <v>1940</v>
      </c>
    </row>
    <row r="1709" spans="1:6">
      <c r="A1709" t="s">
        <v>1918</v>
      </c>
      <c r="B1709" t="s">
        <v>79</v>
      </c>
      <c r="C1709" t="s">
        <v>80</v>
      </c>
      <c r="D1709" t="str">
        <f>HYPERLINK("http://service.sap.com/sap/support/notes/1426795","1426795")</f>
        <v>1426795</v>
      </c>
      <c r="F1709" t="s">
        <v>1941</v>
      </c>
    </row>
    <row r="1710" spans="1:6">
      <c r="A1710" t="s">
        <v>1918</v>
      </c>
      <c r="B1710" t="s">
        <v>79</v>
      </c>
      <c r="C1710" t="s">
        <v>80</v>
      </c>
      <c r="D1710" t="str">
        <f>HYPERLINK("http://service.sap.com/sap/support/notes/1426945","1426945")</f>
        <v>1426945</v>
      </c>
      <c r="F1710" t="s">
        <v>1942</v>
      </c>
    </row>
    <row r="1711" spans="1:6">
      <c r="A1711" t="s">
        <v>1918</v>
      </c>
      <c r="B1711" t="s">
        <v>1943</v>
      </c>
      <c r="C1711" t="s">
        <v>1944</v>
      </c>
      <c r="D1711" t="str">
        <f>HYPERLINK("http://service.sap.com/sap/support/notes/1428522","1428522")</f>
        <v>1428522</v>
      </c>
      <c r="F1711" t="s">
        <v>1945</v>
      </c>
    </row>
    <row r="1712" spans="1:6">
      <c r="A1712" t="s">
        <v>1918</v>
      </c>
      <c r="B1712" t="s">
        <v>665</v>
      </c>
      <c r="C1712" t="s">
        <v>425</v>
      </c>
      <c r="D1712" t="str">
        <f>HYPERLINK("http://service.sap.com/sap/support/notes/448307","448307")</f>
        <v>448307</v>
      </c>
      <c r="F1712" t="s">
        <v>666</v>
      </c>
    </row>
    <row r="1713" spans="1:6">
      <c r="A1713" t="s">
        <v>1918</v>
      </c>
      <c r="B1713" t="s">
        <v>665</v>
      </c>
      <c r="C1713" t="s">
        <v>425</v>
      </c>
      <c r="D1713" t="str">
        <f>HYPERLINK("http://service.sap.com/sap/support/notes/1426788","1426788")</f>
        <v>1426788</v>
      </c>
      <c r="F1713" t="s">
        <v>1946</v>
      </c>
    </row>
    <row r="1714" spans="1:6">
      <c r="A1714" t="s">
        <v>1918</v>
      </c>
      <c r="B1714" t="s">
        <v>667</v>
      </c>
      <c r="C1714" t="s">
        <v>442</v>
      </c>
      <c r="D1714" t="str">
        <f>HYPERLINK("http://service.sap.com/sap/support/notes/1420588","1420588")</f>
        <v>1420588</v>
      </c>
      <c r="F1714" t="s">
        <v>1947</v>
      </c>
    </row>
    <row r="1715" spans="1:6">
      <c r="A1715" t="s">
        <v>1918</v>
      </c>
      <c r="B1715" t="s">
        <v>667</v>
      </c>
      <c r="C1715" t="s">
        <v>442</v>
      </c>
      <c r="D1715" t="str">
        <f>HYPERLINK("http://service.sap.com/sap/support/notes/1424101","1424101")</f>
        <v>1424101</v>
      </c>
      <c r="F1715" t="s">
        <v>1948</v>
      </c>
    </row>
    <row r="1716" spans="1:6">
      <c r="A1716" t="s">
        <v>1918</v>
      </c>
      <c r="B1716" t="s">
        <v>86</v>
      </c>
      <c r="C1716" t="s">
        <v>87</v>
      </c>
      <c r="D1716" t="str">
        <f>HYPERLINK("http://service.sap.com/sap/support/notes/1428470","1428470")</f>
        <v>1428470</v>
      </c>
      <c r="F1716" t="s">
        <v>1949</v>
      </c>
    </row>
    <row r="1717" spans="1:6">
      <c r="A1717" t="s">
        <v>1918</v>
      </c>
      <c r="B1717" t="s">
        <v>92</v>
      </c>
      <c r="C1717" t="s">
        <v>93</v>
      </c>
      <c r="D1717" t="str">
        <f>HYPERLINK("http://service.sap.com/sap/support/notes/1417597","1417597")</f>
        <v>1417597</v>
      </c>
      <c r="F1717" t="s">
        <v>1950</v>
      </c>
    </row>
    <row r="1718" spans="1:6">
      <c r="A1718" t="s">
        <v>1918</v>
      </c>
      <c r="B1718" t="s">
        <v>92</v>
      </c>
      <c r="C1718" t="s">
        <v>93</v>
      </c>
      <c r="D1718" t="str">
        <f>HYPERLINK("http://service.sap.com/sap/support/notes/1425499","1425499")</f>
        <v>1425499</v>
      </c>
      <c r="F1718" t="s">
        <v>1951</v>
      </c>
    </row>
    <row r="1719" spans="1:6">
      <c r="A1719" t="s">
        <v>1918</v>
      </c>
      <c r="B1719" t="s">
        <v>99</v>
      </c>
      <c r="C1719" t="s">
        <v>100</v>
      </c>
      <c r="D1719" t="str">
        <f>HYPERLINK("http://service.sap.com/sap/support/notes/1424966","1424966")</f>
        <v>1424966</v>
      </c>
      <c r="F1719" t="s">
        <v>1952</v>
      </c>
    </row>
    <row r="1720" spans="1:6">
      <c r="A1720" t="s">
        <v>1918</v>
      </c>
      <c r="B1720" t="s">
        <v>99</v>
      </c>
      <c r="C1720" t="s">
        <v>100</v>
      </c>
      <c r="D1720" t="str">
        <f>HYPERLINK("http://service.sap.com/sap/support/notes/1424969","1424969")</f>
        <v>1424969</v>
      </c>
      <c r="F1720" t="s">
        <v>1953</v>
      </c>
    </row>
    <row r="1721" spans="1:6">
      <c r="A1721" t="s">
        <v>1918</v>
      </c>
      <c r="B1721" t="s">
        <v>99</v>
      </c>
      <c r="C1721" t="s">
        <v>100</v>
      </c>
      <c r="D1721" t="str">
        <f>HYPERLINK("http://service.sap.com/sap/support/notes/1426100","1426100")</f>
        <v>1426100</v>
      </c>
      <c r="F1721" t="s">
        <v>1954</v>
      </c>
    </row>
    <row r="1722" spans="1:6">
      <c r="A1722" t="s">
        <v>1918</v>
      </c>
      <c r="B1722" t="s">
        <v>99</v>
      </c>
      <c r="C1722" t="s">
        <v>100</v>
      </c>
      <c r="D1722" t="str">
        <f>HYPERLINK("http://service.sap.com/sap/support/notes/1426229","1426229")</f>
        <v>1426229</v>
      </c>
      <c r="F1722" t="s">
        <v>1955</v>
      </c>
    </row>
    <row r="1723" spans="1:6">
      <c r="A1723" t="s">
        <v>1918</v>
      </c>
      <c r="B1723" t="s">
        <v>99</v>
      </c>
      <c r="C1723" t="s">
        <v>100</v>
      </c>
      <c r="D1723" t="str">
        <f>HYPERLINK("http://service.sap.com/sap/support/notes/1426260","1426260")</f>
        <v>1426260</v>
      </c>
      <c r="F1723" t="s">
        <v>1956</v>
      </c>
    </row>
    <row r="1724" spans="1:6">
      <c r="A1724" t="s">
        <v>1918</v>
      </c>
      <c r="B1724" t="s">
        <v>99</v>
      </c>
      <c r="C1724" t="s">
        <v>100</v>
      </c>
      <c r="D1724" t="str">
        <f>HYPERLINK("http://service.sap.com/sap/support/notes/1427865","1427865")</f>
        <v>1427865</v>
      </c>
      <c r="F1724" t="s">
        <v>1957</v>
      </c>
    </row>
    <row r="1725" spans="1:6">
      <c r="A1725" t="s">
        <v>1918</v>
      </c>
      <c r="B1725" t="s">
        <v>99</v>
      </c>
      <c r="C1725" t="s">
        <v>100</v>
      </c>
      <c r="D1725" t="str">
        <f>HYPERLINK("http://service.sap.com/sap/support/notes/1427951","1427951")</f>
        <v>1427951</v>
      </c>
      <c r="F1725" t="s">
        <v>1958</v>
      </c>
    </row>
    <row r="1726" spans="1:6">
      <c r="A1726" t="s">
        <v>1918</v>
      </c>
      <c r="B1726" t="s">
        <v>99</v>
      </c>
      <c r="C1726" t="s">
        <v>100</v>
      </c>
      <c r="D1726" t="str">
        <f>HYPERLINK("http://service.sap.com/sap/support/notes/1429668","1429668")</f>
        <v>1429668</v>
      </c>
      <c r="F1726" t="s">
        <v>1959</v>
      </c>
    </row>
    <row r="1727" spans="1:6">
      <c r="A1727" t="s">
        <v>1918</v>
      </c>
      <c r="B1727" t="s">
        <v>116</v>
      </c>
      <c r="C1727" t="s">
        <v>117</v>
      </c>
      <c r="D1727" t="str">
        <f>HYPERLINK("http://service.sap.com/sap/support/notes/1391001","1391001")</f>
        <v>1391001</v>
      </c>
      <c r="F1727" t="s">
        <v>120</v>
      </c>
    </row>
    <row r="1728" spans="1:6">
      <c r="A1728" t="s">
        <v>1918</v>
      </c>
      <c r="B1728" t="s">
        <v>116</v>
      </c>
      <c r="C1728" t="s">
        <v>117</v>
      </c>
      <c r="D1728" t="str">
        <f>HYPERLINK("http://service.sap.com/sap/support/notes/1404454","1404454")</f>
        <v>1404454</v>
      </c>
      <c r="F1728" t="s">
        <v>1960</v>
      </c>
    </row>
    <row r="1729" spans="1:6">
      <c r="A1729" t="s">
        <v>1918</v>
      </c>
      <c r="B1729" t="s">
        <v>116</v>
      </c>
      <c r="C1729" t="s">
        <v>117</v>
      </c>
      <c r="D1729" t="str">
        <f>HYPERLINK("http://service.sap.com/sap/support/notes/1408538","1408538")</f>
        <v>1408538</v>
      </c>
      <c r="F1729" t="s">
        <v>1961</v>
      </c>
    </row>
    <row r="1730" spans="1:6">
      <c r="A1730" t="s">
        <v>1918</v>
      </c>
      <c r="B1730" t="s">
        <v>116</v>
      </c>
      <c r="C1730" t="s">
        <v>117</v>
      </c>
      <c r="D1730" t="str">
        <f>HYPERLINK("http://service.sap.com/sap/support/notes/1422740","1422740")</f>
        <v>1422740</v>
      </c>
      <c r="F1730" t="s">
        <v>1962</v>
      </c>
    </row>
    <row r="1731" spans="1:6">
      <c r="A1731" t="s">
        <v>1918</v>
      </c>
      <c r="B1731" t="s">
        <v>116</v>
      </c>
      <c r="C1731" t="s">
        <v>117</v>
      </c>
      <c r="D1731" t="str">
        <f>HYPERLINK("http://service.sap.com/sap/support/notes/1424097","1424097")</f>
        <v>1424097</v>
      </c>
      <c r="F1731" t="s">
        <v>1963</v>
      </c>
    </row>
    <row r="1732" spans="1:6">
      <c r="A1732" t="s">
        <v>1918</v>
      </c>
      <c r="B1732" t="s">
        <v>122</v>
      </c>
      <c r="C1732" t="s">
        <v>123</v>
      </c>
      <c r="D1732" t="str">
        <f>HYPERLINK("http://service.sap.com/sap/support/notes/1403336","1403336")</f>
        <v>1403336</v>
      </c>
      <c r="F1732" t="s">
        <v>1964</v>
      </c>
    </row>
    <row r="1733" spans="1:6">
      <c r="A1733" t="s">
        <v>1918</v>
      </c>
      <c r="B1733" t="s">
        <v>122</v>
      </c>
      <c r="C1733" t="s">
        <v>123</v>
      </c>
      <c r="D1733" t="str">
        <f>HYPERLINK("http://service.sap.com/sap/support/notes/1406974","1406974")</f>
        <v>1406974</v>
      </c>
      <c r="F1733" t="s">
        <v>1965</v>
      </c>
    </row>
    <row r="1734" spans="1:6">
      <c r="A1734" t="s">
        <v>1918</v>
      </c>
      <c r="B1734" t="s">
        <v>122</v>
      </c>
      <c r="C1734" t="s">
        <v>123</v>
      </c>
      <c r="D1734" t="str">
        <f>HYPERLINK("http://service.sap.com/sap/support/notes/1413374","1413374")</f>
        <v>1413374</v>
      </c>
      <c r="F1734" t="s">
        <v>1966</v>
      </c>
    </row>
    <row r="1735" spans="1:6">
      <c r="A1735" t="s">
        <v>1918</v>
      </c>
      <c r="B1735" t="s">
        <v>1967</v>
      </c>
      <c r="C1735" t="s">
        <v>1968</v>
      </c>
      <c r="D1735" t="str">
        <f>HYPERLINK("http://service.sap.com/sap/support/notes/1303101","1303101")</f>
        <v>1303101</v>
      </c>
      <c r="F1735" t="s">
        <v>1969</v>
      </c>
    </row>
    <row r="1736" spans="1:6">
      <c r="A1736" t="s">
        <v>1918</v>
      </c>
      <c r="B1736" t="s">
        <v>1967</v>
      </c>
      <c r="C1736" t="s">
        <v>1968</v>
      </c>
      <c r="D1736" t="str">
        <f>HYPERLINK("http://service.sap.com/sap/support/notes/1340909","1340909")</f>
        <v>1340909</v>
      </c>
      <c r="F1736" t="s">
        <v>1970</v>
      </c>
    </row>
    <row r="1737" spans="1:6">
      <c r="A1737" t="s">
        <v>1918</v>
      </c>
      <c r="B1737" t="s">
        <v>128</v>
      </c>
      <c r="C1737" t="s">
        <v>129</v>
      </c>
    </row>
    <row r="1738" spans="1:6">
      <c r="A1738" t="s">
        <v>1918</v>
      </c>
      <c r="B1738" t="s">
        <v>130</v>
      </c>
      <c r="C1738" t="s">
        <v>131</v>
      </c>
      <c r="D1738" t="str">
        <f>HYPERLINK("http://service.sap.com/sap/support/notes/1410703","1410703")</f>
        <v>1410703</v>
      </c>
      <c r="F1738" t="s">
        <v>1971</v>
      </c>
    </row>
    <row r="1739" spans="1:6">
      <c r="A1739" t="s">
        <v>1918</v>
      </c>
      <c r="B1739" t="s">
        <v>130</v>
      </c>
      <c r="C1739" t="s">
        <v>131</v>
      </c>
      <c r="D1739" t="str">
        <f>HYPERLINK("http://service.sap.com/sap/support/notes/1425624","1425624")</f>
        <v>1425624</v>
      </c>
      <c r="F1739" t="s">
        <v>1972</v>
      </c>
    </row>
    <row r="1740" spans="1:6">
      <c r="A1740" t="s">
        <v>1918</v>
      </c>
      <c r="B1740" t="s">
        <v>130</v>
      </c>
      <c r="C1740" t="s">
        <v>131</v>
      </c>
      <c r="D1740" t="str">
        <f>HYPERLINK("http://service.sap.com/sap/support/notes/1426340","1426340")</f>
        <v>1426340</v>
      </c>
      <c r="F1740" t="s">
        <v>1973</v>
      </c>
    </row>
    <row r="1741" spans="1:6">
      <c r="A1741" t="s">
        <v>1918</v>
      </c>
      <c r="B1741" t="s">
        <v>130</v>
      </c>
      <c r="C1741" t="s">
        <v>131</v>
      </c>
      <c r="D1741" t="str">
        <f>HYPERLINK("http://service.sap.com/sap/support/notes/1428450","1428450")</f>
        <v>1428450</v>
      </c>
      <c r="F1741" t="s">
        <v>1974</v>
      </c>
    </row>
    <row r="1742" spans="1:6">
      <c r="A1742" t="s">
        <v>1918</v>
      </c>
      <c r="B1742" t="s">
        <v>134</v>
      </c>
      <c r="C1742" t="s">
        <v>135</v>
      </c>
      <c r="D1742" t="str">
        <f>HYPERLINK("http://service.sap.com/sap/support/notes/1429147","1429147")</f>
        <v>1429147</v>
      </c>
      <c r="F1742" t="s">
        <v>1975</v>
      </c>
    </row>
    <row r="1743" spans="1:6">
      <c r="A1743" t="s">
        <v>1918</v>
      </c>
      <c r="B1743" t="s">
        <v>134</v>
      </c>
      <c r="C1743" t="s">
        <v>135</v>
      </c>
      <c r="D1743" t="str">
        <f>HYPERLINK("http://service.sap.com/sap/support/notes/1429152","1429152")</f>
        <v>1429152</v>
      </c>
      <c r="F1743" t="s">
        <v>1976</v>
      </c>
    </row>
    <row r="1744" spans="1:6">
      <c r="A1744" t="s">
        <v>1918</v>
      </c>
      <c r="B1744" t="s">
        <v>137</v>
      </c>
      <c r="C1744" t="s">
        <v>138</v>
      </c>
    </row>
    <row r="1745" spans="1:6">
      <c r="A1745" t="s">
        <v>1918</v>
      </c>
      <c r="B1745" t="s">
        <v>1537</v>
      </c>
      <c r="C1745" t="s">
        <v>1538</v>
      </c>
      <c r="D1745" t="str">
        <f>HYPERLINK("http://service.sap.com/sap/support/notes/1407322","1407322")</f>
        <v>1407322</v>
      </c>
      <c r="F1745" t="s">
        <v>1977</v>
      </c>
    </row>
    <row r="1746" spans="1:6">
      <c r="A1746" t="s">
        <v>1918</v>
      </c>
      <c r="B1746" t="s">
        <v>1537</v>
      </c>
      <c r="C1746" t="s">
        <v>1538</v>
      </c>
      <c r="D1746" t="str">
        <f>HYPERLINK("http://service.sap.com/sap/support/notes/1427922","1427922")</f>
        <v>1427922</v>
      </c>
      <c r="F1746" t="s">
        <v>1978</v>
      </c>
    </row>
    <row r="1747" spans="1:6">
      <c r="A1747" t="s">
        <v>1918</v>
      </c>
      <c r="B1747" t="s">
        <v>139</v>
      </c>
      <c r="C1747" t="s">
        <v>140</v>
      </c>
    </row>
    <row r="1748" spans="1:6">
      <c r="A1748" t="s">
        <v>1918</v>
      </c>
      <c r="B1748" t="s">
        <v>141</v>
      </c>
      <c r="C1748" t="s">
        <v>142</v>
      </c>
      <c r="D1748" t="str">
        <f>HYPERLINK("http://service.sap.com/sap/support/notes/1016824","1016824")</f>
        <v>1016824</v>
      </c>
      <c r="F1748" t="s">
        <v>1979</v>
      </c>
    </row>
    <row r="1749" spans="1:6">
      <c r="A1749" t="s">
        <v>1918</v>
      </c>
      <c r="B1749" t="s">
        <v>146</v>
      </c>
      <c r="C1749" t="s">
        <v>147</v>
      </c>
    </row>
    <row r="1750" spans="1:6">
      <c r="A1750" t="s">
        <v>1918</v>
      </c>
      <c r="B1750" t="s">
        <v>148</v>
      </c>
      <c r="C1750" t="s">
        <v>149</v>
      </c>
      <c r="D1750" t="str">
        <f>HYPERLINK("http://service.sap.com/sap/support/notes/755709","755709")</f>
        <v>755709</v>
      </c>
      <c r="F1750" t="s">
        <v>1980</v>
      </c>
    </row>
    <row r="1751" spans="1:6">
      <c r="A1751" t="s">
        <v>1918</v>
      </c>
      <c r="B1751" t="s">
        <v>148</v>
      </c>
      <c r="C1751" t="s">
        <v>149</v>
      </c>
      <c r="D1751" t="str">
        <f>HYPERLINK("http://service.sap.com/sap/support/notes/1416269","1416269")</f>
        <v>1416269</v>
      </c>
      <c r="F1751" t="s">
        <v>1981</v>
      </c>
    </row>
    <row r="1752" spans="1:6">
      <c r="A1752" t="s">
        <v>1918</v>
      </c>
      <c r="B1752" t="s">
        <v>148</v>
      </c>
      <c r="C1752" t="s">
        <v>149</v>
      </c>
      <c r="D1752" t="str">
        <f>HYPERLINK("http://service.sap.com/sap/support/notes/1425849","1425849")</f>
        <v>1425849</v>
      </c>
      <c r="F1752" t="s">
        <v>1982</v>
      </c>
    </row>
    <row r="1753" spans="1:6">
      <c r="A1753" t="s">
        <v>1918</v>
      </c>
      <c r="B1753" t="s">
        <v>148</v>
      </c>
      <c r="C1753" t="s">
        <v>149</v>
      </c>
      <c r="D1753" t="str">
        <f>HYPERLINK("http://service.sap.com/sap/support/notes/1427482","1427482")</f>
        <v>1427482</v>
      </c>
      <c r="F1753" t="s">
        <v>1983</v>
      </c>
    </row>
    <row r="1754" spans="1:6">
      <c r="A1754" t="s">
        <v>1918</v>
      </c>
      <c r="B1754" t="s">
        <v>154</v>
      </c>
      <c r="C1754" t="s">
        <v>155</v>
      </c>
      <c r="D1754" t="str">
        <f>HYPERLINK("http://service.sap.com/sap/support/notes/1408151","1408151")</f>
        <v>1408151</v>
      </c>
      <c r="F1754" t="s">
        <v>1984</v>
      </c>
    </row>
    <row r="1755" spans="1:6">
      <c r="A1755" t="s">
        <v>1918</v>
      </c>
      <c r="B1755" t="s">
        <v>158</v>
      </c>
      <c r="C1755" t="s">
        <v>159</v>
      </c>
    </row>
    <row r="1756" spans="1:6">
      <c r="A1756" t="s">
        <v>1918</v>
      </c>
      <c r="B1756" t="s">
        <v>160</v>
      </c>
      <c r="C1756" t="s">
        <v>47</v>
      </c>
      <c r="D1756" t="str">
        <f>HYPERLINK("http://service.sap.com/sap/support/notes/1248983","1248983")</f>
        <v>1248983</v>
      </c>
      <c r="F1756" t="s">
        <v>1985</v>
      </c>
    </row>
    <row r="1757" spans="1:6">
      <c r="A1757" t="s">
        <v>1918</v>
      </c>
      <c r="B1757" t="s">
        <v>160</v>
      </c>
      <c r="C1757" t="s">
        <v>47</v>
      </c>
      <c r="D1757" t="str">
        <f>HYPERLINK("http://service.sap.com/sap/support/notes/1407759","1407759")</f>
        <v>1407759</v>
      </c>
      <c r="F1757" t="s">
        <v>1986</v>
      </c>
    </row>
    <row r="1758" spans="1:6">
      <c r="A1758" t="s">
        <v>1918</v>
      </c>
      <c r="B1758" t="s">
        <v>160</v>
      </c>
      <c r="C1758" t="s">
        <v>47</v>
      </c>
      <c r="D1758" t="str">
        <f>HYPERLINK("http://service.sap.com/sap/support/notes/1410776","1410776")</f>
        <v>1410776</v>
      </c>
      <c r="F1758" t="s">
        <v>1987</v>
      </c>
    </row>
    <row r="1759" spans="1:6">
      <c r="A1759" t="s">
        <v>1918</v>
      </c>
      <c r="B1759" t="s">
        <v>160</v>
      </c>
      <c r="C1759" t="s">
        <v>47</v>
      </c>
      <c r="D1759" t="str">
        <f>HYPERLINK("http://service.sap.com/sap/support/notes/1428738","1428738")</f>
        <v>1428738</v>
      </c>
      <c r="F1759" t="s">
        <v>1988</v>
      </c>
    </row>
    <row r="1760" spans="1:6">
      <c r="A1760" t="s">
        <v>1918</v>
      </c>
      <c r="B1760" t="s">
        <v>160</v>
      </c>
      <c r="C1760" t="s">
        <v>47</v>
      </c>
      <c r="D1760" t="str">
        <f>HYPERLINK("http://service.sap.com/sap/support/notes/1429012","1429012")</f>
        <v>1429012</v>
      </c>
      <c r="F1760" t="s">
        <v>1989</v>
      </c>
    </row>
    <row r="1761" spans="1:6">
      <c r="A1761" t="s">
        <v>1918</v>
      </c>
      <c r="B1761" t="s">
        <v>166</v>
      </c>
      <c r="C1761" t="s">
        <v>50</v>
      </c>
      <c r="D1761" t="str">
        <f>HYPERLINK("http://service.sap.com/sap/support/notes/1345719","1345719")</f>
        <v>1345719</v>
      </c>
      <c r="F1761" t="s">
        <v>1990</v>
      </c>
    </row>
    <row r="1762" spans="1:6">
      <c r="A1762" t="s">
        <v>1918</v>
      </c>
      <c r="B1762" t="s">
        <v>166</v>
      </c>
      <c r="C1762" t="s">
        <v>50</v>
      </c>
      <c r="D1762" t="str">
        <f>HYPERLINK("http://service.sap.com/sap/support/notes/1402003","1402003")</f>
        <v>1402003</v>
      </c>
      <c r="F1762" t="s">
        <v>1991</v>
      </c>
    </row>
    <row r="1763" spans="1:6">
      <c r="A1763" t="s">
        <v>1918</v>
      </c>
      <c r="B1763" t="s">
        <v>166</v>
      </c>
      <c r="C1763" t="s">
        <v>50</v>
      </c>
      <c r="D1763" t="str">
        <f>HYPERLINK("http://service.sap.com/sap/support/notes/1406892","1406892")</f>
        <v>1406892</v>
      </c>
      <c r="F1763" t="s">
        <v>1992</v>
      </c>
    </row>
    <row r="1764" spans="1:6">
      <c r="A1764" t="s">
        <v>1918</v>
      </c>
      <c r="B1764" t="s">
        <v>166</v>
      </c>
      <c r="C1764" t="s">
        <v>50</v>
      </c>
      <c r="D1764" t="str">
        <f>HYPERLINK("http://service.sap.com/sap/support/notes/1424244","1424244")</f>
        <v>1424244</v>
      </c>
      <c r="F1764" t="s">
        <v>1993</v>
      </c>
    </row>
    <row r="1765" spans="1:6">
      <c r="A1765" t="s">
        <v>1918</v>
      </c>
      <c r="B1765" t="s">
        <v>166</v>
      </c>
      <c r="C1765" t="s">
        <v>50</v>
      </c>
      <c r="D1765" t="str">
        <f>HYPERLINK("http://service.sap.com/sap/support/notes/1425044","1425044")</f>
        <v>1425044</v>
      </c>
      <c r="F1765" t="s">
        <v>1994</v>
      </c>
    </row>
    <row r="1766" spans="1:6">
      <c r="A1766" t="s">
        <v>1918</v>
      </c>
      <c r="B1766" t="s">
        <v>166</v>
      </c>
      <c r="C1766" t="s">
        <v>50</v>
      </c>
      <c r="D1766" t="str">
        <f>HYPERLINK("http://service.sap.com/sap/support/notes/1425486","1425486")</f>
        <v>1425486</v>
      </c>
      <c r="F1766" t="s">
        <v>1995</v>
      </c>
    </row>
    <row r="1767" spans="1:6">
      <c r="A1767" t="s">
        <v>1918</v>
      </c>
      <c r="B1767" t="s">
        <v>166</v>
      </c>
      <c r="C1767" t="s">
        <v>50</v>
      </c>
      <c r="D1767" t="str">
        <f>HYPERLINK("http://service.sap.com/sap/support/notes/1426253","1426253")</f>
        <v>1426253</v>
      </c>
      <c r="F1767" t="s">
        <v>1996</v>
      </c>
    </row>
    <row r="1768" spans="1:6">
      <c r="A1768" t="s">
        <v>1918</v>
      </c>
      <c r="B1768" t="s">
        <v>174</v>
      </c>
      <c r="C1768" t="s">
        <v>175</v>
      </c>
      <c r="D1768" t="str">
        <f>HYPERLINK("http://service.sap.com/sap/support/notes/1249163","1249163")</f>
        <v>1249163</v>
      </c>
      <c r="F1768" t="s">
        <v>1997</v>
      </c>
    </row>
    <row r="1769" spans="1:6">
      <c r="A1769" t="s">
        <v>1918</v>
      </c>
      <c r="B1769" t="s">
        <v>174</v>
      </c>
      <c r="C1769" t="s">
        <v>175</v>
      </c>
      <c r="D1769" t="str">
        <f>HYPERLINK("http://service.sap.com/sap/support/notes/1410183","1410183")</f>
        <v>1410183</v>
      </c>
      <c r="F1769" t="s">
        <v>1998</v>
      </c>
    </row>
    <row r="1770" spans="1:6">
      <c r="A1770" t="s">
        <v>1918</v>
      </c>
      <c r="B1770" t="s">
        <v>174</v>
      </c>
      <c r="C1770" t="s">
        <v>175</v>
      </c>
      <c r="D1770" t="str">
        <f>HYPERLINK("http://service.sap.com/sap/support/notes/1412316","1412316")</f>
        <v>1412316</v>
      </c>
      <c r="F1770" t="s">
        <v>1999</v>
      </c>
    </row>
    <row r="1771" spans="1:6">
      <c r="A1771" t="s">
        <v>1918</v>
      </c>
      <c r="B1771" t="s">
        <v>174</v>
      </c>
      <c r="C1771" t="s">
        <v>175</v>
      </c>
      <c r="D1771" t="str">
        <f>HYPERLINK("http://service.sap.com/sap/support/notes/1421281","1421281")</f>
        <v>1421281</v>
      </c>
      <c r="F1771" t="s">
        <v>2000</v>
      </c>
    </row>
    <row r="1772" spans="1:6">
      <c r="A1772" t="s">
        <v>1918</v>
      </c>
      <c r="B1772" t="s">
        <v>174</v>
      </c>
      <c r="C1772" t="s">
        <v>175</v>
      </c>
      <c r="D1772" t="str">
        <f>HYPERLINK("http://service.sap.com/sap/support/notes/1423613","1423613")</f>
        <v>1423613</v>
      </c>
      <c r="F1772" t="s">
        <v>2001</v>
      </c>
    </row>
    <row r="1773" spans="1:6">
      <c r="A1773" t="s">
        <v>1918</v>
      </c>
      <c r="B1773" t="s">
        <v>174</v>
      </c>
      <c r="C1773" t="s">
        <v>175</v>
      </c>
      <c r="D1773" t="str">
        <f>HYPERLINK("http://service.sap.com/sap/support/notes/1425459","1425459")</f>
        <v>1425459</v>
      </c>
      <c r="F1773" t="s">
        <v>2002</v>
      </c>
    </row>
    <row r="1774" spans="1:6">
      <c r="A1774" t="s">
        <v>1918</v>
      </c>
      <c r="B1774" t="s">
        <v>188</v>
      </c>
      <c r="C1774" t="s">
        <v>189</v>
      </c>
      <c r="D1774" t="str">
        <f>HYPERLINK("http://service.sap.com/sap/support/notes/1407013","1407013")</f>
        <v>1407013</v>
      </c>
      <c r="F1774" t="s">
        <v>2003</v>
      </c>
    </row>
    <row r="1775" spans="1:6">
      <c r="A1775" t="s">
        <v>1918</v>
      </c>
      <c r="B1775" t="s">
        <v>188</v>
      </c>
      <c r="C1775" t="s">
        <v>189</v>
      </c>
      <c r="D1775" t="str">
        <f>HYPERLINK("http://service.sap.com/sap/support/notes/1422531","1422531")</f>
        <v>1422531</v>
      </c>
      <c r="F1775" t="s">
        <v>2004</v>
      </c>
    </row>
    <row r="1776" spans="1:6">
      <c r="A1776" t="s">
        <v>1918</v>
      </c>
      <c r="B1776" t="s">
        <v>188</v>
      </c>
      <c r="C1776" t="s">
        <v>189</v>
      </c>
      <c r="D1776" t="str">
        <f>HYPERLINK("http://service.sap.com/sap/support/notes/1424682","1424682")</f>
        <v>1424682</v>
      </c>
      <c r="F1776" t="s">
        <v>2005</v>
      </c>
    </row>
    <row r="1777" spans="1:6">
      <c r="A1777" t="s">
        <v>1918</v>
      </c>
      <c r="B1777" t="s">
        <v>192</v>
      </c>
      <c r="C1777" t="s">
        <v>60</v>
      </c>
      <c r="D1777" t="str">
        <f>HYPERLINK("http://service.sap.com/sap/support/notes/1421114","1421114")</f>
        <v>1421114</v>
      </c>
      <c r="F1777" t="s">
        <v>2006</v>
      </c>
    </row>
    <row r="1778" spans="1:6">
      <c r="A1778" t="s">
        <v>1918</v>
      </c>
      <c r="B1778" t="s">
        <v>192</v>
      </c>
      <c r="C1778" t="s">
        <v>60</v>
      </c>
      <c r="D1778" t="str">
        <f>HYPERLINK("http://service.sap.com/sap/support/notes/1421735","1421735")</f>
        <v>1421735</v>
      </c>
      <c r="F1778" t="s">
        <v>2007</v>
      </c>
    </row>
    <row r="1779" spans="1:6">
      <c r="A1779" t="s">
        <v>1918</v>
      </c>
      <c r="B1779" t="s">
        <v>192</v>
      </c>
      <c r="C1779" t="s">
        <v>60</v>
      </c>
      <c r="D1779" t="str">
        <f>HYPERLINK("http://service.sap.com/sap/support/notes/1422126","1422126")</f>
        <v>1422126</v>
      </c>
      <c r="F1779" t="s">
        <v>2008</v>
      </c>
    </row>
    <row r="1780" spans="1:6">
      <c r="A1780" t="s">
        <v>1918</v>
      </c>
      <c r="B1780" t="s">
        <v>192</v>
      </c>
      <c r="C1780" t="s">
        <v>60</v>
      </c>
      <c r="D1780" t="str">
        <f>HYPERLINK("http://service.sap.com/sap/support/notes/1423431","1423431")</f>
        <v>1423431</v>
      </c>
      <c r="F1780" t="s">
        <v>2009</v>
      </c>
    </row>
    <row r="1781" spans="1:6">
      <c r="A1781" t="s">
        <v>1918</v>
      </c>
      <c r="B1781" t="s">
        <v>192</v>
      </c>
      <c r="C1781" t="s">
        <v>60</v>
      </c>
      <c r="D1781" t="str">
        <f>HYPERLINK("http://service.sap.com/sap/support/notes/1424257","1424257")</f>
        <v>1424257</v>
      </c>
      <c r="F1781" t="s">
        <v>2010</v>
      </c>
    </row>
    <row r="1782" spans="1:6">
      <c r="A1782" t="s">
        <v>1918</v>
      </c>
      <c r="B1782" t="s">
        <v>192</v>
      </c>
      <c r="C1782" t="s">
        <v>60</v>
      </c>
      <c r="D1782" t="str">
        <f>HYPERLINK("http://service.sap.com/sap/support/notes/1425134","1425134")</f>
        <v>1425134</v>
      </c>
      <c r="F1782" t="s">
        <v>2011</v>
      </c>
    </row>
    <row r="1783" spans="1:6">
      <c r="A1783" t="s">
        <v>1918</v>
      </c>
      <c r="B1783" t="s">
        <v>192</v>
      </c>
      <c r="C1783" t="s">
        <v>60</v>
      </c>
      <c r="D1783" t="str">
        <f>HYPERLINK("http://service.sap.com/sap/support/notes/1425239","1425239")</f>
        <v>1425239</v>
      </c>
      <c r="F1783" t="s">
        <v>2012</v>
      </c>
    </row>
    <row r="1784" spans="1:6">
      <c r="A1784" t="s">
        <v>1918</v>
      </c>
      <c r="B1784" t="s">
        <v>192</v>
      </c>
      <c r="C1784" t="s">
        <v>60</v>
      </c>
      <c r="D1784" t="str">
        <f>HYPERLINK("http://service.sap.com/sap/support/notes/1425625","1425625")</f>
        <v>1425625</v>
      </c>
      <c r="F1784" t="s">
        <v>2013</v>
      </c>
    </row>
    <row r="1785" spans="1:6">
      <c r="A1785" t="s">
        <v>1918</v>
      </c>
      <c r="B1785" t="s">
        <v>192</v>
      </c>
      <c r="C1785" t="s">
        <v>60</v>
      </c>
      <c r="D1785" t="str">
        <f>HYPERLINK("http://service.sap.com/sap/support/notes/1425856","1425856")</f>
        <v>1425856</v>
      </c>
      <c r="F1785" t="s">
        <v>2014</v>
      </c>
    </row>
    <row r="1786" spans="1:6">
      <c r="A1786" t="s">
        <v>1918</v>
      </c>
      <c r="B1786" t="s">
        <v>192</v>
      </c>
      <c r="C1786" t="s">
        <v>60</v>
      </c>
      <c r="D1786" t="str">
        <f>HYPERLINK("http://service.sap.com/sap/support/notes/1426276","1426276")</f>
        <v>1426276</v>
      </c>
      <c r="F1786" t="s">
        <v>2015</v>
      </c>
    </row>
    <row r="1787" spans="1:6">
      <c r="A1787" t="s">
        <v>1918</v>
      </c>
      <c r="B1787" t="s">
        <v>192</v>
      </c>
      <c r="C1787" t="s">
        <v>60</v>
      </c>
      <c r="D1787" t="str">
        <f>HYPERLINK("http://service.sap.com/sap/support/notes/1427591","1427591")</f>
        <v>1427591</v>
      </c>
      <c r="F1787" t="s">
        <v>2016</v>
      </c>
    </row>
    <row r="1788" spans="1:6">
      <c r="A1788" t="s">
        <v>1918</v>
      </c>
      <c r="B1788" t="s">
        <v>192</v>
      </c>
      <c r="C1788" t="s">
        <v>60</v>
      </c>
      <c r="D1788" t="str">
        <f>HYPERLINK("http://service.sap.com/sap/support/notes/1427878","1427878")</f>
        <v>1427878</v>
      </c>
      <c r="F1788" t="s">
        <v>2017</v>
      </c>
    </row>
    <row r="1789" spans="1:6">
      <c r="A1789" t="s">
        <v>1918</v>
      </c>
      <c r="B1789" t="s">
        <v>192</v>
      </c>
      <c r="C1789" t="s">
        <v>60</v>
      </c>
      <c r="D1789" t="str">
        <f>HYPERLINK("http://service.sap.com/sap/support/notes/1429299","1429299")</f>
        <v>1429299</v>
      </c>
      <c r="F1789" t="s">
        <v>2018</v>
      </c>
    </row>
    <row r="1790" spans="1:6">
      <c r="A1790" t="s">
        <v>1918</v>
      </c>
      <c r="B1790" t="s">
        <v>197</v>
      </c>
      <c r="C1790" t="s">
        <v>63</v>
      </c>
      <c r="D1790" t="str">
        <f>HYPERLINK("http://service.sap.com/sap/support/notes/1242038","1242038")</f>
        <v>1242038</v>
      </c>
      <c r="F1790" t="s">
        <v>2019</v>
      </c>
    </row>
    <row r="1791" spans="1:6">
      <c r="A1791" t="s">
        <v>1918</v>
      </c>
      <c r="B1791" t="s">
        <v>197</v>
      </c>
      <c r="C1791" t="s">
        <v>63</v>
      </c>
      <c r="D1791" t="str">
        <f>HYPERLINK("http://service.sap.com/sap/support/notes/1423067","1423067")</f>
        <v>1423067</v>
      </c>
      <c r="F1791" t="s">
        <v>2020</v>
      </c>
    </row>
    <row r="1792" spans="1:6">
      <c r="A1792" t="s">
        <v>1918</v>
      </c>
      <c r="B1792" t="s">
        <v>197</v>
      </c>
      <c r="C1792" t="s">
        <v>63</v>
      </c>
      <c r="D1792" t="str">
        <f>HYPERLINK("http://service.sap.com/sap/support/notes/1424341","1424341")</f>
        <v>1424341</v>
      </c>
      <c r="F1792" t="s">
        <v>2021</v>
      </c>
    </row>
    <row r="1793" spans="1:6">
      <c r="A1793" t="s">
        <v>1918</v>
      </c>
      <c r="B1793" t="s">
        <v>204</v>
      </c>
      <c r="C1793" t="s">
        <v>205</v>
      </c>
      <c r="D1793" t="str">
        <f>HYPERLINK("http://service.sap.com/sap/support/notes/1423061","1423061")</f>
        <v>1423061</v>
      </c>
      <c r="F1793" t="s">
        <v>2022</v>
      </c>
    </row>
    <row r="1794" spans="1:6">
      <c r="A1794" t="s">
        <v>1918</v>
      </c>
      <c r="B1794" t="s">
        <v>204</v>
      </c>
      <c r="C1794" t="s">
        <v>205</v>
      </c>
      <c r="D1794" t="str">
        <f>HYPERLINK("http://service.sap.com/sap/support/notes/1423284","1423284")</f>
        <v>1423284</v>
      </c>
      <c r="F1794" t="s">
        <v>2023</v>
      </c>
    </row>
    <row r="1795" spans="1:6">
      <c r="A1795" t="s">
        <v>1918</v>
      </c>
      <c r="B1795" t="s">
        <v>207</v>
      </c>
      <c r="C1795" t="s">
        <v>208</v>
      </c>
      <c r="D1795" t="str">
        <f>HYPERLINK("http://service.sap.com/sap/support/notes/1332034","1332034")</f>
        <v>1332034</v>
      </c>
      <c r="F1795" t="s">
        <v>2024</v>
      </c>
    </row>
    <row r="1796" spans="1:6">
      <c r="A1796" t="s">
        <v>1918</v>
      </c>
      <c r="B1796" t="s">
        <v>207</v>
      </c>
      <c r="C1796" t="s">
        <v>208</v>
      </c>
      <c r="D1796" t="str">
        <f>HYPERLINK("http://service.sap.com/sap/support/notes/1422320","1422320")</f>
        <v>1422320</v>
      </c>
      <c r="F1796" t="s">
        <v>2025</v>
      </c>
    </row>
    <row r="1797" spans="1:6">
      <c r="A1797" t="s">
        <v>1918</v>
      </c>
      <c r="B1797" t="s">
        <v>207</v>
      </c>
      <c r="C1797" t="s">
        <v>208</v>
      </c>
      <c r="D1797" t="str">
        <f>HYPERLINK("http://service.sap.com/sap/support/notes/1424219","1424219")</f>
        <v>1424219</v>
      </c>
      <c r="F1797" t="s">
        <v>2026</v>
      </c>
    </row>
    <row r="1798" spans="1:6">
      <c r="A1798" t="s">
        <v>1918</v>
      </c>
      <c r="B1798" t="s">
        <v>207</v>
      </c>
      <c r="C1798" t="s">
        <v>208</v>
      </c>
      <c r="D1798" t="str">
        <f>HYPERLINK("http://service.sap.com/sap/support/notes/1425419","1425419")</f>
        <v>1425419</v>
      </c>
      <c r="F1798" t="s">
        <v>2027</v>
      </c>
    </row>
    <row r="1799" spans="1:6">
      <c r="A1799" t="s">
        <v>1918</v>
      </c>
      <c r="B1799" t="s">
        <v>207</v>
      </c>
      <c r="C1799" t="s">
        <v>208</v>
      </c>
      <c r="D1799" t="str">
        <f>HYPERLINK("http://service.sap.com/sap/support/notes/1428955","1428955")</f>
        <v>1428955</v>
      </c>
      <c r="F1799" t="s">
        <v>2028</v>
      </c>
    </row>
    <row r="1800" spans="1:6">
      <c r="A1800" t="s">
        <v>1918</v>
      </c>
      <c r="B1800" t="s">
        <v>211</v>
      </c>
      <c r="C1800" t="s">
        <v>212</v>
      </c>
      <c r="D1800" t="str">
        <f>HYPERLINK("http://service.sap.com/sap/support/notes/1399654","1399654")</f>
        <v>1399654</v>
      </c>
      <c r="F1800" t="s">
        <v>2029</v>
      </c>
    </row>
    <row r="1801" spans="1:6">
      <c r="A1801" t="s">
        <v>1918</v>
      </c>
      <c r="B1801" t="s">
        <v>211</v>
      </c>
      <c r="C1801" t="s">
        <v>212</v>
      </c>
      <c r="D1801" t="str">
        <f>HYPERLINK("http://service.sap.com/sap/support/notes/1424259","1424259")</f>
        <v>1424259</v>
      </c>
      <c r="F1801" t="s">
        <v>2030</v>
      </c>
    </row>
    <row r="1802" spans="1:6">
      <c r="A1802" t="s">
        <v>1918</v>
      </c>
      <c r="B1802" t="s">
        <v>211</v>
      </c>
      <c r="C1802" t="s">
        <v>212</v>
      </c>
      <c r="D1802" t="str">
        <f>HYPERLINK("http://service.sap.com/sap/support/notes/1424466","1424466")</f>
        <v>1424466</v>
      </c>
      <c r="F1802" t="s">
        <v>2031</v>
      </c>
    </row>
    <row r="1803" spans="1:6">
      <c r="A1803" t="s">
        <v>1918</v>
      </c>
      <c r="B1803" t="s">
        <v>211</v>
      </c>
      <c r="C1803" t="s">
        <v>212</v>
      </c>
      <c r="D1803" t="str">
        <f>HYPERLINK("http://service.sap.com/sap/support/notes/1424802","1424802")</f>
        <v>1424802</v>
      </c>
      <c r="F1803" t="s">
        <v>2032</v>
      </c>
    </row>
    <row r="1804" spans="1:6">
      <c r="A1804" t="s">
        <v>1918</v>
      </c>
      <c r="B1804" t="s">
        <v>211</v>
      </c>
      <c r="C1804" t="s">
        <v>212</v>
      </c>
      <c r="D1804" t="str">
        <f>HYPERLINK("http://service.sap.com/sap/support/notes/1425295","1425295")</f>
        <v>1425295</v>
      </c>
      <c r="F1804" t="s">
        <v>2033</v>
      </c>
    </row>
    <row r="1805" spans="1:6">
      <c r="A1805" t="s">
        <v>1918</v>
      </c>
      <c r="B1805" t="s">
        <v>211</v>
      </c>
      <c r="C1805" t="s">
        <v>212</v>
      </c>
      <c r="D1805" t="str">
        <f>HYPERLINK("http://service.sap.com/sap/support/notes/1425797","1425797")</f>
        <v>1425797</v>
      </c>
      <c r="F1805" t="s">
        <v>2034</v>
      </c>
    </row>
    <row r="1806" spans="1:6">
      <c r="A1806" t="s">
        <v>1918</v>
      </c>
      <c r="B1806" t="s">
        <v>211</v>
      </c>
      <c r="C1806" t="s">
        <v>212</v>
      </c>
      <c r="D1806" t="str">
        <f>HYPERLINK("http://service.sap.com/sap/support/notes/1427430","1427430")</f>
        <v>1427430</v>
      </c>
      <c r="F1806" t="s">
        <v>2035</v>
      </c>
    </row>
    <row r="1807" spans="1:6">
      <c r="A1807" t="s">
        <v>1918</v>
      </c>
      <c r="B1807" t="s">
        <v>211</v>
      </c>
      <c r="C1807" t="s">
        <v>212</v>
      </c>
      <c r="D1807" t="str">
        <f>HYPERLINK("http://service.sap.com/sap/support/notes/1429123","1429123")</f>
        <v>1429123</v>
      </c>
      <c r="F1807" t="s">
        <v>2036</v>
      </c>
    </row>
    <row r="1808" spans="1:6">
      <c r="A1808" t="s">
        <v>1918</v>
      </c>
      <c r="B1808" t="s">
        <v>225</v>
      </c>
      <c r="C1808" t="s">
        <v>66</v>
      </c>
      <c r="D1808" t="str">
        <f>HYPERLINK("http://service.sap.com/sap/support/notes/1427791","1427791")</f>
        <v>1427791</v>
      </c>
      <c r="F1808" t="s">
        <v>2037</v>
      </c>
    </row>
    <row r="1809" spans="1:6">
      <c r="A1809" t="s">
        <v>1918</v>
      </c>
      <c r="B1809" t="s">
        <v>228</v>
      </c>
      <c r="C1809" t="s">
        <v>69</v>
      </c>
      <c r="D1809" t="str">
        <f>HYPERLINK("http://service.sap.com/sap/support/notes/1424868","1424868")</f>
        <v>1424868</v>
      </c>
      <c r="F1809" t="s">
        <v>2038</v>
      </c>
    </row>
    <row r="1810" spans="1:6">
      <c r="A1810" t="s">
        <v>1918</v>
      </c>
      <c r="B1810" t="s">
        <v>228</v>
      </c>
      <c r="C1810" t="s">
        <v>69</v>
      </c>
      <c r="D1810" t="str">
        <f>HYPERLINK("http://service.sap.com/sap/support/notes/1425775","1425775")</f>
        <v>1425775</v>
      </c>
      <c r="F1810" t="s">
        <v>2039</v>
      </c>
    </row>
    <row r="1811" spans="1:6">
      <c r="A1811" t="s">
        <v>1918</v>
      </c>
      <c r="B1811" t="s">
        <v>1024</v>
      </c>
      <c r="C1811" t="s">
        <v>1458</v>
      </c>
      <c r="D1811" t="str">
        <f>HYPERLINK("http://service.sap.com/sap/support/notes/1423395","1423395")</f>
        <v>1423395</v>
      </c>
      <c r="F1811" t="s">
        <v>2040</v>
      </c>
    </row>
    <row r="1812" spans="1:6">
      <c r="A1812" t="s">
        <v>1918</v>
      </c>
      <c r="B1812" t="s">
        <v>1024</v>
      </c>
      <c r="C1812" t="s">
        <v>1458</v>
      </c>
      <c r="D1812" t="str">
        <f>HYPERLINK("http://service.sap.com/sap/support/notes/1426592","1426592")</f>
        <v>1426592</v>
      </c>
      <c r="F1812" t="s">
        <v>2041</v>
      </c>
    </row>
    <row r="1813" spans="1:6">
      <c r="A1813" t="s">
        <v>1918</v>
      </c>
      <c r="B1813" t="s">
        <v>1024</v>
      </c>
      <c r="C1813" t="s">
        <v>1458</v>
      </c>
      <c r="D1813" t="str">
        <f>HYPERLINK("http://service.sap.com/sap/support/notes/1428401","1428401")</f>
        <v>1428401</v>
      </c>
      <c r="F1813" t="s">
        <v>2042</v>
      </c>
    </row>
    <row r="1814" spans="1:6">
      <c r="A1814" t="s">
        <v>1918</v>
      </c>
      <c r="B1814" t="s">
        <v>233</v>
      </c>
      <c r="C1814" t="s">
        <v>234</v>
      </c>
    </row>
    <row r="1815" spans="1:6">
      <c r="A1815" t="s">
        <v>1918</v>
      </c>
      <c r="B1815" t="s">
        <v>1460</v>
      </c>
      <c r="C1815" t="s">
        <v>1461</v>
      </c>
      <c r="D1815" t="str">
        <f>HYPERLINK("http://service.sap.com/sap/support/notes/1423417","1423417")</f>
        <v>1423417</v>
      </c>
      <c r="F1815" t="s">
        <v>2043</v>
      </c>
    </row>
    <row r="1816" spans="1:6">
      <c r="A1816" t="s">
        <v>1918</v>
      </c>
      <c r="B1816" t="s">
        <v>1460</v>
      </c>
      <c r="C1816" t="s">
        <v>1461</v>
      </c>
      <c r="D1816" t="str">
        <f>HYPERLINK("http://service.sap.com/sap/support/notes/1427045","1427045")</f>
        <v>1427045</v>
      </c>
      <c r="F1816" t="s">
        <v>2044</v>
      </c>
    </row>
    <row r="1817" spans="1:6">
      <c r="A1817" t="s">
        <v>1918</v>
      </c>
      <c r="B1817" t="s">
        <v>1044</v>
      </c>
      <c r="C1817" t="s">
        <v>1645</v>
      </c>
      <c r="D1817" t="str">
        <f>HYPERLINK("http://service.sap.com/sap/support/notes/1419237","1419237")</f>
        <v>1419237</v>
      </c>
      <c r="F1817" t="s">
        <v>2045</v>
      </c>
    </row>
    <row r="1818" spans="1:6">
      <c r="A1818" t="s">
        <v>1918</v>
      </c>
      <c r="B1818" t="s">
        <v>238</v>
      </c>
      <c r="C1818" t="s">
        <v>239</v>
      </c>
    </row>
    <row r="1819" spans="1:6">
      <c r="A1819" t="s">
        <v>1918</v>
      </c>
      <c r="B1819" t="s">
        <v>2046</v>
      </c>
      <c r="C1819" t="s">
        <v>2047</v>
      </c>
      <c r="D1819" t="str">
        <f>HYPERLINK("http://service.sap.com/sap/support/notes/1423569","1423569")</f>
        <v>1423569</v>
      </c>
      <c r="F1819" t="s">
        <v>2048</v>
      </c>
    </row>
    <row r="1820" spans="1:6">
      <c r="A1820" t="s">
        <v>1918</v>
      </c>
      <c r="B1820" t="s">
        <v>2046</v>
      </c>
      <c r="C1820" t="s">
        <v>2047</v>
      </c>
      <c r="D1820" t="str">
        <f>HYPERLINK("http://service.sap.com/sap/support/notes/1428565","1428565")</f>
        <v>1428565</v>
      </c>
      <c r="F1820" t="s">
        <v>2049</v>
      </c>
    </row>
    <row r="1821" spans="1:6">
      <c r="A1821" t="s">
        <v>1918</v>
      </c>
      <c r="B1821" t="s">
        <v>240</v>
      </c>
      <c r="C1821" t="s">
        <v>241</v>
      </c>
      <c r="D1821" t="str">
        <f>HYPERLINK("http://service.sap.com/sap/support/notes/1382522","1382522")</f>
        <v>1382522</v>
      </c>
      <c r="F1821" t="s">
        <v>2050</v>
      </c>
    </row>
    <row r="1822" spans="1:6">
      <c r="A1822" t="s">
        <v>1918</v>
      </c>
      <c r="B1822" t="s">
        <v>240</v>
      </c>
      <c r="C1822" t="s">
        <v>241</v>
      </c>
      <c r="D1822" t="str">
        <f>HYPERLINK("http://service.sap.com/sap/support/notes/1411162","1411162")</f>
        <v>1411162</v>
      </c>
      <c r="F1822" t="s">
        <v>2051</v>
      </c>
    </row>
    <row r="1823" spans="1:6">
      <c r="A1823" t="s">
        <v>1918</v>
      </c>
      <c r="B1823" t="s">
        <v>244</v>
      </c>
      <c r="C1823" t="s">
        <v>245</v>
      </c>
      <c r="D1823" t="str">
        <f>HYPERLINK("http://service.sap.com/sap/support/notes/1424441","1424441")</f>
        <v>1424441</v>
      </c>
      <c r="F1823" t="s">
        <v>2052</v>
      </c>
    </row>
    <row r="1824" spans="1:6">
      <c r="A1824" t="s">
        <v>1918</v>
      </c>
      <c r="B1824" t="s">
        <v>244</v>
      </c>
      <c r="C1824" t="s">
        <v>245</v>
      </c>
      <c r="D1824" t="str">
        <f>HYPERLINK("http://service.sap.com/sap/support/notes/1424647","1424647")</f>
        <v>1424647</v>
      </c>
      <c r="F1824" t="s">
        <v>2053</v>
      </c>
    </row>
    <row r="1825" spans="1:6">
      <c r="A1825" t="s">
        <v>1918</v>
      </c>
      <c r="B1825" t="s">
        <v>244</v>
      </c>
      <c r="C1825" t="s">
        <v>245</v>
      </c>
      <c r="D1825" t="str">
        <f>HYPERLINK("http://service.sap.com/sap/support/notes/1424823","1424823")</f>
        <v>1424823</v>
      </c>
      <c r="F1825" t="s">
        <v>2054</v>
      </c>
    </row>
    <row r="1826" spans="1:6">
      <c r="A1826" t="s">
        <v>1918</v>
      </c>
      <c r="B1826" t="s">
        <v>244</v>
      </c>
      <c r="C1826" t="s">
        <v>245</v>
      </c>
      <c r="D1826" t="str">
        <f>HYPERLINK("http://service.sap.com/sap/support/notes/1426493","1426493")</f>
        <v>1426493</v>
      </c>
      <c r="F1826" t="s">
        <v>2055</v>
      </c>
    </row>
    <row r="1827" spans="1:6">
      <c r="A1827" t="s">
        <v>1918</v>
      </c>
      <c r="B1827" t="s">
        <v>244</v>
      </c>
      <c r="C1827" t="s">
        <v>245</v>
      </c>
      <c r="D1827" t="str">
        <f>HYPERLINK("http://service.sap.com/sap/support/notes/1428588","1428588")</f>
        <v>1428588</v>
      </c>
      <c r="F1827" t="s">
        <v>2056</v>
      </c>
    </row>
    <row r="1828" spans="1:6">
      <c r="A1828" t="s">
        <v>1918</v>
      </c>
      <c r="B1828" t="s">
        <v>249</v>
      </c>
      <c r="C1828" t="s">
        <v>250</v>
      </c>
      <c r="D1828" t="str">
        <f>HYPERLINK("http://service.sap.com/sap/support/notes/1408263","1408263")</f>
        <v>1408263</v>
      </c>
      <c r="F1828" t="s">
        <v>2057</v>
      </c>
    </row>
    <row r="1829" spans="1:6">
      <c r="A1829" t="s">
        <v>1918</v>
      </c>
      <c r="B1829" t="s">
        <v>254</v>
      </c>
      <c r="C1829" t="s">
        <v>255</v>
      </c>
      <c r="D1829" t="str">
        <f>HYPERLINK("http://service.sap.com/sap/support/notes/1423229","1423229")</f>
        <v>1423229</v>
      </c>
      <c r="F1829" t="s">
        <v>2058</v>
      </c>
    </row>
    <row r="1830" spans="1:6">
      <c r="A1830" t="s">
        <v>1918</v>
      </c>
      <c r="B1830" t="s">
        <v>254</v>
      </c>
      <c r="C1830" t="s">
        <v>255</v>
      </c>
      <c r="D1830" t="str">
        <f>HYPERLINK("http://service.sap.com/sap/support/notes/1425144","1425144")</f>
        <v>1425144</v>
      </c>
      <c r="F1830" t="s">
        <v>2059</v>
      </c>
    </row>
    <row r="1831" spans="1:6">
      <c r="A1831" t="s">
        <v>1918</v>
      </c>
      <c r="B1831" t="s">
        <v>254</v>
      </c>
      <c r="C1831" t="s">
        <v>255</v>
      </c>
      <c r="D1831" t="str">
        <f>HYPERLINK("http://service.sap.com/sap/support/notes/1425199","1425199")</f>
        <v>1425199</v>
      </c>
      <c r="F1831" t="s">
        <v>2060</v>
      </c>
    </row>
    <row r="1832" spans="1:6">
      <c r="A1832" t="s">
        <v>1918</v>
      </c>
      <c r="B1832" t="s">
        <v>254</v>
      </c>
      <c r="C1832" t="s">
        <v>255</v>
      </c>
      <c r="D1832" t="str">
        <f>HYPERLINK("http://service.sap.com/sap/support/notes/1425640","1425640")</f>
        <v>1425640</v>
      </c>
      <c r="F1832" t="s">
        <v>2061</v>
      </c>
    </row>
    <row r="1833" spans="1:6">
      <c r="A1833" t="s">
        <v>1918</v>
      </c>
      <c r="B1833" t="s">
        <v>254</v>
      </c>
      <c r="C1833" t="s">
        <v>255</v>
      </c>
      <c r="D1833" t="str">
        <f>HYPERLINK("http://service.sap.com/sap/support/notes/1426306","1426306")</f>
        <v>1426306</v>
      </c>
      <c r="F1833" t="s">
        <v>2062</v>
      </c>
    </row>
    <row r="1834" spans="1:6">
      <c r="A1834" t="s">
        <v>1918</v>
      </c>
      <c r="B1834" t="s">
        <v>254</v>
      </c>
      <c r="C1834" t="s">
        <v>255</v>
      </c>
      <c r="D1834" t="str">
        <f>HYPERLINK("http://service.sap.com/sap/support/notes/1428969","1428969")</f>
        <v>1428969</v>
      </c>
      <c r="F1834" t="s">
        <v>2063</v>
      </c>
    </row>
    <row r="1835" spans="1:6">
      <c r="A1835" t="s">
        <v>1918</v>
      </c>
      <c r="B1835" t="s">
        <v>254</v>
      </c>
      <c r="C1835" t="s">
        <v>255</v>
      </c>
      <c r="D1835" t="str">
        <f>HYPERLINK("http://service.sap.com/sap/support/notes/1429412","1429412")</f>
        <v>1429412</v>
      </c>
      <c r="F1835" t="s">
        <v>2064</v>
      </c>
    </row>
    <row r="1836" spans="1:6">
      <c r="A1836" t="s">
        <v>1918</v>
      </c>
      <c r="B1836" t="s">
        <v>258</v>
      </c>
      <c r="C1836" t="s">
        <v>189</v>
      </c>
      <c r="D1836" t="str">
        <f>HYPERLINK("http://service.sap.com/sap/support/notes/1413334","1413334")</f>
        <v>1413334</v>
      </c>
      <c r="F1836" t="s">
        <v>2065</v>
      </c>
    </row>
    <row r="1837" spans="1:6">
      <c r="A1837" t="s">
        <v>1918</v>
      </c>
      <c r="B1837" t="s">
        <v>258</v>
      </c>
      <c r="C1837" t="s">
        <v>189</v>
      </c>
      <c r="D1837" t="str">
        <f>HYPERLINK("http://service.sap.com/sap/support/notes/1422516","1422516")</f>
        <v>1422516</v>
      </c>
      <c r="F1837" t="s">
        <v>2066</v>
      </c>
    </row>
    <row r="1838" spans="1:6">
      <c r="A1838" t="s">
        <v>1918</v>
      </c>
      <c r="B1838" t="s">
        <v>258</v>
      </c>
      <c r="C1838" t="s">
        <v>189</v>
      </c>
      <c r="D1838" t="str">
        <f>HYPERLINK("http://service.sap.com/sap/support/notes/1423358","1423358")</f>
        <v>1423358</v>
      </c>
      <c r="F1838" t="s">
        <v>2067</v>
      </c>
    </row>
    <row r="1839" spans="1:6">
      <c r="A1839" t="s">
        <v>1918</v>
      </c>
      <c r="B1839" t="s">
        <v>258</v>
      </c>
      <c r="C1839" t="s">
        <v>189</v>
      </c>
      <c r="D1839" t="str">
        <f>HYPERLINK("http://service.sap.com/sap/support/notes/1426115","1426115")</f>
        <v>1426115</v>
      </c>
      <c r="F1839" t="s">
        <v>2068</v>
      </c>
    </row>
    <row r="1840" spans="1:6">
      <c r="A1840" t="s">
        <v>1918</v>
      </c>
      <c r="B1840" t="s">
        <v>258</v>
      </c>
      <c r="C1840" t="s">
        <v>189</v>
      </c>
      <c r="D1840" t="str">
        <f>HYPERLINK("http://service.sap.com/sap/support/notes/1426145","1426145")</f>
        <v>1426145</v>
      </c>
      <c r="F1840" t="s">
        <v>2069</v>
      </c>
    </row>
    <row r="1841" spans="1:6">
      <c r="A1841" t="s">
        <v>1918</v>
      </c>
      <c r="B1841" t="s">
        <v>258</v>
      </c>
      <c r="C1841" t="s">
        <v>189</v>
      </c>
      <c r="D1841" t="str">
        <f>HYPERLINK("http://service.sap.com/sap/support/notes/1426582","1426582")</f>
        <v>1426582</v>
      </c>
      <c r="F1841" t="s">
        <v>2070</v>
      </c>
    </row>
    <row r="1842" spans="1:6">
      <c r="A1842" t="s">
        <v>1918</v>
      </c>
      <c r="B1842" t="s">
        <v>258</v>
      </c>
      <c r="C1842" t="s">
        <v>189</v>
      </c>
      <c r="D1842" t="str">
        <f>HYPERLINK("http://service.sap.com/sap/support/notes/1427550","1427550")</f>
        <v>1427550</v>
      </c>
      <c r="F1842" t="s">
        <v>2071</v>
      </c>
    </row>
    <row r="1843" spans="1:6">
      <c r="A1843" t="s">
        <v>1918</v>
      </c>
      <c r="B1843" t="s">
        <v>258</v>
      </c>
      <c r="C1843" t="s">
        <v>189</v>
      </c>
      <c r="D1843" t="str">
        <f>HYPERLINK("http://service.sap.com/sap/support/notes/1428501","1428501")</f>
        <v>1428501</v>
      </c>
      <c r="F1843" t="s">
        <v>2072</v>
      </c>
    </row>
    <row r="1844" spans="1:6">
      <c r="A1844" t="s">
        <v>1918</v>
      </c>
      <c r="B1844" t="s">
        <v>258</v>
      </c>
      <c r="C1844" t="s">
        <v>189</v>
      </c>
      <c r="D1844" t="str">
        <f>HYPERLINK("http://service.sap.com/sap/support/notes/1429225","1429225")</f>
        <v>1429225</v>
      </c>
      <c r="F1844" t="s">
        <v>2073</v>
      </c>
    </row>
    <row r="1845" spans="1:6">
      <c r="A1845" t="s">
        <v>1918</v>
      </c>
      <c r="B1845" t="s">
        <v>273</v>
      </c>
      <c r="C1845" t="s">
        <v>274</v>
      </c>
      <c r="D1845" t="str">
        <f>HYPERLINK("http://service.sap.com/sap/support/notes/1427441","1427441")</f>
        <v>1427441</v>
      </c>
      <c r="F1845" t="s">
        <v>2074</v>
      </c>
    </row>
    <row r="1846" spans="1:6">
      <c r="A1846" t="s">
        <v>1918</v>
      </c>
      <c r="B1846" t="s">
        <v>273</v>
      </c>
      <c r="C1846" t="s">
        <v>274</v>
      </c>
      <c r="D1846" t="str">
        <f>HYPERLINK("http://service.sap.com/sap/support/notes/1429514","1429514")</f>
        <v>1429514</v>
      </c>
      <c r="F1846" t="s">
        <v>2075</v>
      </c>
    </row>
    <row r="1847" spans="1:6">
      <c r="A1847" t="s">
        <v>1918</v>
      </c>
      <c r="B1847" t="s">
        <v>279</v>
      </c>
      <c r="C1847" t="s">
        <v>280</v>
      </c>
      <c r="D1847" t="str">
        <f>HYPERLINK("http://service.sap.com/sap/support/notes/1412817","1412817")</f>
        <v>1412817</v>
      </c>
      <c r="F1847" t="s">
        <v>2076</v>
      </c>
    </row>
    <row r="1848" spans="1:6">
      <c r="A1848" t="s">
        <v>1918</v>
      </c>
      <c r="B1848" t="s">
        <v>279</v>
      </c>
      <c r="C1848" t="s">
        <v>280</v>
      </c>
      <c r="D1848" t="str">
        <f>HYPERLINK("http://service.sap.com/sap/support/notes/1424333","1424333")</f>
        <v>1424333</v>
      </c>
      <c r="F1848" t="s">
        <v>2077</v>
      </c>
    </row>
    <row r="1849" spans="1:6">
      <c r="A1849" t="s">
        <v>1918</v>
      </c>
      <c r="B1849" t="s">
        <v>279</v>
      </c>
      <c r="C1849" t="s">
        <v>280</v>
      </c>
      <c r="D1849" t="str">
        <f>HYPERLINK("http://service.sap.com/sap/support/notes/1426886","1426886")</f>
        <v>1426886</v>
      </c>
      <c r="F1849" t="s">
        <v>2078</v>
      </c>
    </row>
    <row r="1850" spans="1:6">
      <c r="A1850" t="s">
        <v>1918</v>
      </c>
      <c r="B1850" t="s">
        <v>279</v>
      </c>
      <c r="C1850" t="s">
        <v>280</v>
      </c>
      <c r="D1850" t="str">
        <f>HYPERLINK("http://service.sap.com/sap/support/notes/1427085","1427085")</f>
        <v>1427085</v>
      </c>
      <c r="F1850" t="s">
        <v>2079</v>
      </c>
    </row>
    <row r="1851" spans="1:6">
      <c r="A1851" t="s">
        <v>1918</v>
      </c>
      <c r="B1851" t="s">
        <v>279</v>
      </c>
      <c r="C1851" t="s">
        <v>280</v>
      </c>
      <c r="D1851" t="str">
        <f>HYPERLINK("http://service.sap.com/sap/support/notes/1429088","1429088")</f>
        <v>1429088</v>
      </c>
      <c r="F1851" t="s">
        <v>2080</v>
      </c>
    </row>
    <row r="1852" spans="1:6">
      <c r="A1852" t="s">
        <v>1918</v>
      </c>
      <c r="B1852" t="s">
        <v>292</v>
      </c>
      <c r="C1852" t="s">
        <v>293</v>
      </c>
      <c r="D1852" t="str">
        <f>HYPERLINK("http://service.sap.com/sap/support/notes/1427047","1427047")</f>
        <v>1427047</v>
      </c>
      <c r="F1852" t="s">
        <v>2081</v>
      </c>
    </row>
    <row r="1853" spans="1:6">
      <c r="A1853" t="s">
        <v>1918</v>
      </c>
      <c r="B1853" t="s">
        <v>295</v>
      </c>
      <c r="C1853" t="s">
        <v>208</v>
      </c>
    </row>
    <row r="1854" spans="1:6">
      <c r="A1854" t="s">
        <v>1918</v>
      </c>
      <c r="B1854" t="s">
        <v>299</v>
      </c>
      <c r="C1854" t="s">
        <v>300</v>
      </c>
      <c r="D1854" t="str">
        <f>HYPERLINK("http://service.sap.com/sap/support/notes/1412343","1412343")</f>
        <v>1412343</v>
      </c>
      <c r="F1854" t="s">
        <v>2082</v>
      </c>
    </row>
    <row r="1855" spans="1:6">
      <c r="A1855" t="s">
        <v>1918</v>
      </c>
      <c r="B1855" t="s">
        <v>299</v>
      </c>
      <c r="C1855" t="s">
        <v>300</v>
      </c>
      <c r="D1855" t="str">
        <f>HYPERLINK("http://service.sap.com/sap/support/notes/1419403","1419403")</f>
        <v>1419403</v>
      </c>
      <c r="F1855" t="s">
        <v>2083</v>
      </c>
    </row>
    <row r="1856" spans="1:6">
      <c r="A1856" t="s">
        <v>1918</v>
      </c>
      <c r="B1856" t="s">
        <v>299</v>
      </c>
      <c r="C1856" t="s">
        <v>300</v>
      </c>
      <c r="D1856" t="str">
        <f>HYPERLINK("http://service.sap.com/sap/support/notes/1426097","1426097")</f>
        <v>1426097</v>
      </c>
      <c r="F1856" t="s">
        <v>2084</v>
      </c>
    </row>
    <row r="1857" spans="1:6">
      <c r="A1857" t="s">
        <v>1918</v>
      </c>
      <c r="B1857" t="s">
        <v>299</v>
      </c>
      <c r="C1857" t="s">
        <v>300</v>
      </c>
      <c r="D1857" t="str">
        <f>HYPERLINK("http://service.sap.com/sap/support/notes/1426966","1426966")</f>
        <v>1426966</v>
      </c>
      <c r="F1857" t="s">
        <v>2085</v>
      </c>
    </row>
    <row r="1858" spans="1:6">
      <c r="A1858" t="s">
        <v>1918</v>
      </c>
      <c r="B1858" t="s">
        <v>305</v>
      </c>
      <c r="C1858" t="s">
        <v>306</v>
      </c>
      <c r="D1858" t="str">
        <f>HYPERLINK("http://service.sap.com/sap/support/notes/1017716","1017716")</f>
        <v>1017716</v>
      </c>
      <c r="F1858" t="s">
        <v>307</v>
      </c>
    </row>
    <row r="1859" spans="1:6">
      <c r="A1859" t="s">
        <v>1918</v>
      </c>
      <c r="B1859" t="s">
        <v>305</v>
      </c>
      <c r="C1859" t="s">
        <v>306</v>
      </c>
      <c r="D1859" t="str">
        <f>HYPERLINK("http://service.sap.com/sap/support/notes/1369006","1369006")</f>
        <v>1369006</v>
      </c>
      <c r="F1859" t="s">
        <v>312</v>
      </c>
    </row>
    <row r="1860" spans="1:6">
      <c r="A1860" t="s">
        <v>1918</v>
      </c>
      <c r="B1860" t="s">
        <v>305</v>
      </c>
      <c r="C1860" t="s">
        <v>306</v>
      </c>
      <c r="D1860" t="str">
        <f>HYPERLINK("http://service.sap.com/sap/support/notes/1400575","1400575")</f>
        <v>1400575</v>
      </c>
      <c r="F1860" t="s">
        <v>2086</v>
      </c>
    </row>
    <row r="1861" spans="1:6">
      <c r="A1861" t="s">
        <v>1918</v>
      </c>
      <c r="B1861" t="s">
        <v>305</v>
      </c>
      <c r="C1861" t="s">
        <v>306</v>
      </c>
      <c r="D1861" t="str">
        <f>HYPERLINK("http://service.sap.com/sap/support/notes/1401573","1401573")</f>
        <v>1401573</v>
      </c>
      <c r="F1861" t="s">
        <v>2087</v>
      </c>
    </row>
    <row r="1862" spans="1:6">
      <c r="A1862" t="s">
        <v>1918</v>
      </c>
      <c r="B1862" t="s">
        <v>305</v>
      </c>
      <c r="C1862" t="s">
        <v>306</v>
      </c>
      <c r="D1862" t="str">
        <f>HYPERLINK("http://service.sap.com/sap/support/notes/1402096","1402096")</f>
        <v>1402096</v>
      </c>
      <c r="F1862" t="s">
        <v>2088</v>
      </c>
    </row>
    <row r="1863" spans="1:6">
      <c r="A1863" t="s">
        <v>1918</v>
      </c>
      <c r="B1863" t="s">
        <v>305</v>
      </c>
      <c r="C1863" t="s">
        <v>306</v>
      </c>
      <c r="D1863" t="str">
        <f>HYPERLINK("http://service.sap.com/sap/support/notes/1403637","1403637")</f>
        <v>1403637</v>
      </c>
      <c r="F1863" t="s">
        <v>2089</v>
      </c>
    </row>
    <row r="1864" spans="1:6">
      <c r="A1864" t="s">
        <v>1918</v>
      </c>
      <c r="B1864" t="s">
        <v>305</v>
      </c>
      <c r="C1864" t="s">
        <v>306</v>
      </c>
      <c r="D1864" t="str">
        <f>HYPERLINK("http://service.sap.com/sap/support/notes/1404726","1404726")</f>
        <v>1404726</v>
      </c>
      <c r="F1864" t="s">
        <v>2090</v>
      </c>
    </row>
    <row r="1865" spans="1:6">
      <c r="A1865" t="s">
        <v>1918</v>
      </c>
      <c r="B1865" t="s">
        <v>305</v>
      </c>
      <c r="C1865" t="s">
        <v>306</v>
      </c>
      <c r="D1865" t="str">
        <f>HYPERLINK("http://service.sap.com/sap/support/notes/1407798","1407798")</f>
        <v>1407798</v>
      </c>
      <c r="F1865" t="s">
        <v>2091</v>
      </c>
    </row>
    <row r="1866" spans="1:6">
      <c r="A1866" t="s">
        <v>1918</v>
      </c>
      <c r="B1866" t="s">
        <v>305</v>
      </c>
      <c r="C1866" t="s">
        <v>306</v>
      </c>
      <c r="D1866" t="str">
        <f>HYPERLINK("http://service.sap.com/sap/support/notes/1408854","1408854")</f>
        <v>1408854</v>
      </c>
      <c r="F1866" t="s">
        <v>2092</v>
      </c>
    </row>
    <row r="1867" spans="1:6">
      <c r="A1867" t="s">
        <v>1918</v>
      </c>
      <c r="B1867" t="s">
        <v>305</v>
      </c>
      <c r="C1867" t="s">
        <v>306</v>
      </c>
      <c r="D1867" t="str">
        <f>HYPERLINK("http://service.sap.com/sap/support/notes/1410277","1410277")</f>
        <v>1410277</v>
      </c>
      <c r="F1867" t="s">
        <v>2093</v>
      </c>
    </row>
    <row r="1868" spans="1:6">
      <c r="A1868" t="s">
        <v>1918</v>
      </c>
      <c r="B1868" t="s">
        <v>305</v>
      </c>
      <c r="C1868" t="s">
        <v>306</v>
      </c>
      <c r="D1868" t="str">
        <f>HYPERLINK("http://service.sap.com/sap/support/notes/1411047","1411047")</f>
        <v>1411047</v>
      </c>
      <c r="F1868" t="s">
        <v>2094</v>
      </c>
    </row>
    <row r="1869" spans="1:6">
      <c r="A1869" t="s">
        <v>1918</v>
      </c>
      <c r="B1869" t="s">
        <v>305</v>
      </c>
      <c r="C1869" t="s">
        <v>306</v>
      </c>
      <c r="D1869" t="str">
        <f>HYPERLINK("http://service.sap.com/sap/support/notes/1412215","1412215")</f>
        <v>1412215</v>
      </c>
      <c r="F1869" t="s">
        <v>2095</v>
      </c>
    </row>
    <row r="1870" spans="1:6">
      <c r="A1870" t="s">
        <v>1918</v>
      </c>
      <c r="B1870" t="s">
        <v>305</v>
      </c>
      <c r="C1870" t="s">
        <v>306</v>
      </c>
      <c r="D1870" t="str">
        <f>HYPERLINK("http://service.sap.com/sap/support/notes/1412940","1412940")</f>
        <v>1412940</v>
      </c>
      <c r="F1870" t="s">
        <v>2096</v>
      </c>
    </row>
    <row r="1871" spans="1:6">
      <c r="A1871" t="s">
        <v>1918</v>
      </c>
      <c r="B1871" t="s">
        <v>305</v>
      </c>
      <c r="C1871" t="s">
        <v>306</v>
      </c>
      <c r="D1871" t="str">
        <f>HYPERLINK("http://service.sap.com/sap/support/notes/1413372","1413372")</f>
        <v>1413372</v>
      </c>
      <c r="F1871" t="s">
        <v>2097</v>
      </c>
    </row>
    <row r="1872" spans="1:6">
      <c r="A1872" t="s">
        <v>1918</v>
      </c>
      <c r="B1872" t="s">
        <v>305</v>
      </c>
      <c r="C1872" t="s">
        <v>306</v>
      </c>
      <c r="D1872" t="str">
        <f>HYPERLINK("http://service.sap.com/sap/support/notes/1413493","1413493")</f>
        <v>1413493</v>
      </c>
      <c r="F1872" t="s">
        <v>2098</v>
      </c>
    </row>
    <row r="1873" spans="1:6">
      <c r="A1873" t="s">
        <v>1918</v>
      </c>
      <c r="B1873" t="s">
        <v>305</v>
      </c>
      <c r="C1873" t="s">
        <v>306</v>
      </c>
      <c r="D1873" t="str">
        <f>HYPERLINK("http://service.sap.com/sap/support/notes/1414237","1414237")</f>
        <v>1414237</v>
      </c>
      <c r="F1873" t="s">
        <v>2099</v>
      </c>
    </row>
    <row r="1874" spans="1:6">
      <c r="A1874" t="s">
        <v>1918</v>
      </c>
      <c r="B1874" t="s">
        <v>305</v>
      </c>
      <c r="C1874" t="s">
        <v>306</v>
      </c>
      <c r="D1874" t="str">
        <f>HYPERLINK("http://service.sap.com/sap/support/notes/1415141","1415141")</f>
        <v>1415141</v>
      </c>
      <c r="F1874" t="s">
        <v>2100</v>
      </c>
    </row>
    <row r="1875" spans="1:6">
      <c r="A1875" t="s">
        <v>1918</v>
      </c>
      <c r="B1875" t="s">
        <v>305</v>
      </c>
      <c r="C1875" t="s">
        <v>306</v>
      </c>
      <c r="D1875" t="str">
        <f>HYPERLINK("http://service.sap.com/sap/support/notes/1417531","1417531")</f>
        <v>1417531</v>
      </c>
      <c r="F1875" t="s">
        <v>2101</v>
      </c>
    </row>
    <row r="1876" spans="1:6">
      <c r="A1876" t="s">
        <v>1918</v>
      </c>
      <c r="B1876" t="s">
        <v>305</v>
      </c>
      <c r="C1876" t="s">
        <v>306</v>
      </c>
      <c r="D1876" t="str">
        <f>HYPERLINK("http://service.sap.com/sap/support/notes/1417605","1417605")</f>
        <v>1417605</v>
      </c>
      <c r="F1876" t="s">
        <v>2102</v>
      </c>
    </row>
    <row r="1877" spans="1:6">
      <c r="A1877" t="s">
        <v>1918</v>
      </c>
      <c r="B1877" t="s">
        <v>305</v>
      </c>
      <c r="C1877" t="s">
        <v>306</v>
      </c>
      <c r="D1877" t="str">
        <f>HYPERLINK("http://service.sap.com/sap/support/notes/1418260","1418260")</f>
        <v>1418260</v>
      </c>
      <c r="F1877" t="s">
        <v>2103</v>
      </c>
    </row>
    <row r="1878" spans="1:6">
      <c r="A1878" t="s">
        <v>1918</v>
      </c>
      <c r="B1878" t="s">
        <v>305</v>
      </c>
      <c r="C1878" t="s">
        <v>306</v>
      </c>
      <c r="D1878" t="str">
        <f>HYPERLINK("http://service.sap.com/sap/support/notes/1418729","1418729")</f>
        <v>1418729</v>
      </c>
      <c r="F1878" t="s">
        <v>2104</v>
      </c>
    </row>
    <row r="1879" spans="1:6">
      <c r="A1879" t="s">
        <v>1918</v>
      </c>
      <c r="B1879" t="s">
        <v>305</v>
      </c>
      <c r="C1879" t="s">
        <v>306</v>
      </c>
      <c r="D1879" t="str">
        <f>HYPERLINK("http://service.sap.com/sap/support/notes/1420513","1420513")</f>
        <v>1420513</v>
      </c>
      <c r="F1879" t="s">
        <v>2105</v>
      </c>
    </row>
    <row r="1880" spans="1:6">
      <c r="A1880" t="s">
        <v>1918</v>
      </c>
      <c r="B1880" t="s">
        <v>305</v>
      </c>
      <c r="C1880" t="s">
        <v>306</v>
      </c>
      <c r="D1880" t="str">
        <f>HYPERLINK("http://service.sap.com/sap/support/notes/1420544","1420544")</f>
        <v>1420544</v>
      </c>
      <c r="F1880" t="s">
        <v>2106</v>
      </c>
    </row>
    <row r="1881" spans="1:6">
      <c r="A1881" t="s">
        <v>1918</v>
      </c>
      <c r="B1881" t="s">
        <v>305</v>
      </c>
      <c r="C1881" t="s">
        <v>306</v>
      </c>
      <c r="D1881" t="str">
        <f>HYPERLINK("http://service.sap.com/sap/support/notes/1420913","1420913")</f>
        <v>1420913</v>
      </c>
      <c r="F1881" t="s">
        <v>1715</v>
      </c>
    </row>
    <row r="1882" spans="1:6">
      <c r="A1882" t="s">
        <v>1918</v>
      </c>
      <c r="B1882" t="s">
        <v>305</v>
      </c>
      <c r="C1882" t="s">
        <v>306</v>
      </c>
      <c r="D1882" t="str">
        <f>HYPERLINK("http://service.sap.com/sap/support/notes/1421001","1421001")</f>
        <v>1421001</v>
      </c>
      <c r="F1882" t="s">
        <v>2107</v>
      </c>
    </row>
    <row r="1883" spans="1:6">
      <c r="A1883" t="s">
        <v>1918</v>
      </c>
      <c r="B1883" t="s">
        <v>305</v>
      </c>
      <c r="C1883" t="s">
        <v>306</v>
      </c>
      <c r="D1883" t="str">
        <f>HYPERLINK("http://service.sap.com/sap/support/notes/1421010","1421010")</f>
        <v>1421010</v>
      </c>
      <c r="F1883" t="s">
        <v>2108</v>
      </c>
    </row>
    <row r="1884" spans="1:6">
      <c r="A1884" t="s">
        <v>1918</v>
      </c>
      <c r="B1884" t="s">
        <v>305</v>
      </c>
      <c r="C1884" t="s">
        <v>306</v>
      </c>
      <c r="D1884" t="str">
        <f>HYPERLINK("http://service.sap.com/sap/support/notes/1421939","1421939")</f>
        <v>1421939</v>
      </c>
      <c r="F1884" t="s">
        <v>2109</v>
      </c>
    </row>
    <row r="1885" spans="1:6">
      <c r="A1885" t="s">
        <v>1918</v>
      </c>
      <c r="B1885" t="s">
        <v>305</v>
      </c>
      <c r="C1885" t="s">
        <v>306</v>
      </c>
      <c r="D1885" t="str">
        <f>HYPERLINK("http://service.sap.com/sap/support/notes/1422226","1422226")</f>
        <v>1422226</v>
      </c>
      <c r="F1885" t="s">
        <v>2110</v>
      </c>
    </row>
    <row r="1886" spans="1:6">
      <c r="A1886" t="s">
        <v>1918</v>
      </c>
      <c r="B1886" t="s">
        <v>305</v>
      </c>
      <c r="C1886" t="s">
        <v>306</v>
      </c>
      <c r="D1886" t="str">
        <f>HYPERLINK("http://service.sap.com/sap/support/notes/1423337","1423337")</f>
        <v>1423337</v>
      </c>
      <c r="F1886" t="s">
        <v>2111</v>
      </c>
    </row>
    <row r="1887" spans="1:6">
      <c r="A1887" t="s">
        <v>1918</v>
      </c>
      <c r="B1887" t="s">
        <v>305</v>
      </c>
      <c r="C1887" t="s">
        <v>306</v>
      </c>
      <c r="D1887" t="str">
        <f>HYPERLINK("http://service.sap.com/sap/support/notes/1423378","1423378")</f>
        <v>1423378</v>
      </c>
      <c r="F1887" t="s">
        <v>2112</v>
      </c>
    </row>
    <row r="1888" spans="1:6">
      <c r="A1888" t="s">
        <v>1918</v>
      </c>
      <c r="B1888" t="s">
        <v>305</v>
      </c>
      <c r="C1888" t="s">
        <v>306</v>
      </c>
      <c r="D1888" t="str">
        <f>HYPERLINK("http://service.sap.com/sap/support/notes/1423427","1423427")</f>
        <v>1423427</v>
      </c>
      <c r="F1888" t="s">
        <v>2113</v>
      </c>
    </row>
    <row r="1889" spans="1:6">
      <c r="A1889" t="s">
        <v>1918</v>
      </c>
      <c r="B1889" t="s">
        <v>305</v>
      </c>
      <c r="C1889" t="s">
        <v>306</v>
      </c>
      <c r="D1889" t="str">
        <f>HYPERLINK("http://service.sap.com/sap/support/notes/1423497","1423497")</f>
        <v>1423497</v>
      </c>
      <c r="F1889" t="s">
        <v>2114</v>
      </c>
    </row>
    <row r="1890" spans="1:6">
      <c r="A1890" t="s">
        <v>1918</v>
      </c>
      <c r="B1890" t="s">
        <v>305</v>
      </c>
      <c r="C1890" t="s">
        <v>306</v>
      </c>
      <c r="D1890" t="str">
        <f>HYPERLINK("http://service.sap.com/sap/support/notes/1423834","1423834")</f>
        <v>1423834</v>
      </c>
      <c r="F1890" t="s">
        <v>2115</v>
      </c>
    </row>
    <row r="1891" spans="1:6">
      <c r="A1891" t="s">
        <v>1918</v>
      </c>
      <c r="B1891" t="s">
        <v>305</v>
      </c>
      <c r="C1891" t="s">
        <v>306</v>
      </c>
      <c r="D1891" t="str">
        <f>HYPERLINK("http://service.sap.com/sap/support/notes/1424094","1424094")</f>
        <v>1424094</v>
      </c>
      <c r="F1891" t="s">
        <v>2116</v>
      </c>
    </row>
    <row r="1892" spans="1:6">
      <c r="A1892" t="s">
        <v>1918</v>
      </c>
      <c r="B1892" t="s">
        <v>305</v>
      </c>
      <c r="C1892" t="s">
        <v>306</v>
      </c>
      <c r="D1892" t="str">
        <f>HYPERLINK("http://service.sap.com/sap/support/notes/1424426","1424426")</f>
        <v>1424426</v>
      </c>
      <c r="F1892" t="s">
        <v>2117</v>
      </c>
    </row>
    <row r="1893" spans="1:6">
      <c r="A1893" t="s">
        <v>1918</v>
      </c>
      <c r="B1893" t="s">
        <v>305</v>
      </c>
      <c r="C1893" t="s">
        <v>306</v>
      </c>
      <c r="D1893" t="str">
        <f>HYPERLINK("http://service.sap.com/sap/support/notes/1424782","1424782")</f>
        <v>1424782</v>
      </c>
      <c r="F1893" t="s">
        <v>2118</v>
      </c>
    </row>
    <row r="1894" spans="1:6">
      <c r="A1894" t="s">
        <v>1918</v>
      </c>
      <c r="B1894" t="s">
        <v>305</v>
      </c>
      <c r="C1894" t="s">
        <v>306</v>
      </c>
      <c r="D1894" t="str">
        <f>HYPERLINK("http://service.sap.com/sap/support/notes/1425316","1425316")</f>
        <v>1425316</v>
      </c>
      <c r="F1894" t="s">
        <v>2119</v>
      </c>
    </row>
    <row r="1895" spans="1:6">
      <c r="A1895" t="s">
        <v>1918</v>
      </c>
      <c r="B1895" t="s">
        <v>305</v>
      </c>
      <c r="C1895" t="s">
        <v>306</v>
      </c>
      <c r="D1895" t="str">
        <f>HYPERLINK("http://service.sap.com/sap/support/notes/1425396","1425396")</f>
        <v>1425396</v>
      </c>
      <c r="F1895" t="s">
        <v>2120</v>
      </c>
    </row>
    <row r="1896" spans="1:6">
      <c r="A1896" t="s">
        <v>1918</v>
      </c>
      <c r="B1896" t="s">
        <v>305</v>
      </c>
      <c r="C1896" t="s">
        <v>306</v>
      </c>
      <c r="D1896" t="str">
        <f>HYPERLINK("http://service.sap.com/sap/support/notes/1425877","1425877")</f>
        <v>1425877</v>
      </c>
      <c r="F1896" t="s">
        <v>2121</v>
      </c>
    </row>
    <row r="1897" spans="1:6">
      <c r="A1897" t="s">
        <v>1918</v>
      </c>
      <c r="B1897" t="s">
        <v>305</v>
      </c>
      <c r="C1897" t="s">
        <v>306</v>
      </c>
      <c r="D1897" t="str">
        <f>HYPERLINK("http://service.sap.com/sap/support/notes/1426827","1426827")</f>
        <v>1426827</v>
      </c>
      <c r="F1897" t="s">
        <v>2122</v>
      </c>
    </row>
    <row r="1898" spans="1:6">
      <c r="A1898" t="s">
        <v>1918</v>
      </c>
      <c r="B1898" t="s">
        <v>305</v>
      </c>
      <c r="C1898" t="s">
        <v>306</v>
      </c>
      <c r="D1898" t="str">
        <f>HYPERLINK("http://service.sap.com/sap/support/notes/1427264","1427264")</f>
        <v>1427264</v>
      </c>
      <c r="F1898" t="s">
        <v>2123</v>
      </c>
    </row>
    <row r="1899" spans="1:6">
      <c r="A1899" t="s">
        <v>1918</v>
      </c>
      <c r="B1899" t="s">
        <v>352</v>
      </c>
      <c r="C1899" t="s">
        <v>353</v>
      </c>
      <c r="D1899" t="str">
        <f>HYPERLINK("http://service.sap.com/sap/support/notes/1423231","1423231")</f>
        <v>1423231</v>
      </c>
      <c r="F1899" t="s">
        <v>2124</v>
      </c>
    </row>
    <row r="1900" spans="1:6">
      <c r="A1900" t="s">
        <v>1918</v>
      </c>
      <c r="B1900" t="s">
        <v>352</v>
      </c>
      <c r="C1900" t="s">
        <v>353</v>
      </c>
      <c r="D1900" t="str">
        <f>HYPERLINK("http://service.sap.com/sap/support/notes/1428038","1428038")</f>
        <v>1428038</v>
      </c>
      <c r="F1900" t="s">
        <v>2125</v>
      </c>
    </row>
    <row r="1901" spans="1:6">
      <c r="A1901" t="s">
        <v>1918</v>
      </c>
      <c r="B1901" t="s">
        <v>352</v>
      </c>
      <c r="C1901" t="s">
        <v>353</v>
      </c>
      <c r="D1901" t="str">
        <f>HYPERLINK("http://service.sap.com/sap/support/notes/1429417","1429417")</f>
        <v>1429417</v>
      </c>
      <c r="F1901" t="s">
        <v>2126</v>
      </c>
    </row>
    <row r="1902" spans="1:6">
      <c r="A1902" t="s">
        <v>1918</v>
      </c>
      <c r="B1902" t="s">
        <v>357</v>
      </c>
      <c r="C1902" t="s">
        <v>76</v>
      </c>
      <c r="D1902" t="str">
        <f>HYPERLINK("http://service.sap.com/sap/support/notes/1251574","1251574")</f>
        <v>1251574</v>
      </c>
      <c r="F1902" t="s">
        <v>2127</v>
      </c>
    </row>
    <row r="1903" spans="1:6">
      <c r="A1903" t="s">
        <v>1918</v>
      </c>
      <c r="B1903" t="s">
        <v>357</v>
      </c>
      <c r="C1903" t="s">
        <v>76</v>
      </c>
      <c r="D1903" t="str">
        <f>HYPERLINK("http://service.sap.com/sap/support/notes/1422519","1422519")</f>
        <v>1422519</v>
      </c>
      <c r="F1903" t="s">
        <v>2128</v>
      </c>
    </row>
    <row r="1904" spans="1:6">
      <c r="A1904" t="s">
        <v>1918</v>
      </c>
      <c r="B1904" t="s">
        <v>357</v>
      </c>
      <c r="C1904" t="s">
        <v>76</v>
      </c>
      <c r="D1904" t="str">
        <f>HYPERLINK("http://service.sap.com/sap/support/notes/1423372","1423372")</f>
        <v>1423372</v>
      </c>
      <c r="F1904" t="s">
        <v>2129</v>
      </c>
    </row>
    <row r="1905" spans="1:6">
      <c r="A1905" t="s">
        <v>1918</v>
      </c>
      <c r="B1905" t="s">
        <v>357</v>
      </c>
      <c r="C1905" t="s">
        <v>76</v>
      </c>
      <c r="D1905" t="str">
        <f>HYPERLINK("http://service.sap.com/sap/support/notes/1423781","1423781")</f>
        <v>1423781</v>
      </c>
      <c r="F1905" t="s">
        <v>2130</v>
      </c>
    </row>
    <row r="1906" spans="1:6">
      <c r="A1906" t="s">
        <v>1918</v>
      </c>
      <c r="B1906" t="s">
        <v>357</v>
      </c>
      <c r="C1906" t="s">
        <v>76</v>
      </c>
      <c r="D1906" t="str">
        <f>HYPERLINK("http://service.sap.com/sap/support/notes/1425102","1425102")</f>
        <v>1425102</v>
      </c>
      <c r="F1906" t="s">
        <v>2131</v>
      </c>
    </row>
    <row r="1907" spans="1:6">
      <c r="A1907" t="s">
        <v>1918</v>
      </c>
      <c r="B1907" t="s">
        <v>357</v>
      </c>
      <c r="C1907" t="s">
        <v>76</v>
      </c>
      <c r="D1907" t="str">
        <f>HYPERLINK("http://service.sap.com/sap/support/notes/1425181","1425181")</f>
        <v>1425181</v>
      </c>
      <c r="F1907" t="s">
        <v>2132</v>
      </c>
    </row>
    <row r="1908" spans="1:6">
      <c r="A1908" t="s">
        <v>1918</v>
      </c>
      <c r="B1908" t="s">
        <v>357</v>
      </c>
      <c r="C1908" t="s">
        <v>76</v>
      </c>
      <c r="D1908" t="str">
        <f>HYPERLINK("http://service.sap.com/sap/support/notes/1425838","1425838")</f>
        <v>1425838</v>
      </c>
      <c r="F1908" t="s">
        <v>2133</v>
      </c>
    </row>
    <row r="1909" spans="1:6">
      <c r="A1909" t="s">
        <v>1918</v>
      </c>
      <c r="B1909" t="s">
        <v>357</v>
      </c>
      <c r="C1909" t="s">
        <v>76</v>
      </c>
      <c r="D1909" t="str">
        <f>HYPERLINK("http://service.sap.com/sap/support/notes/1426363","1426363")</f>
        <v>1426363</v>
      </c>
      <c r="F1909" t="s">
        <v>2134</v>
      </c>
    </row>
    <row r="1910" spans="1:6">
      <c r="A1910" t="s">
        <v>1918</v>
      </c>
      <c r="B1910" t="s">
        <v>357</v>
      </c>
      <c r="C1910" t="s">
        <v>76</v>
      </c>
      <c r="D1910" t="str">
        <f>HYPERLINK("http://service.sap.com/sap/support/notes/1426570","1426570")</f>
        <v>1426570</v>
      </c>
      <c r="F1910" t="s">
        <v>2135</v>
      </c>
    </row>
    <row r="1911" spans="1:6">
      <c r="A1911" t="s">
        <v>1918</v>
      </c>
      <c r="B1911" t="s">
        <v>357</v>
      </c>
      <c r="C1911" t="s">
        <v>76</v>
      </c>
      <c r="D1911" t="str">
        <f>HYPERLINK("http://service.sap.com/sap/support/notes/1426908","1426908")</f>
        <v>1426908</v>
      </c>
      <c r="F1911" t="s">
        <v>2136</v>
      </c>
    </row>
    <row r="1912" spans="1:6">
      <c r="A1912" t="s">
        <v>1918</v>
      </c>
      <c r="B1912" t="s">
        <v>357</v>
      </c>
      <c r="C1912" t="s">
        <v>76</v>
      </c>
      <c r="D1912" t="str">
        <f>HYPERLINK("http://service.sap.com/sap/support/notes/1427575","1427575")</f>
        <v>1427575</v>
      </c>
      <c r="F1912" t="s">
        <v>2137</v>
      </c>
    </row>
    <row r="1913" spans="1:6">
      <c r="A1913" t="s">
        <v>1918</v>
      </c>
      <c r="B1913" t="s">
        <v>357</v>
      </c>
      <c r="C1913" t="s">
        <v>76</v>
      </c>
      <c r="D1913" t="str">
        <f>HYPERLINK("http://service.sap.com/sap/support/notes/1428055","1428055")</f>
        <v>1428055</v>
      </c>
      <c r="F1913" t="s">
        <v>2138</v>
      </c>
    </row>
    <row r="1914" spans="1:6">
      <c r="A1914" t="s">
        <v>1918</v>
      </c>
      <c r="B1914" t="s">
        <v>357</v>
      </c>
      <c r="C1914" t="s">
        <v>76</v>
      </c>
      <c r="D1914" t="str">
        <f>HYPERLINK("http://service.sap.com/sap/support/notes/1428114","1428114")</f>
        <v>1428114</v>
      </c>
      <c r="F1914" t="s">
        <v>2139</v>
      </c>
    </row>
    <row r="1915" spans="1:6">
      <c r="A1915" t="s">
        <v>1918</v>
      </c>
      <c r="B1915" t="s">
        <v>357</v>
      </c>
      <c r="C1915" t="s">
        <v>76</v>
      </c>
      <c r="D1915" t="str">
        <f>HYPERLINK("http://service.sap.com/sap/support/notes/1428184","1428184")</f>
        <v>1428184</v>
      </c>
      <c r="F1915" t="s">
        <v>2140</v>
      </c>
    </row>
    <row r="1916" spans="1:6">
      <c r="A1916" t="s">
        <v>1918</v>
      </c>
      <c r="B1916" t="s">
        <v>357</v>
      </c>
      <c r="C1916" t="s">
        <v>76</v>
      </c>
      <c r="D1916" t="str">
        <f>HYPERLINK("http://service.sap.com/sap/support/notes/1428649","1428649")</f>
        <v>1428649</v>
      </c>
      <c r="F1916" t="s">
        <v>2141</v>
      </c>
    </row>
    <row r="1917" spans="1:6">
      <c r="A1917" t="s">
        <v>1918</v>
      </c>
      <c r="B1917" t="s">
        <v>369</v>
      </c>
      <c r="C1917" t="s">
        <v>370</v>
      </c>
      <c r="D1917" t="str">
        <f>HYPERLINK("http://service.sap.com/sap/support/notes/1129168","1129168")</f>
        <v>1129168</v>
      </c>
      <c r="F1917" t="s">
        <v>371</v>
      </c>
    </row>
    <row r="1918" spans="1:6">
      <c r="A1918" t="s">
        <v>1918</v>
      </c>
      <c r="B1918" t="s">
        <v>369</v>
      </c>
      <c r="C1918" t="s">
        <v>370</v>
      </c>
      <c r="D1918" t="str">
        <f>HYPERLINK("http://service.sap.com/sap/support/notes/1422629","1422629")</f>
        <v>1422629</v>
      </c>
      <c r="F1918" t="s">
        <v>2142</v>
      </c>
    </row>
    <row r="1919" spans="1:6">
      <c r="A1919" t="s">
        <v>1918</v>
      </c>
      <c r="B1919" t="s">
        <v>369</v>
      </c>
      <c r="C1919" t="s">
        <v>370</v>
      </c>
      <c r="D1919" t="str">
        <f>HYPERLINK("http://service.sap.com/sap/support/notes/1423110","1423110")</f>
        <v>1423110</v>
      </c>
      <c r="F1919" t="s">
        <v>2143</v>
      </c>
    </row>
    <row r="1920" spans="1:6">
      <c r="A1920" t="s">
        <v>1918</v>
      </c>
      <c r="B1920" t="s">
        <v>1170</v>
      </c>
      <c r="C1920" t="s">
        <v>239</v>
      </c>
    </row>
    <row r="1921" spans="1:6">
      <c r="A1921" t="s">
        <v>1918</v>
      </c>
      <c r="B1921" t="s">
        <v>1179</v>
      </c>
      <c r="C1921" t="s">
        <v>1180</v>
      </c>
      <c r="D1921" t="str">
        <f>HYPERLINK("http://service.sap.com/sap/support/notes/1417603","1417603")</f>
        <v>1417603</v>
      </c>
      <c r="F1921" t="s">
        <v>2144</v>
      </c>
    </row>
    <row r="1922" spans="1:6">
      <c r="A1922" t="s">
        <v>1918</v>
      </c>
      <c r="B1922" t="s">
        <v>385</v>
      </c>
      <c r="C1922" t="s">
        <v>208</v>
      </c>
    </row>
    <row r="1923" spans="1:6">
      <c r="A1923" t="s">
        <v>1918</v>
      </c>
      <c r="B1923" t="s">
        <v>386</v>
      </c>
      <c r="C1923" t="s">
        <v>387</v>
      </c>
      <c r="D1923" t="str">
        <f>HYPERLINK("http://service.sap.com/sap/support/notes/1403254","1403254")</f>
        <v>1403254</v>
      </c>
      <c r="F1923" t="s">
        <v>2145</v>
      </c>
    </row>
    <row r="1924" spans="1:6">
      <c r="A1924" t="s">
        <v>1918</v>
      </c>
      <c r="B1924" t="s">
        <v>386</v>
      </c>
      <c r="C1924" t="s">
        <v>387</v>
      </c>
      <c r="D1924" t="str">
        <f>HYPERLINK("http://service.sap.com/sap/support/notes/1419505","1419505")</f>
        <v>1419505</v>
      </c>
      <c r="F1924" t="s">
        <v>2146</v>
      </c>
    </row>
    <row r="1925" spans="1:6">
      <c r="A1925" t="s">
        <v>1918</v>
      </c>
      <c r="B1925" t="s">
        <v>386</v>
      </c>
      <c r="C1925" t="s">
        <v>387</v>
      </c>
      <c r="D1925" t="str">
        <f>HYPERLINK("http://service.sap.com/sap/support/notes/1423879","1423879")</f>
        <v>1423879</v>
      </c>
      <c r="F1925" t="s">
        <v>2147</v>
      </c>
    </row>
    <row r="1926" spans="1:6">
      <c r="A1926" t="s">
        <v>1918</v>
      </c>
      <c r="B1926" t="s">
        <v>386</v>
      </c>
      <c r="C1926" t="s">
        <v>387</v>
      </c>
      <c r="D1926" t="str">
        <f>HYPERLINK("http://service.sap.com/sap/support/notes/1424607","1424607")</f>
        <v>1424607</v>
      </c>
      <c r="F1926" t="s">
        <v>2148</v>
      </c>
    </row>
    <row r="1927" spans="1:6">
      <c r="A1927" t="s">
        <v>1918</v>
      </c>
      <c r="B1927" t="s">
        <v>391</v>
      </c>
      <c r="C1927" t="s">
        <v>392</v>
      </c>
      <c r="D1927" t="str">
        <f>HYPERLINK("http://service.sap.com/sap/support/notes/1425623","1425623")</f>
        <v>1425623</v>
      </c>
      <c r="F1927" t="s">
        <v>2149</v>
      </c>
    </row>
    <row r="1928" spans="1:6">
      <c r="A1928" t="s">
        <v>1918</v>
      </c>
      <c r="B1928" t="s">
        <v>391</v>
      </c>
      <c r="C1928" t="s">
        <v>392</v>
      </c>
      <c r="D1928" t="str">
        <f>HYPERLINK("http://service.sap.com/sap/support/notes/1426470","1426470")</f>
        <v>1426470</v>
      </c>
      <c r="F1928" t="s">
        <v>2150</v>
      </c>
    </row>
    <row r="1929" spans="1:6">
      <c r="A1929" t="s">
        <v>1918</v>
      </c>
      <c r="B1929" t="s">
        <v>401</v>
      </c>
      <c r="C1929" t="s">
        <v>402</v>
      </c>
      <c r="D1929" t="str">
        <f>HYPERLINK("http://service.sap.com/sap/support/notes/1423906","1423906")</f>
        <v>1423906</v>
      </c>
      <c r="F1929" t="s">
        <v>2151</v>
      </c>
    </row>
    <row r="1930" spans="1:6">
      <c r="A1930" t="s">
        <v>1918</v>
      </c>
      <c r="B1930" t="s">
        <v>401</v>
      </c>
      <c r="C1930" t="s">
        <v>402</v>
      </c>
      <c r="D1930" t="str">
        <f>HYPERLINK("http://service.sap.com/sap/support/notes/1423909","1423909")</f>
        <v>1423909</v>
      </c>
      <c r="F1930" t="s">
        <v>2152</v>
      </c>
    </row>
    <row r="1931" spans="1:6">
      <c r="A1931" t="s">
        <v>1918</v>
      </c>
      <c r="B1931" t="s">
        <v>401</v>
      </c>
      <c r="C1931" t="s">
        <v>402</v>
      </c>
      <c r="D1931" t="str">
        <f>HYPERLINK("http://service.sap.com/sap/support/notes/1424298","1424298")</f>
        <v>1424298</v>
      </c>
      <c r="F1931" t="s">
        <v>2153</v>
      </c>
    </row>
    <row r="1932" spans="1:6">
      <c r="A1932" t="s">
        <v>1918</v>
      </c>
      <c r="B1932" t="s">
        <v>401</v>
      </c>
      <c r="C1932" t="s">
        <v>402</v>
      </c>
      <c r="D1932" t="str">
        <f>HYPERLINK("http://service.sap.com/sap/support/notes/1427369","1427369")</f>
        <v>1427369</v>
      </c>
      <c r="F1932" t="s">
        <v>2154</v>
      </c>
    </row>
    <row r="1933" spans="1:6">
      <c r="A1933" t="s">
        <v>1918</v>
      </c>
      <c r="B1933" t="s">
        <v>410</v>
      </c>
      <c r="C1933" t="s">
        <v>411</v>
      </c>
      <c r="D1933" t="str">
        <f>HYPERLINK("http://service.sap.com/sap/support/notes/1358511","1358511")</f>
        <v>1358511</v>
      </c>
      <c r="F1933" t="s">
        <v>1214</v>
      </c>
    </row>
    <row r="1934" spans="1:6">
      <c r="A1934" t="s">
        <v>1918</v>
      </c>
      <c r="B1934" t="s">
        <v>410</v>
      </c>
      <c r="C1934" t="s">
        <v>411</v>
      </c>
      <c r="D1934" t="str">
        <f>HYPERLINK("http://service.sap.com/sap/support/notes/1366382","1366382")</f>
        <v>1366382</v>
      </c>
      <c r="F1934" t="s">
        <v>2155</v>
      </c>
    </row>
    <row r="1935" spans="1:6">
      <c r="A1935" t="s">
        <v>1918</v>
      </c>
      <c r="B1935" t="s">
        <v>410</v>
      </c>
      <c r="C1935" t="s">
        <v>411</v>
      </c>
      <c r="D1935" t="str">
        <f>HYPERLINK("http://service.sap.com/sap/support/notes/1379621","1379621")</f>
        <v>1379621</v>
      </c>
      <c r="F1935" t="s">
        <v>1218</v>
      </c>
    </row>
    <row r="1936" spans="1:6">
      <c r="A1936" t="s">
        <v>1918</v>
      </c>
      <c r="B1936" t="s">
        <v>410</v>
      </c>
      <c r="C1936" t="s">
        <v>411</v>
      </c>
      <c r="D1936" t="str">
        <f>HYPERLINK("http://service.sap.com/sap/support/notes/1385408","1385408")</f>
        <v>1385408</v>
      </c>
      <c r="F1936" t="s">
        <v>2156</v>
      </c>
    </row>
    <row r="1937" spans="1:6">
      <c r="A1937" t="s">
        <v>1918</v>
      </c>
      <c r="B1937" t="s">
        <v>410</v>
      </c>
      <c r="C1937" t="s">
        <v>411</v>
      </c>
      <c r="D1937" t="str">
        <f>HYPERLINK("http://service.sap.com/sap/support/notes/1393999","1393999")</f>
        <v>1393999</v>
      </c>
      <c r="F1937" t="s">
        <v>1791</v>
      </c>
    </row>
    <row r="1938" spans="1:6">
      <c r="A1938" t="s">
        <v>1918</v>
      </c>
      <c r="B1938" t="s">
        <v>410</v>
      </c>
      <c r="C1938" t="s">
        <v>411</v>
      </c>
      <c r="D1938" t="str">
        <f>HYPERLINK("http://service.sap.com/sap/support/notes/1408406","1408406")</f>
        <v>1408406</v>
      </c>
      <c r="F1938" t="s">
        <v>2157</v>
      </c>
    </row>
    <row r="1939" spans="1:6">
      <c r="A1939" t="s">
        <v>1918</v>
      </c>
      <c r="B1939" t="s">
        <v>410</v>
      </c>
      <c r="C1939" t="s">
        <v>411</v>
      </c>
      <c r="D1939" t="str">
        <f>HYPERLINK("http://service.sap.com/sap/support/notes/1408447","1408447")</f>
        <v>1408447</v>
      </c>
      <c r="F1939" t="s">
        <v>2158</v>
      </c>
    </row>
    <row r="1940" spans="1:6">
      <c r="A1940" t="s">
        <v>1918</v>
      </c>
      <c r="B1940" t="s">
        <v>424</v>
      </c>
      <c r="C1940" t="s">
        <v>425</v>
      </c>
      <c r="D1940" t="str">
        <f>HYPERLINK("http://service.sap.com/sap/support/notes/1293443","1293443")</f>
        <v>1293443</v>
      </c>
      <c r="F1940" t="s">
        <v>428</v>
      </c>
    </row>
    <row r="1941" spans="1:6">
      <c r="A1941" t="s">
        <v>1918</v>
      </c>
      <c r="B1941" t="s">
        <v>424</v>
      </c>
      <c r="C1941" t="s">
        <v>425</v>
      </c>
      <c r="D1941" t="str">
        <f>HYPERLINK("http://service.sap.com/sap/support/notes/1389407","1389407")</f>
        <v>1389407</v>
      </c>
      <c r="F1941" t="s">
        <v>432</v>
      </c>
    </row>
    <row r="1942" spans="1:6">
      <c r="A1942" t="s">
        <v>1918</v>
      </c>
      <c r="B1942" t="s">
        <v>424</v>
      </c>
      <c r="C1942" t="s">
        <v>425</v>
      </c>
      <c r="D1942" t="str">
        <f>HYPERLINK("http://service.sap.com/sap/support/notes/1394185","1394185")</f>
        <v>1394185</v>
      </c>
      <c r="F1942" t="s">
        <v>2159</v>
      </c>
    </row>
    <row r="1943" spans="1:6">
      <c r="A1943" t="s">
        <v>1918</v>
      </c>
      <c r="B1943" t="s">
        <v>424</v>
      </c>
      <c r="C1943" t="s">
        <v>425</v>
      </c>
      <c r="D1943" t="str">
        <f>HYPERLINK("http://service.sap.com/sap/support/notes/1396528","1396528")</f>
        <v>1396528</v>
      </c>
      <c r="F1943" t="s">
        <v>2160</v>
      </c>
    </row>
    <row r="1944" spans="1:6">
      <c r="A1944" t="s">
        <v>1918</v>
      </c>
      <c r="B1944" t="s">
        <v>424</v>
      </c>
      <c r="C1944" t="s">
        <v>425</v>
      </c>
      <c r="D1944" t="str">
        <f>HYPERLINK("http://service.sap.com/sap/support/notes/1403616","1403616")</f>
        <v>1403616</v>
      </c>
      <c r="F1944" t="s">
        <v>2161</v>
      </c>
    </row>
    <row r="1945" spans="1:6">
      <c r="A1945" t="s">
        <v>1918</v>
      </c>
      <c r="B1945" t="s">
        <v>424</v>
      </c>
      <c r="C1945" t="s">
        <v>425</v>
      </c>
      <c r="D1945" t="str">
        <f>HYPERLINK("http://service.sap.com/sap/support/notes/1406022","1406022")</f>
        <v>1406022</v>
      </c>
      <c r="F1945" t="s">
        <v>2162</v>
      </c>
    </row>
    <row r="1946" spans="1:6">
      <c r="A1946" t="s">
        <v>1918</v>
      </c>
      <c r="B1946" t="s">
        <v>424</v>
      </c>
      <c r="C1946" t="s">
        <v>425</v>
      </c>
      <c r="D1946" t="str">
        <f>HYPERLINK("http://service.sap.com/sap/support/notes/1408361","1408361")</f>
        <v>1408361</v>
      </c>
      <c r="F1946" t="s">
        <v>2163</v>
      </c>
    </row>
    <row r="1947" spans="1:6">
      <c r="A1947" t="s">
        <v>1918</v>
      </c>
      <c r="B1947" t="s">
        <v>424</v>
      </c>
      <c r="C1947" t="s">
        <v>425</v>
      </c>
      <c r="D1947" t="str">
        <f>HYPERLINK("http://service.sap.com/sap/support/notes/1410457","1410457")</f>
        <v>1410457</v>
      </c>
      <c r="F1947" t="s">
        <v>2164</v>
      </c>
    </row>
    <row r="1948" spans="1:6">
      <c r="A1948" t="s">
        <v>1918</v>
      </c>
      <c r="B1948" t="s">
        <v>424</v>
      </c>
      <c r="C1948" t="s">
        <v>425</v>
      </c>
      <c r="D1948" t="str">
        <f>HYPERLINK("http://service.sap.com/sap/support/notes/1417218","1417218")</f>
        <v>1417218</v>
      </c>
      <c r="F1948" t="s">
        <v>2165</v>
      </c>
    </row>
    <row r="1949" spans="1:6">
      <c r="A1949" t="s">
        <v>1918</v>
      </c>
      <c r="B1949" t="s">
        <v>424</v>
      </c>
      <c r="C1949" t="s">
        <v>425</v>
      </c>
      <c r="D1949" t="str">
        <f>HYPERLINK("http://service.sap.com/sap/support/notes/1418879","1418879")</f>
        <v>1418879</v>
      </c>
      <c r="F1949" t="s">
        <v>1802</v>
      </c>
    </row>
    <row r="1950" spans="1:6">
      <c r="A1950" t="s">
        <v>1918</v>
      </c>
      <c r="B1950" t="s">
        <v>424</v>
      </c>
      <c r="C1950" t="s">
        <v>425</v>
      </c>
      <c r="D1950" t="str">
        <f>HYPERLINK("http://service.sap.com/sap/support/notes/1420533","1420533")</f>
        <v>1420533</v>
      </c>
      <c r="F1950" t="s">
        <v>2166</v>
      </c>
    </row>
    <row r="1951" spans="1:6">
      <c r="A1951" t="s">
        <v>1918</v>
      </c>
      <c r="B1951" t="s">
        <v>424</v>
      </c>
      <c r="C1951" t="s">
        <v>425</v>
      </c>
      <c r="D1951" t="str">
        <f>HYPERLINK("http://service.sap.com/sap/support/notes/1420960","1420960")</f>
        <v>1420960</v>
      </c>
      <c r="F1951" t="s">
        <v>2167</v>
      </c>
    </row>
    <row r="1952" spans="1:6">
      <c r="A1952" t="s">
        <v>1918</v>
      </c>
      <c r="B1952" t="s">
        <v>424</v>
      </c>
      <c r="C1952" t="s">
        <v>425</v>
      </c>
      <c r="D1952" t="str">
        <f>HYPERLINK("http://service.sap.com/sap/support/notes/1421313","1421313")</f>
        <v>1421313</v>
      </c>
      <c r="F1952" t="s">
        <v>2168</v>
      </c>
    </row>
    <row r="1953" spans="1:6">
      <c r="A1953" t="s">
        <v>1918</v>
      </c>
      <c r="B1953" t="s">
        <v>424</v>
      </c>
      <c r="C1953" t="s">
        <v>425</v>
      </c>
      <c r="D1953" t="str">
        <f>HYPERLINK("http://service.sap.com/sap/support/notes/1421681","1421681")</f>
        <v>1421681</v>
      </c>
      <c r="F1953" t="s">
        <v>2169</v>
      </c>
    </row>
    <row r="1954" spans="1:6">
      <c r="A1954" t="s">
        <v>1918</v>
      </c>
      <c r="B1954" t="s">
        <v>424</v>
      </c>
      <c r="C1954" t="s">
        <v>425</v>
      </c>
      <c r="D1954" t="str">
        <f>HYPERLINK("http://service.sap.com/sap/support/notes/1422182","1422182")</f>
        <v>1422182</v>
      </c>
      <c r="F1954" t="s">
        <v>2170</v>
      </c>
    </row>
    <row r="1955" spans="1:6">
      <c r="A1955" t="s">
        <v>1918</v>
      </c>
      <c r="B1955" t="s">
        <v>424</v>
      </c>
      <c r="C1955" t="s">
        <v>425</v>
      </c>
      <c r="D1955" t="str">
        <f>HYPERLINK("http://service.sap.com/sap/support/notes/1423405","1423405")</f>
        <v>1423405</v>
      </c>
      <c r="F1955" t="s">
        <v>2171</v>
      </c>
    </row>
    <row r="1956" spans="1:6">
      <c r="A1956" t="s">
        <v>1918</v>
      </c>
      <c r="B1956" t="s">
        <v>424</v>
      </c>
      <c r="C1956" t="s">
        <v>425</v>
      </c>
      <c r="D1956" t="str">
        <f>HYPERLINK("http://service.sap.com/sap/support/notes/1423660","1423660")</f>
        <v>1423660</v>
      </c>
      <c r="F1956" t="s">
        <v>2172</v>
      </c>
    </row>
    <row r="1957" spans="1:6">
      <c r="A1957" t="s">
        <v>1918</v>
      </c>
      <c r="B1957" t="s">
        <v>424</v>
      </c>
      <c r="C1957" t="s">
        <v>425</v>
      </c>
      <c r="D1957" t="str">
        <f>HYPERLINK("http://service.sap.com/sap/support/notes/1423774","1423774")</f>
        <v>1423774</v>
      </c>
      <c r="F1957" t="s">
        <v>2173</v>
      </c>
    </row>
    <row r="1958" spans="1:6">
      <c r="A1958" t="s">
        <v>1918</v>
      </c>
      <c r="B1958" t="s">
        <v>424</v>
      </c>
      <c r="C1958" t="s">
        <v>425</v>
      </c>
      <c r="D1958" t="str">
        <f>HYPERLINK("http://service.sap.com/sap/support/notes/1425136","1425136")</f>
        <v>1425136</v>
      </c>
      <c r="F1958" t="s">
        <v>2174</v>
      </c>
    </row>
    <row r="1959" spans="1:6">
      <c r="A1959" t="s">
        <v>1918</v>
      </c>
      <c r="B1959" t="s">
        <v>424</v>
      </c>
      <c r="C1959" t="s">
        <v>425</v>
      </c>
      <c r="D1959" t="str">
        <f>HYPERLINK("http://service.sap.com/sap/support/notes/1425851","1425851")</f>
        <v>1425851</v>
      </c>
      <c r="F1959" t="s">
        <v>2175</v>
      </c>
    </row>
    <row r="1960" spans="1:6">
      <c r="A1960" t="s">
        <v>1918</v>
      </c>
      <c r="B1960" t="s">
        <v>424</v>
      </c>
      <c r="C1960" t="s">
        <v>425</v>
      </c>
      <c r="D1960" t="str">
        <f>HYPERLINK("http://service.sap.com/sap/support/notes/1426594","1426594")</f>
        <v>1426594</v>
      </c>
      <c r="F1960" t="s">
        <v>2176</v>
      </c>
    </row>
    <row r="1961" spans="1:6">
      <c r="A1961" t="s">
        <v>1918</v>
      </c>
      <c r="B1961" t="s">
        <v>424</v>
      </c>
      <c r="C1961" t="s">
        <v>425</v>
      </c>
      <c r="D1961" t="str">
        <f>HYPERLINK("http://service.sap.com/sap/support/notes/1427547","1427547")</f>
        <v>1427547</v>
      </c>
      <c r="F1961" t="s">
        <v>2177</v>
      </c>
    </row>
    <row r="1962" spans="1:6">
      <c r="A1962" t="s">
        <v>1918</v>
      </c>
      <c r="B1962" t="s">
        <v>424</v>
      </c>
      <c r="C1962" t="s">
        <v>425</v>
      </c>
      <c r="D1962" t="str">
        <f>HYPERLINK("http://service.sap.com/sap/support/notes/1428283","1428283")</f>
        <v>1428283</v>
      </c>
      <c r="F1962" t="s">
        <v>2178</v>
      </c>
    </row>
    <row r="1963" spans="1:6">
      <c r="A1963" t="s">
        <v>1918</v>
      </c>
      <c r="B1963" t="s">
        <v>424</v>
      </c>
      <c r="C1963" t="s">
        <v>425</v>
      </c>
      <c r="D1963" t="str">
        <f>HYPERLINK("http://service.sap.com/sap/support/notes/1430050","1430050")</f>
        <v>1430050</v>
      </c>
      <c r="F1963" t="s">
        <v>2179</v>
      </c>
    </row>
    <row r="1964" spans="1:6">
      <c r="A1964" t="s">
        <v>1918</v>
      </c>
      <c r="B1964" t="s">
        <v>439</v>
      </c>
      <c r="C1964" t="s">
        <v>189</v>
      </c>
      <c r="D1964" t="str">
        <f>HYPERLINK("http://service.sap.com/sap/support/notes/1391921","1391921")</f>
        <v>1391921</v>
      </c>
      <c r="F1964" t="s">
        <v>440</v>
      </c>
    </row>
    <row r="1965" spans="1:6">
      <c r="A1965" t="s">
        <v>1918</v>
      </c>
      <c r="B1965" t="s">
        <v>441</v>
      </c>
      <c r="C1965" t="s">
        <v>442</v>
      </c>
      <c r="D1965" t="str">
        <f>HYPERLINK("http://service.sap.com/sap/support/notes/1132738","1132738")</f>
        <v>1132738</v>
      </c>
      <c r="F1965" t="s">
        <v>443</v>
      </c>
    </row>
    <row r="1966" spans="1:6">
      <c r="A1966" t="s">
        <v>1918</v>
      </c>
      <c r="B1966" t="s">
        <v>441</v>
      </c>
      <c r="C1966" t="s">
        <v>442</v>
      </c>
      <c r="D1966" t="str">
        <f>HYPERLINK("http://service.sap.com/sap/support/notes/1417025","1417025")</f>
        <v>1417025</v>
      </c>
      <c r="F1966" t="s">
        <v>2180</v>
      </c>
    </row>
    <row r="1967" spans="1:6">
      <c r="A1967" t="s">
        <v>1918</v>
      </c>
      <c r="B1967" t="s">
        <v>441</v>
      </c>
      <c r="C1967" t="s">
        <v>442</v>
      </c>
      <c r="D1967" t="str">
        <f>HYPERLINK("http://service.sap.com/sap/support/notes/1423308","1423308")</f>
        <v>1423308</v>
      </c>
      <c r="F1967" t="s">
        <v>2181</v>
      </c>
    </row>
    <row r="1968" spans="1:6">
      <c r="A1968" t="s">
        <v>1918</v>
      </c>
      <c r="B1968" t="s">
        <v>441</v>
      </c>
      <c r="C1968" t="s">
        <v>442</v>
      </c>
      <c r="D1968" t="str">
        <f>HYPERLINK("http://service.sap.com/sap/support/notes/1426448","1426448")</f>
        <v>1426448</v>
      </c>
      <c r="F1968" t="s">
        <v>2182</v>
      </c>
    </row>
    <row r="1969" spans="1:6">
      <c r="A1969" t="s">
        <v>1918</v>
      </c>
      <c r="B1969" t="s">
        <v>441</v>
      </c>
      <c r="C1969" t="s">
        <v>442</v>
      </c>
      <c r="D1969" t="str">
        <f>HYPERLINK("http://service.sap.com/sap/support/notes/1426926","1426926")</f>
        <v>1426926</v>
      </c>
      <c r="F1969" t="s">
        <v>2183</v>
      </c>
    </row>
    <row r="1970" spans="1:6">
      <c r="A1970" t="s">
        <v>1918</v>
      </c>
      <c r="B1970" t="s">
        <v>1247</v>
      </c>
      <c r="C1970" t="s">
        <v>87</v>
      </c>
      <c r="D1970" t="str">
        <f>HYPERLINK("http://service.sap.com/sap/support/notes/1422897","1422897")</f>
        <v>1422897</v>
      </c>
      <c r="F1970" t="s">
        <v>2184</v>
      </c>
    </row>
    <row r="1971" spans="1:6">
      <c r="A1971" t="s">
        <v>1918</v>
      </c>
      <c r="B1971" t="s">
        <v>1247</v>
      </c>
      <c r="C1971" t="s">
        <v>87</v>
      </c>
      <c r="D1971" t="str">
        <f>HYPERLINK("http://service.sap.com/sap/support/notes/1423572","1423572")</f>
        <v>1423572</v>
      </c>
      <c r="F1971" t="s">
        <v>2185</v>
      </c>
    </row>
    <row r="1972" spans="1:6">
      <c r="A1972" t="s">
        <v>1918</v>
      </c>
      <c r="B1972" t="s">
        <v>1247</v>
      </c>
      <c r="C1972" t="s">
        <v>87</v>
      </c>
      <c r="D1972" t="str">
        <f>HYPERLINK("http://service.sap.com/sap/support/notes/1426884","1426884")</f>
        <v>1426884</v>
      </c>
      <c r="F1972" t="s">
        <v>2186</v>
      </c>
    </row>
    <row r="1973" spans="1:6">
      <c r="A1973" t="s">
        <v>1918</v>
      </c>
      <c r="B1973" t="s">
        <v>1247</v>
      </c>
      <c r="C1973" t="s">
        <v>87</v>
      </c>
      <c r="D1973" t="str">
        <f>HYPERLINK("http://service.sap.com/sap/support/notes/1427769","1427769")</f>
        <v>1427769</v>
      </c>
      <c r="F1973" t="s">
        <v>2187</v>
      </c>
    </row>
    <row r="1974" spans="1:6">
      <c r="A1974" t="s">
        <v>1918</v>
      </c>
      <c r="B1974" t="s">
        <v>450</v>
      </c>
      <c r="C1974" t="s">
        <v>451</v>
      </c>
      <c r="D1974" t="str">
        <f>HYPERLINK("http://service.sap.com/sap/support/notes/1346548","1346548")</f>
        <v>1346548</v>
      </c>
      <c r="F1974" t="s">
        <v>452</v>
      </c>
    </row>
    <row r="1975" spans="1:6">
      <c r="A1975" t="s">
        <v>1918</v>
      </c>
      <c r="B1975" t="s">
        <v>450</v>
      </c>
      <c r="C1975" t="s">
        <v>451</v>
      </c>
      <c r="D1975" t="str">
        <f>HYPERLINK("http://service.sap.com/sap/support/notes/1408346","1408346")</f>
        <v>1408346</v>
      </c>
      <c r="F1975" t="s">
        <v>2188</v>
      </c>
    </row>
    <row r="1976" spans="1:6">
      <c r="A1976" t="s">
        <v>1918</v>
      </c>
      <c r="B1976" t="s">
        <v>450</v>
      </c>
      <c r="C1976" t="s">
        <v>451</v>
      </c>
      <c r="D1976" t="str">
        <f>HYPERLINK("http://service.sap.com/sap/support/notes/1408909","1408909")</f>
        <v>1408909</v>
      </c>
      <c r="F1976" t="s">
        <v>1818</v>
      </c>
    </row>
    <row r="1977" spans="1:6">
      <c r="A1977" t="s">
        <v>1918</v>
      </c>
      <c r="B1977" t="s">
        <v>450</v>
      </c>
      <c r="C1977" t="s">
        <v>451</v>
      </c>
      <c r="D1977" t="str">
        <f>HYPERLINK("http://service.sap.com/sap/support/notes/1409831","1409831")</f>
        <v>1409831</v>
      </c>
      <c r="F1977" t="s">
        <v>2189</v>
      </c>
    </row>
    <row r="1978" spans="1:6">
      <c r="A1978" t="s">
        <v>1918</v>
      </c>
      <c r="B1978" t="s">
        <v>450</v>
      </c>
      <c r="C1978" t="s">
        <v>451</v>
      </c>
      <c r="D1978" t="str">
        <f>HYPERLINK("http://service.sap.com/sap/support/notes/1421905","1421905")</f>
        <v>1421905</v>
      </c>
      <c r="F1978" t="s">
        <v>2190</v>
      </c>
    </row>
    <row r="1979" spans="1:6">
      <c r="A1979" t="s">
        <v>1918</v>
      </c>
      <c r="B1979" t="s">
        <v>450</v>
      </c>
      <c r="C1979" t="s">
        <v>451</v>
      </c>
      <c r="D1979" t="str">
        <f>HYPERLINK("http://service.sap.com/sap/support/notes/1422145","1422145")</f>
        <v>1422145</v>
      </c>
      <c r="F1979" t="s">
        <v>2191</v>
      </c>
    </row>
    <row r="1980" spans="1:6">
      <c r="A1980" t="s">
        <v>1918</v>
      </c>
      <c r="B1980" t="s">
        <v>450</v>
      </c>
      <c r="C1980" t="s">
        <v>451</v>
      </c>
      <c r="D1980" t="str">
        <f>HYPERLINK("http://service.sap.com/sap/support/notes/1423476","1423476")</f>
        <v>1423476</v>
      </c>
      <c r="F1980" t="s">
        <v>2192</v>
      </c>
    </row>
    <row r="1981" spans="1:6">
      <c r="A1981" t="s">
        <v>1918</v>
      </c>
      <c r="B1981" t="s">
        <v>450</v>
      </c>
      <c r="C1981" t="s">
        <v>451</v>
      </c>
      <c r="D1981" t="str">
        <f>HYPERLINK("http://service.sap.com/sap/support/notes/1423677","1423677")</f>
        <v>1423677</v>
      </c>
      <c r="F1981" t="s">
        <v>1823</v>
      </c>
    </row>
    <row r="1982" spans="1:6">
      <c r="A1982" t="s">
        <v>1918</v>
      </c>
      <c r="B1982" t="s">
        <v>450</v>
      </c>
      <c r="C1982" t="s">
        <v>451</v>
      </c>
      <c r="D1982" t="str">
        <f>HYPERLINK("http://service.sap.com/sap/support/notes/1424429","1424429")</f>
        <v>1424429</v>
      </c>
      <c r="F1982" t="s">
        <v>2193</v>
      </c>
    </row>
    <row r="1983" spans="1:6">
      <c r="A1983" t="s">
        <v>1918</v>
      </c>
      <c r="B1983" t="s">
        <v>450</v>
      </c>
      <c r="C1983" t="s">
        <v>451</v>
      </c>
      <c r="D1983" t="str">
        <f>HYPERLINK("http://service.sap.com/sap/support/notes/1427235","1427235")</f>
        <v>1427235</v>
      </c>
      <c r="F1983" t="s">
        <v>2194</v>
      </c>
    </row>
    <row r="1984" spans="1:6">
      <c r="A1984" t="s">
        <v>1918</v>
      </c>
      <c r="B1984" t="s">
        <v>450</v>
      </c>
      <c r="C1984" t="s">
        <v>451</v>
      </c>
      <c r="D1984" t="str">
        <f>HYPERLINK("http://service.sap.com/sap/support/notes/1428750","1428750")</f>
        <v>1428750</v>
      </c>
      <c r="F1984" t="s">
        <v>2195</v>
      </c>
    </row>
    <row r="1985" spans="1:6">
      <c r="A1985" t="s">
        <v>1918</v>
      </c>
      <c r="B1985" t="s">
        <v>450</v>
      </c>
      <c r="C1985" t="s">
        <v>451</v>
      </c>
      <c r="D1985" t="str">
        <f>HYPERLINK("http://service.sap.com/sap/support/notes/1429781","1429781")</f>
        <v>1429781</v>
      </c>
      <c r="F1985" t="s">
        <v>2196</v>
      </c>
    </row>
    <row r="1986" spans="1:6">
      <c r="A1986" t="s">
        <v>1918</v>
      </c>
      <c r="B1986" t="s">
        <v>455</v>
      </c>
      <c r="C1986" t="s">
        <v>456</v>
      </c>
      <c r="D1986" t="str">
        <f>HYPERLINK("http://service.sap.com/sap/support/notes/1426379","1426379")</f>
        <v>1426379</v>
      </c>
      <c r="F1986" t="s">
        <v>2197</v>
      </c>
    </row>
    <row r="1987" spans="1:6">
      <c r="A1987" t="s">
        <v>1918</v>
      </c>
      <c r="B1987" t="s">
        <v>458</v>
      </c>
      <c r="C1987" t="s">
        <v>90</v>
      </c>
      <c r="D1987" t="str">
        <f>HYPERLINK("http://service.sap.com/sap/support/notes/645372","645372")</f>
        <v>645372</v>
      </c>
      <c r="F1987" t="s">
        <v>459</v>
      </c>
    </row>
    <row r="1988" spans="1:6">
      <c r="A1988" t="s">
        <v>1918</v>
      </c>
      <c r="B1988" t="s">
        <v>458</v>
      </c>
      <c r="C1988" t="s">
        <v>90</v>
      </c>
      <c r="D1988" t="str">
        <f>HYPERLINK("http://service.sap.com/sap/support/notes/1422765","1422765")</f>
        <v>1422765</v>
      </c>
      <c r="F1988" t="s">
        <v>2198</v>
      </c>
    </row>
    <row r="1989" spans="1:6">
      <c r="A1989" t="s">
        <v>1918</v>
      </c>
      <c r="B1989" t="s">
        <v>458</v>
      </c>
      <c r="C1989" t="s">
        <v>90</v>
      </c>
      <c r="D1989" t="str">
        <f>HYPERLINK("http://service.sap.com/sap/support/notes/1422841","1422841")</f>
        <v>1422841</v>
      </c>
      <c r="F1989" t="s">
        <v>2199</v>
      </c>
    </row>
    <row r="1990" spans="1:6">
      <c r="A1990" t="s">
        <v>1918</v>
      </c>
      <c r="B1990" t="s">
        <v>458</v>
      </c>
      <c r="C1990" t="s">
        <v>90</v>
      </c>
      <c r="D1990" t="str">
        <f>HYPERLINK("http://service.sap.com/sap/support/notes/1423953","1423953")</f>
        <v>1423953</v>
      </c>
      <c r="F1990" t="s">
        <v>2200</v>
      </c>
    </row>
    <row r="1991" spans="1:6">
      <c r="A1991" t="s">
        <v>1918</v>
      </c>
      <c r="B1991" t="s">
        <v>458</v>
      </c>
      <c r="C1991" t="s">
        <v>90</v>
      </c>
      <c r="D1991" t="str">
        <f>HYPERLINK("http://service.sap.com/sap/support/notes/1423954","1423954")</f>
        <v>1423954</v>
      </c>
      <c r="F1991" t="s">
        <v>2201</v>
      </c>
    </row>
    <row r="1992" spans="1:6">
      <c r="A1992" t="s">
        <v>1918</v>
      </c>
      <c r="B1992" t="s">
        <v>458</v>
      </c>
      <c r="C1992" t="s">
        <v>90</v>
      </c>
      <c r="D1992" t="str">
        <f>HYPERLINK("http://service.sap.com/sap/support/notes/1425137","1425137")</f>
        <v>1425137</v>
      </c>
      <c r="F1992" t="s">
        <v>2202</v>
      </c>
    </row>
    <row r="1993" spans="1:6">
      <c r="A1993" t="s">
        <v>1918</v>
      </c>
      <c r="B1993" t="s">
        <v>458</v>
      </c>
      <c r="C1993" t="s">
        <v>90</v>
      </c>
      <c r="D1993" t="str">
        <f>HYPERLINK("http://service.sap.com/sap/support/notes/1427000","1427000")</f>
        <v>1427000</v>
      </c>
      <c r="F1993" t="s">
        <v>2203</v>
      </c>
    </row>
    <row r="1994" spans="1:6">
      <c r="A1994" t="s">
        <v>1918</v>
      </c>
      <c r="B1994" t="s">
        <v>458</v>
      </c>
      <c r="C1994" t="s">
        <v>90</v>
      </c>
      <c r="D1994" t="str">
        <f>HYPERLINK("http://service.sap.com/sap/support/notes/1429443","1429443")</f>
        <v>1429443</v>
      </c>
      <c r="F1994" t="s">
        <v>2204</v>
      </c>
    </row>
    <row r="1995" spans="1:6">
      <c r="A1995" t="s">
        <v>1918</v>
      </c>
      <c r="B1995" t="s">
        <v>458</v>
      </c>
      <c r="C1995" t="s">
        <v>90</v>
      </c>
      <c r="D1995" t="str">
        <f>HYPERLINK("http://service.sap.com/sap/support/notes/1429538","1429538")</f>
        <v>1429538</v>
      </c>
      <c r="F1995" t="s">
        <v>2205</v>
      </c>
    </row>
    <row r="1996" spans="1:6">
      <c r="A1996" t="s">
        <v>1918</v>
      </c>
      <c r="B1996" t="s">
        <v>463</v>
      </c>
      <c r="C1996" t="s">
        <v>93</v>
      </c>
      <c r="D1996" t="str">
        <f>HYPERLINK("http://service.sap.com/sap/support/notes/1423423","1423423")</f>
        <v>1423423</v>
      </c>
      <c r="F1996" t="s">
        <v>2206</v>
      </c>
    </row>
    <row r="1997" spans="1:6">
      <c r="A1997" t="s">
        <v>1918</v>
      </c>
      <c r="B1997" t="s">
        <v>463</v>
      </c>
      <c r="C1997" t="s">
        <v>93</v>
      </c>
      <c r="D1997" t="str">
        <f>HYPERLINK("http://service.sap.com/sap/support/notes/1424844","1424844")</f>
        <v>1424844</v>
      </c>
      <c r="F1997" t="s">
        <v>2207</v>
      </c>
    </row>
    <row r="1998" spans="1:6">
      <c r="A1998" t="s">
        <v>1918</v>
      </c>
      <c r="B1998" t="s">
        <v>463</v>
      </c>
      <c r="C1998" t="s">
        <v>93</v>
      </c>
      <c r="D1998" t="str">
        <f>HYPERLINK("http://service.sap.com/sap/support/notes/1425061","1425061")</f>
        <v>1425061</v>
      </c>
      <c r="F1998" t="s">
        <v>2208</v>
      </c>
    </row>
    <row r="1999" spans="1:6">
      <c r="A1999" t="s">
        <v>1918</v>
      </c>
      <c r="B1999" t="s">
        <v>463</v>
      </c>
      <c r="C1999" t="s">
        <v>93</v>
      </c>
      <c r="D1999" t="str">
        <f>HYPERLINK("http://service.sap.com/sap/support/notes/1425554","1425554")</f>
        <v>1425554</v>
      </c>
      <c r="F1999" t="s">
        <v>2209</v>
      </c>
    </row>
    <row r="2000" spans="1:6">
      <c r="A2000" t="s">
        <v>1918</v>
      </c>
      <c r="B2000" t="s">
        <v>463</v>
      </c>
      <c r="C2000" t="s">
        <v>93</v>
      </c>
      <c r="D2000" t="str">
        <f>HYPERLINK("http://service.sap.com/sap/support/notes/1425697","1425697")</f>
        <v>1425697</v>
      </c>
      <c r="F2000" t="s">
        <v>2210</v>
      </c>
    </row>
    <row r="2001" spans="1:6">
      <c r="A2001" t="s">
        <v>1918</v>
      </c>
      <c r="B2001" t="s">
        <v>463</v>
      </c>
      <c r="C2001" t="s">
        <v>93</v>
      </c>
      <c r="D2001" t="str">
        <f>HYPERLINK("http://service.sap.com/sap/support/notes/1425825","1425825")</f>
        <v>1425825</v>
      </c>
      <c r="F2001" t="s">
        <v>2211</v>
      </c>
    </row>
    <row r="2002" spans="1:6">
      <c r="A2002" t="s">
        <v>1918</v>
      </c>
      <c r="B2002" t="s">
        <v>463</v>
      </c>
      <c r="C2002" t="s">
        <v>93</v>
      </c>
      <c r="D2002" t="str">
        <f>HYPERLINK("http://service.sap.com/sap/support/notes/1426314","1426314")</f>
        <v>1426314</v>
      </c>
      <c r="F2002" t="s">
        <v>2212</v>
      </c>
    </row>
    <row r="2003" spans="1:6">
      <c r="A2003" t="s">
        <v>1918</v>
      </c>
      <c r="B2003" t="s">
        <v>463</v>
      </c>
      <c r="C2003" t="s">
        <v>93</v>
      </c>
      <c r="D2003" t="str">
        <f>HYPERLINK("http://service.sap.com/sap/support/notes/1426375","1426375")</f>
        <v>1426375</v>
      </c>
      <c r="F2003" t="s">
        <v>2213</v>
      </c>
    </row>
    <row r="2004" spans="1:6">
      <c r="A2004" t="s">
        <v>1918</v>
      </c>
      <c r="B2004" t="s">
        <v>463</v>
      </c>
      <c r="C2004" t="s">
        <v>93</v>
      </c>
      <c r="D2004" t="str">
        <f>HYPERLINK("http://service.sap.com/sap/support/notes/1429081","1429081")</f>
        <v>1429081</v>
      </c>
      <c r="F2004" t="s">
        <v>2214</v>
      </c>
    </row>
    <row r="2005" spans="1:6">
      <c r="A2005" t="s">
        <v>1918</v>
      </c>
      <c r="B2005" t="s">
        <v>463</v>
      </c>
      <c r="C2005" t="s">
        <v>93</v>
      </c>
      <c r="D2005" t="str">
        <f>HYPERLINK("http://service.sap.com/sap/support/notes/1429202","1429202")</f>
        <v>1429202</v>
      </c>
      <c r="F2005" t="s">
        <v>2215</v>
      </c>
    </row>
    <row r="2006" spans="1:6">
      <c r="A2006" t="s">
        <v>1918</v>
      </c>
      <c r="B2006" t="s">
        <v>475</v>
      </c>
      <c r="C2006" t="s">
        <v>476</v>
      </c>
      <c r="D2006" t="str">
        <f>HYPERLINK("http://service.sap.com/sap/support/notes/1374311","1374311")</f>
        <v>1374311</v>
      </c>
      <c r="F2006" t="s">
        <v>477</v>
      </c>
    </row>
    <row r="2007" spans="1:6">
      <c r="A2007" t="s">
        <v>1918</v>
      </c>
      <c r="B2007" t="s">
        <v>475</v>
      </c>
      <c r="C2007" t="s">
        <v>476</v>
      </c>
      <c r="D2007" t="str">
        <f>HYPERLINK("http://service.sap.com/sap/support/notes/1423199","1423199")</f>
        <v>1423199</v>
      </c>
      <c r="F2007" t="s">
        <v>2216</v>
      </c>
    </row>
    <row r="2008" spans="1:6">
      <c r="A2008" t="s">
        <v>1918</v>
      </c>
      <c r="B2008" t="s">
        <v>475</v>
      </c>
      <c r="C2008" t="s">
        <v>476</v>
      </c>
      <c r="D2008" t="str">
        <f>HYPERLINK("http://service.sap.com/sap/support/notes/1424111","1424111")</f>
        <v>1424111</v>
      </c>
      <c r="F2008" t="s">
        <v>2217</v>
      </c>
    </row>
    <row r="2009" spans="1:6">
      <c r="A2009" t="s">
        <v>1918</v>
      </c>
      <c r="B2009" t="s">
        <v>475</v>
      </c>
      <c r="C2009" t="s">
        <v>476</v>
      </c>
      <c r="D2009" t="str">
        <f>HYPERLINK("http://service.sap.com/sap/support/notes/1424558","1424558")</f>
        <v>1424558</v>
      </c>
      <c r="F2009" t="s">
        <v>2218</v>
      </c>
    </row>
    <row r="2010" spans="1:6">
      <c r="A2010" t="s">
        <v>1918</v>
      </c>
      <c r="B2010" t="s">
        <v>475</v>
      </c>
      <c r="C2010" t="s">
        <v>476</v>
      </c>
      <c r="D2010" t="str">
        <f>HYPERLINK("http://service.sap.com/sap/support/notes/1425446","1425446")</f>
        <v>1425446</v>
      </c>
      <c r="F2010" t="s">
        <v>2219</v>
      </c>
    </row>
    <row r="2011" spans="1:6">
      <c r="A2011" t="s">
        <v>1918</v>
      </c>
      <c r="B2011" t="s">
        <v>475</v>
      </c>
      <c r="C2011" t="s">
        <v>476</v>
      </c>
      <c r="D2011" t="str">
        <f>HYPERLINK("http://service.sap.com/sap/support/notes/1426873","1426873")</f>
        <v>1426873</v>
      </c>
      <c r="F2011" t="s">
        <v>2220</v>
      </c>
    </row>
    <row r="2012" spans="1:6">
      <c r="A2012" t="s">
        <v>1918</v>
      </c>
      <c r="B2012" t="s">
        <v>1272</v>
      </c>
      <c r="C2012" t="s">
        <v>2221</v>
      </c>
      <c r="D2012" t="str">
        <f>HYPERLINK("http://service.sap.com/sap/support/notes/1409111","1409111")</f>
        <v>1409111</v>
      </c>
      <c r="F2012" t="s">
        <v>2222</v>
      </c>
    </row>
    <row r="2013" spans="1:6">
      <c r="A2013" t="s">
        <v>1918</v>
      </c>
      <c r="B2013" t="s">
        <v>479</v>
      </c>
      <c r="C2013" t="s">
        <v>480</v>
      </c>
      <c r="D2013" t="str">
        <f>HYPERLINK("http://service.sap.com/sap/support/notes/1379268","1379268")</f>
        <v>1379268</v>
      </c>
      <c r="F2013" t="s">
        <v>1277</v>
      </c>
    </row>
    <row r="2014" spans="1:6">
      <c r="A2014" t="s">
        <v>1918</v>
      </c>
      <c r="B2014" t="s">
        <v>479</v>
      </c>
      <c r="C2014" t="s">
        <v>480</v>
      </c>
      <c r="D2014" t="str">
        <f>HYPERLINK("http://service.sap.com/sap/support/notes/1387130","1387130")</f>
        <v>1387130</v>
      </c>
      <c r="F2014" t="s">
        <v>481</v>
      </c>
    </row>
    <row r="2015" spans="1:6">
      <c r="A2015" t="s">
        <v>1918</v>
      </c>
      <c r="B2015" t="s">
        <v>479</v>
      </c>
      <c r="C2015" t="s">
        <v>480</v>
      </c>
      <c r="D2015" t="str">
        <f>HYPERLINK("http://service.sap.com/sap/support/notes/1411561","1411561")</f>
        <v>1411561</v>
      </c>
      <c r="F2015" t="s">
        <v>2223</v>
      </c>
    </row>
    <row r="2016" spans="1:6">
      <c r="A2016" t="s">
        <v>1918</v>
      </c>
      <c r="B2016" t="s">
        <v>479</v>
      </c>
      <c r="C2016" t="s">
        <v>480</v>
      </c>
      <c r="D2016" t="str">
        <f>HYPERLINK("http://service.sap.com/sap/support/notes/1413585","1413585")</f>
        <v>1413585</v>
      </c>
      <c r="F2016" t="s">
        <v>2224</v>
      </c>
    </row>
    <row r="2017" spans="1:6">
      <c r="A2017" t="s">
        <v>1918</v>
      </c>
      <c r="B2017" t="s">
        <v>482</v>
      </c>
      <c r="C2017" t="s">
        <v>483</v>
      </c>
      <c r="D2017" t="str">
        <f>HYPERLINK("http://service.sap.com/sap/support/notes/808408","808408")</f>
        <v>808408</v>
      </c>
      <c r="F2017" t="s">
        <v>1857</v>
      </c>
    </row>
    <row r="2018" spans="1:6">
      <c r="A2018" t="s">
        <v>1918</v>
      </c>
      <c r="B2018" t="s">
        <v>482</v>
      </c>
      <c r="C2018" t="s">
        <v>483</v>
      </c>
      <c r="D2018" t="str">
        <f>HYPERLINK("http://service.sap.com/sap/support/notes/1421397","1421397")</f>
        <v>1421397</v>
      </c>
      <c r="F2018" t="s">
        <v>2225</v>
      </c>
    </row>
    <row r="2019" spans="1:6">
      <c r="A2019" t="s">
        <v>1918</v>
      </c>
      <c r="B2019" t="s">
        <v>482</v>
      </c>
      <c r="C2019" t="s">
        <v>483</v>
      </c>
      <c r="D2019" t="str">
        <f>HYPERLINK("http://service.sap.com/sap/support/notes/1423210","1423210")</f>
        <v>1423210</v>
      </c>
      <c r="F2019" t="s">
        <v>2226</v>
      </c>
    </row>
    <row r="2020" spans="1:6">
      <c r="A2020" t="s">
        <v>1918</v>
      </c>
      <c r="B2020" t="s">
        <v>2227</v>
      </c>
      <c r="C2020" t="s">
        <v>2228</v>
      </c>
      <c r="D2020" t="str">
        <f>HYPERLINK("http://service.sap.com/sap/support/notes/1402211","1402211")</f>
        <v>1402211</v>
      </c>
      <c r="F2020" t="s">
        <v>2229</v>
      </c>
    </row>
    <row r="2021" spans="1:6">
      <c r="A2021" t="s">
        <v>1918</v>
      </c>
      <c r="B2021" t="s">
        <v>485</v>
      </c>
      <c r="C2021" t="s">
        <v>486</v>
      </c>
      <c r="D2021" t="str">
        <f>HYPERLINK("http://service.sap.com/sap/support/notes/1369949","1369949")</f>
        <v>1369949</v>
      </c>
      <c r="F2021" t="s">
        <v>2230</v>
      </c>
    </row>
    <row r="2022" spans="1:6">
      <c r="A2022" t="s">
        <v>1918</v>
      </c>
      <c r="B2022" t="s">
        <v>485</v>
      </c>
      <c r="C2022" t="s">
        <v>486</v>
      </c>
      <c r="D2022" t="str">
        <f>HYPERLINK("http://service.sap.com/sap/support/notes/1374387","1374387")</f>
        <v>1374387</v>
      </c>
      <c r="F2022" t="s">
        <v>2231</v>
      </c>
    </row>
    <row r="2023" spans="1:6">
      <c r="A2023" t="s">
        <v>1918</v>
      </c>
      <c r="B2023" t="s">
        <v>485</v>
      </c>
      <c r="C2023" t="s">
        <v>486</v>
      </c>
      <c r="D2023" t="str">
        <f>HYPERLINK("http://service.sap.com/sap/support/notes/1409915","1409915")</f>
        <v>1409915</v>
      </c>
      <c r="F2023" t="s">
        <v>2232</v>
      </c>
    </row>
    <row r="2024" spans="1:6">
      <c r="A2024" t="s">
        <v>1918</v>
      </c>
      <c r="B2024" t="s">
        <v>485</v>
      </c>
      <c r="C2024" t="s">
        <v>486</v>
      </c>
      <c r="D2024" t="str">
        <f>HYPERLINK("http://service.sap.com/sap/support/notes/1428171","1428171")</f>
        <v>1428171</v>
      </c>
      <c r="F2024" t="s">
        <v>2233</v>
      </c>
    </row>
    <row r="2025" spans="1:6">
      <c r="A2025" t="s">
        <v>1918</v>
      </c>
      <c r="B2025" t="s">
        <v>492</v>
      </c>
      <c r="C2025" t="s">
        <v>493</v>
      </c>
      <c r="D2025" t="str">
        <f>HYPERLINK("http://service.sap.com/sap/support/notes/1364499","1364499")</f>
        <v>1364499</v>
      </c>
      <c r="F2025" t="s">
        <v>494</v>
      </c>
    </row>
    <row r="2026" spans="1:6">
      <c r="A2026" t="s">
        <v>1918</v>
      </c>
      <c r="B2026" t="s">
        <v>492</v>
      </c>
      <c r="C2026" t="s">
        <v>493</v>
      </c>
      <c r="D2026" t="str">
        <f>HYPERLINK("http://service.sap.com/sap/support/notes/1400292","1400292")</f>
        <v>1400292</v>
      </c>
      <c r="F2026" t="s">
        <v>1287</v>
      </c>
    </row>
    <row r="2027" spans="1:6">
      <c r="A2027" t="s">
        <v>1918</v>
      </c>
      <c r="B2027" t="s">
        <v>492</v>
      </c>
      <c r="C2027" t="s">
        <v>493</v>
      </c>
      <c r="D2027" t="str">
        <f>HYPERLINK("http://service.sap.com/sap/support/notes/1426479","1426479")</f>
        <v>1426479</v>
      </c>
      <c r="F2027" t="s">
        <v>2234</v>
      </c>
    </row>
    <row r="2028" spans="1:6">
      <c r="A2028" t="s">
        <v>1918</v>
      </c>
      <c r="B2028" t="s">
        <v>492</v>
      </c>
      <c r="C2028" t="s">
        <v>493</v>
      </c>
      <c r="D2028" t="str">
        <f>HYPERLINK("http://service.sap.com/sap/support/notes/1427312","1427312")</f>
        <v>1427312</v>
      </c>
      <c r="F2028" t="s">
        <v>2235</v>
      </c>
    </row>
    <row r="2029" spans="1:6">
      <c r="A2029" t="s">
        <v>1918</v>
      </c>
      <c r="B2029" t="s">
        <v>500</v>
      </c>
      <c r="C2029" t="s">
        <v>501</v>
      </c>
      <c r="D2029" t="str">
        <f>HYPERLINK("http://service.sap.com/sap/support/notes/1174708","1174708")</f>
        <v>1174708</v>
      </c>
      <c r="F2029" t="s">
        <v>502</v>
      </c>
    </row>
    <row r="2030" spans="1:6">
      <c r="A2030" t="s">
        <v>1918</v>
      </c>
      <c r="B2030" t="s">
        <v>500</v>
      </c>
      <c r="C2030" t="s">
        <v>501</v>
      </c>
      <c r="D2030" t="str">
        <f>HYPERLINK("http://service.sap.com/sap/support/notes/1423211","1423211")</f>
        <v>1423211</v>
      </c>
      <c r="F2030" t="s">
        <v>2236</v>
      </c>
    </row>
    <row r="2031" spans="1:6">
      <c r="A2031" t="s">
        <v>1918</v>
      </c>
      <c r="B2031" t="s">
        <v>500</v>
      </c>
      <c r="C2031" t="s">
        <v>501</v>
      </c>
      <c r="D2031" t="str">
        <f>HYPERLINK("http://service.sap.com/sap/support/notes/1424580","1424580")</f>
        <v>1424580</v>
      </c>
      <c r="F2031" t="s">
        <v>2237</v>
      </c>
    </row>
    <row r="2032" spans="1:6">
      <c r="A2032" t="s">
        <v>1918</v>
      </c>
      <c r="B2032" t="s">
        <v>500</v>
      </c>
      <c r="C2032" t="s">
        <v>501</v>
      </c>
      <c r="D2032" t="str">
        <f>HYPERLINK("http://service.sap.com/sap/support/notes/1426812","1426812")</f>
        <v>1426812</v>
      </c>
      <c r="F2032" t="s">
        <v>2238</v>
      </c>
    </row>
    <row r="2033" spans="1:6">
      <c r="A2033" t="s">
        <v>1918</v>
      </c>
      <c r="B2033" t="s">
        <v>500</v>
      </c>
      <c r="C2033" t="s">
        <v>501</v>
      </c>
      <c r="D2033" t="str">
        <f>HYPERLINK("http://service.sap.com/sap/support/notes/1429119","1429119")</f>
        <v>1429119</v>
      </c>
      <c r="F2033" t="s">
        <v>2239</v>
      </c>
    </row>
    <row r="2034" spans="1:6">
      <c r="A2034" t="s">
        <v>1918</v>
      </c>
      <c r="B2034" t="s">
        <v>500</v>
      </c>
      <c r="C2034" t="s">
        <v>501</v>
      </c>
      <c r="D2034" t="str">
        <f>HYPERLINK("http://service.sap.com/sap/support/notes/1429610","1429610")</f>
        <v>1429610</v>
      </c>
      <c r="F2034" t="s">
        <v>2240</v>
      </c>
    </row>
    <row r="2035" spans="1:6">
      <c r="A2035" t="s">
        <v>1918</v>
      </c>
      <c r="B2035" t="s">
        <v>504</v>
      </c>
      <c r="C2035" t="s">
        <v>110</v>
      </c>
      <c r="D2035" t="str">
        <f>HYPERLINK("http://service.sap.com/sap/support/notes/1414441","1414441")</f>
        <v>1414441</v>
      </c>
      <c r="F2035" t="s">
        <v>2241</v>
      </c>
    </row>
    <row r="2036" spans="1:6">
      <c r="A2036" t="s">
        <v>1918</v>
      </c>
      <c r="B2036" t="s">
        <v>504</v>
      </c>
      <c r="C2036" t="s">
        <v>110</v>
      </c>
      <c r="D2036" t="str">
        <f>HYPERLINK("http://service.sap.com/sap/support/notes/1421728","1421728")</f>
        <v>1421728</v>
      </c>
      <c r="F2036" t="s">
        <v>2242</v>
      </c>
    </row>
    <row r="2037" spans="1:6">
      <c r="A2037" t="s">
        <v>1918</v>
      </c>
      <c r="B2037" t="s">
        <v>510</v>
      </c>
      <c r="C2037" t="s">
        <v>114</v>
      </c>
      <c r="D2037" t="str">
        <f>HYPERLINK("http://service.sap.com/sap/support/notes/1425936","1425936")</f>
        <v>1425936</v>
      </c>
      <c r="F2037" t="s">
        <v>1902</v>
      </c>
    </row>
    <row r="2038" spans="1:6">
      <c r="A2038" t="s">
        <v>1918</v>
      </c>
      <c r="B2038" t="s">
        <v>510</v>
      </c>
      <c r="C2038" t="s">
        <v>114</v>
      </c>
      <c r="D2038" t="str">
        <f>HYPERLINK("http://service.sap.com/sap/support/notes/1427346","1427346")</f>
        <v>1427346</v>
      </c>
      <c r="F2038" t="s">
        <v>2243</v>
      </c>
    </row>
    <row r="2039" spans="1:6">
      <c r="A2039" t="s">
        <v>1918</v>
      </c>
      <c r="B2039" t="s">
        <v>510</v>
      </c>
      <c r="C2039" t="s">
        <v>114</v>
      </c>
      <c r="D2039" t="str">
        <f>HYPERLINK("http://service.sap.com/sap/support/notes/1429576","1429576")</f>
        <v>1429576</v>
      </c>
      <c r="F2039" t="s">
        <v>2244</v>
      </c>
    </row>
    <row r="2040" spans="1:6">
      <c r="A2040" t="s">
        <v>1918</v>
      </c>
      <c r="B2040" t="s">
        <v>513</v>
      </c>
      <c r="C2040" t="s">
        <v>514</v>
      </c>
      <c r="D2040" t="str">
        <f>HYPERLINK("http://service.sap.com/sap/support/notes/1424571","1424571")</f>
        <v>1424571</v>
      </c>
      <c r="F2040" t="s">
        <v>2245</v>
      </c>
    </row>
    <row r="2041" spans="1:6">
      <c r="A2041" t="s">
        <v>1918</v>
      </c>
      <c r="B2041" t="s">
        <v>513</v>
      </c>
      <c r="C2041" t="s">
        <v>514</v>
      </c>
      <c r="D2041" t="str">
        <f>HYPERLINK("http://service.sap.com/sap/support/notes/1427389","1427389")</f>
        <v>1427389</v>
      </c>
      <c r="F2041" t="s">
        <v>2246</v>
      </c>
    </row>
    <row r="2042" spans="1:6">
      <c r="A2042" t="s">
        <v>1918</v>
      </c>
      <c r="B2042" t="s">
        <v>519</v>
      </c>
      <c r="C2042" t="s">
        <v>117</v>
      </c>
      <c r="D2042" t="str">
        <f>HYPERLINK("http://service.sap.com/sap/support/notes/1330638","1330638")</f>
        <v>1330638</v>
      </c>
      <c r="F2042" t="s">
        <v>2247</v>
      </c>
    </row>
    <row r="2043" spans="1:6">
      <c r="A2043" t="s">
        <v>1918</v>
      </c>
      <c r="B2043" t="s">
        <v>519</v>
      </c>
      <c r="C2043" t="s">
        <v>117</v>
      </c>
      <c r="D2043" t="str">
        <f>HYPERLINK("http://service.sap.com/sap/support/notes/1420663","1420663")</f>
        <v>1420663</v>
      </c>
      <c r="F2043" t="s">
        <v>2248</v>
      </c>
    </row>
    <row r="2044" spans="1:6">
      <c r="A2044" t="s">
        <v>1918</v>
      </c>
      <c r="B2044" t="s">
        <v>529</v>
      </c>
      <c r="C2044" t="s">
        <v>530</v>
      </c>
      <c r="D2044" t="str">
        <f>HYPERLINK("http://service.sap.com/sap/support/notes/1075039","1075039")</f>
        <v>1075039</v>
      </c>
      <c r="F2044" t="s">
        <v>531</v>
      </c>
    </row>
    <row r="2045" spans="1:6">
      <c r="A2045" t="s">
        <v>1918</v>
      </c>
      <c r="B2045" t="s">
        <v>529</v>
      </c>
      <c r="C2045" t="s">
        <v>530</v>
      </c>
      <c r="D2045" t="str">
        <f>HYPERLINK("http://service.sap.com/sap/support/notes/1421621","1421621")</f>
        <v>1421621</v>
      </c>
      <c r="F2045" t="s">
        <v>2249</v>
      </c>
    </row>
    <row r="2046" spans="1:6">
      <c r="A2046" t="s">
        <v>1918</v>
      </c>
      <c r="B2046" t="s">
        <v>529</v>
      </c>
      <c r="C2046" t="s">
        <v>530</v>
      </c>
      <c r="D2046" t="str">
        <f>HYPERLINK("http://service.sap.com/sap/support/notes/1424763","1424763")</f>
        <v>1424763</v>
      </c>
      <c r="F2046" t="s">
        <v>2250</v>
      </c>
    </row>
    <row r="2047" spans="1:6">
      <c r="A2047" t="s">
        <v>1918</v>
      </c>
      <c r="B2047" t="s">
        <v>529</v>
      </c>
      <c r="C2047" t="s">
        <v>530</v>
      </c>
      <c r="D2047" t="str">
        <f>HYPERLINK("http://service.sap.com/sap/support/notes/1425411","1425411")</f>
        <v>1425411</v>
      </c>
      <c r="F2047" t="s">
        <v>2251</v>
      </c>
    </row>
    <row r="2048" spans="1:6">
      <c r="A2048" t="s">
        <v>1918</v>
      </c>
      <c r="B2048" t="s">
        <v>529</v>
      </c>
      <c r="C2048" t="s">
        <v>530</v>
      </c>
      <c r="D2048" t="str">
        <f>HYPERLINK("http://service.sap.com/sap/support/notes/1425908","1425908")</f>
        <v>1425908</v>
      </c>
      <c r="F2048" t="s">
        <v>2252</v>
      </c>
    </row>
    <row r="2049" spans="1:6">
      <c r="A2049" t="s">
        <v>1918</v>
      </c>
      <c r="B2049" t="s">
        <v>529</v>
      </c>
      <c r="C2049" t="s">
        <v>530</v>
      </c>
      <c r="D2049" t="str">
        <f>HYPERLINK("http://service.sap.com/sap/support/notes/1427453","1427453")</f>
        <v>1427453</v>
      </c>
      <c r="F2049" t="s">
        <v>2253</v>
      </c>
    </row>
    <row r="2050" spans="1:6">
      <c r="A2050" t="s">
        <v>1918</v>
      </c>
      <c r="B2050" t="s">
        <v>533</v>
      </c>
      <c r="C2050" t="s">
        <v>534</v>
      </c>
      <c r="D2050" t="str">
        <f>HYPERLINK("http://service.sap.com/sap/support/notes/1409008","1409008")</f>
        <v>1409008</v>
      </c>
      <c r="F2050" t="s">
        <v>2254</v>
      </c>
    </row>
    <row r="2051" spans="1:6">
      <c r="A2051" t="s">
        <v>1918</v>
      </c>
      <c r="B2051" t="s">
        <v>533</v>
      </c>
      <c r="C2051" t="s">
        <v>534</v>
      </c>
      <c r="D2051" t="str">
        <f>HYPERLINK("http://service.sap.com/sap/support/notes/1418902","1418902")</f>
        <v>1418902</v>
      </c>
      <c r="F2051" t="s">
        <v>1909</v>
      </c>
    </row>
    <row r="2052" spans="1:6">
      <c r="A2052" t="s">
        <v>1918</v>
      </c>
      <c r="B2052" t="s">
        <v>537</v>
      </c>
      <c r="C2052" t="s">
        <v>538</v>
      </c>
      <c r="D2052" t="str">
        <f>HYPERLINK("http://service.sap.com/sap/support/notes/1351282","1351282")</f>
        <v>1351282</v>
      </c>
      <c r="F2052" t="s">
        <v>2255</v>
      </c>
    </row>
    <row r="2053" spans="1:6">
      <c r="A2053" t="s">
        <v>1918</v>
      </c>
      <c r="B2053" t="s">
        <v>541</v>
      </c>
      <c r="C2053" t="s">
        <v>542</v>
      </c>
      <c r="D2053" t="str">
        <f>HYPERLINK("http://service.sap.com/sap/support/notes/1410616","1410616")</f>
        <v>1410616</v>
      </c>
      <c r="F2053" t="s">
        <v>1912</v>
      </c>
    </row>
    <row r="2054" spans="1:6">
      <c r="A2054" t="s">
        <v>1918</v>
      </c>
      <c r="B2054" t="s">
        <v>544</v>
      </c>
      <c r="C2054" t="s">
        <v>545</v>
      </c>
      <c r="D2054" t="str">
        <f>HYPERLINK("http://service.sap.com/sap/support/notes/1391367","1391367")</f>
        <v>1391367</v>
      </c>
      <c r="F2054" t="s">
        <v>546</v>
      </c>
    </row>
    <row r="2055" spans="1:6">
      <c r="A2055" t="s">
        <v>1918</v>
      </c>
      <c r="B2055" t="s">
        <v>1914</v>
      </c>
      <c r="C2055" t="s">
        <v>1915</v>
      </c>
      <c r="D2055" t="str">
        <f>HYPERLINK("http://service.sap.com/sap/support/notes/1323847","1323847")</f>
        <v>1323847</v>
      </c>
      <c r="F2055" t="s">
        <v>2256</v>
      </c>
    </row>
    <row r="2056" spans="1:6">
      <c r="A2056" t="s">
        <v>1918</v>
      </c>
      <c r="B2056" t="s">
        <v>1914</v>
      </c>
      <c r="C2056" t="s">
        <v>1915</v>
      </c>
      <c r="D2056" t="str">
        <f>HYPERLINK("http://service.sap.com/sap/support/notes/1402150","1402150")</f>
        <v>1402150</v>
      </c>
      <c r="F2056" t="s">
        <v>1917</v>
      </c>
    </row>
    <row r="2057" spans="1:6">
      <c r="A2057" t="s">
        <v>2257</v>
      </c>
      <c r="B2057" t="s">
        <v>12</v>
      </c>
      <c r="C2057" t="s">
        <v>13</v>
      </c>
    </row>
    <row r="2058" spans="1:6">
      <c r="A2058" t="s">
        <v>2257</v>
      </c>
      <c r="B2058" t="s">
        <v>14</v>
      </c>
      <c r="C2058" t="s">
        <v>15</v>
      </c>
    </row>
    <row r="2059" spans="1:6">
      <c r="A2059" t="s">
        <v>2257</v>
      </c>
      <c r="B2059" t="s">
        <v>563</v>
      </c>
      <c r="C2059" t="s">
        <v>564</v>
      </c>
      <c r="D2059" t="str">
        <f>HYPERLINK("http://service.sap.com/sap/support/notes/1436300","1436300")</f>
        <v>1436300</v>
      </c>
      <c r="F2059" t="s">
        <v>2258</v>
      </c>
    </row>
    <row r="2060" spans="1:6">
      <c r="A2060" t="s">
        <v>2257</v>
      </c>
      <c r="B2060" t="s">
        <v>563</v>
      </c>
      <c r="C2060" t="s">
        <v>564</v>
      </c>
      <c r="D2060" t="str">
        <f>HYPERLINK("http://service.sap.com/sap/support/notes/1439074","1439074")</f>
        <v>1439074</v>
      </c>
      <c r="F2060" t="s">
        <v>2259</v>
      </c>
    </row>
    <row r="2061" spans="1:6">
      <c r="A2061" t="s">
        <v>2257</v>
      </c>
      <c r="B2061" t="s">
        <v>19</v>
      </c>
      <c r="C2061" t="s">
        <v>20</v>
      </c>
    </row>
    <row r="2062" spans="1:6">
      <c r="A2062" t="s">
        <v>2257</v>
      </c>
      <c r="B2062" t="s">
        <v>21</v>
      </c>
      <c r="C2062" t="s">
        <v>22</v>
      </c>
    </row>
    <row r="2063" spans="1:6">
      <c r="A2063" t="s">
        <v>2257</v>
      </c>
      <c r="B2063" t="s">
        <v>23</v>
      </c>
      <c r="C2063" t="s">
        <v>24</v>
      </c>
    </row>
    <row r="2064" spans="1:6">
      <c r="A2064" t="s">
        <v>2257</v>
      </c>
      <c r="B2064" t="s">
        <v>25</v>
      </c>
      <c r="C2064" t="s">
        <v>26</v>
      </c>
      <c r="D2064" t="str">
        <f>HYPERLINK("http://service.sap.com/sap/support/notes/1431691","1431691")</f>
        <v>1431691</v>
      </c>
      <c r="F2064" t="s">
        <v>2260</v>
      </c>
    </row>
    <row r="2065" spans="1:6">
      <c r="A2065" t="s">
        <v>2257</v>
      </c>
      <c r="B2065" t="s">
        <v>25</v>
      </c>
      <c r="C2065" t="s">
        <v>26</v>
      </c>
      <c r="D2065" t="str">
        <f>HYPERLINK("http://service.sap.com/sap/support/notes/1433967","1433967")</f>
        <v>1433967</v>
      </c>
      <c r="F2065" t="s">
        <v>2261</v>
      </c>
    </row>
    <row r="2066" spans="1:6">
      <c r="A2066" t="s">
        <v>2257</v>
      </c>
      <c r="B2066" t="s">
        <v>29</v>
      </c>
      <c r="C2066" t="s">
        <v>30</v>
      </c>
    </row>
    <row r="2067" spans="1:6">
      <c r="A2067" t="s">
        <v>2257</v>
      </c>
      <c r="B2067" t="s">
        <v>31</v>
      </c>
      <c r="C2067" t="s">
        <v>32</v>
      </c>
    </row>
    <row r="2068" spans="1:6">
      <c r="A2068" t="s">
        <v>2257</v>
      </c>
      <c r="B2068" t="s">
        <v>33</v>
      </c>
      <c r="C2068" t="s">
        <v>34</v>
      </c>
      <c r="D2068" t="str">
        <f>HYPERLINK("http://service.sap.com/sap/support/notes/1284280","1284280")</f>
        <v>1284280</v>
      </c>
      <c r="F2068" t="s">
        <v>35</v>
      </c>
    </row>
    <row r="2069" spans="1:6">
      <c r="A2069" t="s">
        <v>2257</v>
      </c>
      <c r="B2069" t="s">
        <v>37</v>
      </c>
      <c r="C2069" t="s">
        <v>17</v>
      </c>
    </row>
    <row r="2070" spans="1:6">
      <c r="A2070" t="s">
        <v>2257</v>
      </c>
      <c r="B2070" t="s">
        <v>44</v>
      </c>
      <c r="C2070" t="s">
        <v>45</v>
      </c>
    </row>
    <row r="2071" spans="1:6">
      <c r="A2071" t="s">
        <v>2257</v>
      </c>
      <c r="B2071" t="s">
        <v>49</v>
      </c>
      <c r="C2071" t="s">
        <v>50</v>
      </c>
      <c r="D2071" t="str">
        <f>HYPERLINK("http://service.sap.com/sap/support/notes/1412405","1412405")</f>
        <v>1412405</v>
      </c>
      <c r="F2071" t="s">
        <v>2262</v>
      </c>
    </row>
    <row r="2072" spans="1:6">
      <c r="A2072" t="s">
        <v>2257</v>
      </c>
      <c r="B2072" t="s">
        <v>49</v>
      </c>
      <c r="C2072" t="s">
        <v>50</v>
      </c>
      <c r="D2072" t="str">
        <f>HYPERLINK("http://service.sap.com/sap/support/notes/1430282","1430282")</f>
        <v>1430282</v>
      </c>
      <c r="F2072" t="s">
        <v>2263</v>
      </c>
    </row>
    <row r="2073" spans="1:6">
      <c r="A2073" t="s">
        <v>2257</v>
      </c>
      <c r="B2073" t="s">
        <v>49</v>
      </c>
      <c r="C2073" t="s">
        <v>50</v>
      </c>
      <c r="D2073" t="str">
        <f>HYPERLINK("http://service.sap.com/sap/support/notes/1436744","1436744")</f>
        <v>1436744</v>
      </c>
      <c r="F2073" t="s">
        <v>2264</v>
      </c>
    </row>
    <row r="2074" spans="1:6">
      <c r="A2074" t="s">
        <v>2257</v>
      </c>
      <c r="B2074" t="s">
        <v>49</v>
      </c>
      <c r="C2074" t="s">
        <v>50</v>
      </c>
      <c r="D2074" t="str">
        <f>HYPERLINK("http://service.sap.com/sap/support/notes/1439545","1439545")</f>
        <v>1439545</v>
      </c>
      <c r="F2074" t="s">
        <v>2265</v>
      </c>
    </row>
    <row r="2075" spans="1:6">
      <c r="A2075" t="s">
        <v>2257</v>
      </c>
      <c r="B2075" t="s">
        <v>65</v>
      </c>
      <c r="C2075" t="s">
        <v>66</v>
      </c>
      <c r="D2075" t="str">
        <f>HYPERLINK("http://service.sap.com/sap/support/notes/1431291","1431291")</f>
        <v>1431291</v>
      </c>
      <c r="F2075" t="s">
        <v>2266</v>
      </c>
    </row>
    <row r="2076" spans="1:6">
      <c r="A2076" t="s">
        <v>2257</v>
      </c>
      <c r="B2076" t="s">
        <v>65</v>
      </c>
      <c r="C2076" t="s">
        <v>66</v>
      </c>
      <c r="D2076" t="str">
        <f>HYPERLINK("http://service.sap.com/sap/support/notes/1431384","1431384")</f>
        <v>1431384</v>
      </c>
      <c r="F2076" t="s">
        <v>2267</v>
      </c>
    </row>
    <row r="2077" spans="1:6">
      <c r="A2077" t="s">
        <v>2257</v>
      </c>
      <c r="B2077" t="s">
        <v>68</v>
      </c>
      <c r="C2077" t="s">
        <v>69</v>
      </c>
      <c r="D2077" t="str">
        <f>HYPERLINK("http://service.sap.com/sap/support/notes/1435600","1435600")</f>
        <v>1435600</v>
      </c>
      <c r="F2077" t="s">
        <v>2268</v>
      </c>
    </row>
    <row r="2078" spans="1:6">
      <c r="A2078" t="s">
        <v>2257</v>
      </c>
      <c r="B2078" t="s">
        <v>75</v>
      </c>
      <c r="C2078" t="s">
        <v>76</v>
      </c>
      <c r="D2078" t="str">
        <f>HYPERLINK("http://service.sap.com/sap/support/notes/700094","700094")</f>
        <v>700094</v>
      </c>
      <c r="F2078" t="s">
        <v>77</v>
      </c>
    </row>
    <row r="2079" spans="1:6">
      <c r="A2079" t="s">
        <v>2257</v>
      </c>
      <c r="B2079" t="s">
        <v>75</v>
      </c>
      <c r="C2079" t="s">
        <v>76</v>
      </c>
      <c r="D2079" t="str">
        <f>HYPERLINK("http://service.sap.com/sap/support/notes/1436277","1436277")</f>
        <v>1436277</v>
      </c>
      <c r="F2079" t="s">
        <v>2269</v>
      </c>
    </row>
    <row r="2080" spans="1:6">
      <c r="A2080" t="s">
        <v>2257</v>
      </c>
      <c r="B2080" t="s">
        <v>75</v>
      </c>
      <c r="C2080" t="s">
        <v>76</v>
      </c>
      <c r="D2080" t="str">
        <f>HYPERLINK("http://service.sap.com/sap/support/notes/1439019","1439019")</f>
        <v>1439019</v>
      </c>
      <c r="F2080" t="s">
        <v>2270</v>
      </c>
    </row>
    <row r="2081" spans="1:6">
      <c r="A2081" t="s">
        <v>2257</v>
      </c>
      <c r="B2081" t="s">
        <v>79</v>
      </c>
      <c r="C2081" t="s">
        <v>80</v>
      </c>
      <c r="D2081" t="str">
        <f>HYPERLINK("http://service.sap.com/sap/support/notes/1401526","1401526")</f>
        <v>1401526</v>
      </c>
      <c r="F2081" t="s">
        <v>2271</v>
      </c>
    </row>
    <row r="2082" spans="1:6">
      <c r="A2082" t="s">
        <v>2257</v>
      </c>
      <c r="B2082" t="s">
        <v>79</v>
      </c>
      <c r="C2082" t="s">
        <v>80</v>
      </c>
      <c r="D2082" t="str">
        <f>HYPERLINK("http://service.sap.com/sap/support/notes/1425558","1425558")</f>
        <v>1425558</v>
      </c>
      <c r="F2082" t="s">
        <v>2272</v>
      </c>
    </row>
    <row r="2083" spans="1:6">
      <c r="A2083" t="s">
        <v>2257</v>
      </c>
      <c r="B2083" t="s">
        <v>79</v>
      </c>
      <c r="C2083" t="s">
        <v>80</v>
      </c>
      <c r="D2083" t="str">
        <f>HYPERLINK("http://service.sap.com/sap/support/notes/1428115","1428115")</f>
        <v>1428115</v>
      </c>
      <c r="F2083" t="s">
        <v>2273</v>
      </c>
    </row>
    <row r="2084" spans="1:6">
      <c r="A2084" t="s">
        <v>2257</v>
      </c>
      <c r="B2084" t="s">
        <v>79</v>
      </c>
      <c r="C2084" t="s">
        <v>80</v>
      </c>
      <c r="D2084" t="str">
        <f>HYPERLINK("http://service.sap.com/sap/support/notes/1430295","1430295")</f>
        <v>1430295</v>
      </c>
      <c r="F2084" t="s">
        <v>2274</v>
      </c>
    </row>
    <row r="2085" spans="1:6">
      <c r="A2085" t="s">
        <v>2257</v>
      </c>
      <c r="B2085" t="s">
        <v>79</v>
      </c>
      <c r="C2085" t="s">
        <v>80</v>
      </c>
      <c r="D2085" t="str">
        <f>HYPERLINK("http://service.sap.com/sap/support/notes/1430543","1430543")</f>
        <v>1430543</v>
      </c>
      <c r="F2085" t="s">
        <v>2275</v>
      </c>
    </row>
    <row r="2086" spans="1:6">
      <c r="A2086" t="s">
        <v>2257</v>
      </c>
      <c r="B2086" t="s">
        <v>79</v>
      </c>
      <c r="C2086" t="s">
        <v>80</v>
      </c>
      <c r="D2086" t="str">
        <f>HYPERLINK("http://service.sap.com/sap/support/notes/1434949","1434949")</f>
        <v>1434949</v>
      </c>
      <c r="F2086" t="s">
        <v>2276</v>
      </c>
    </row>
    <row r="2087" spans="1:6">
      <c r="A2087" t="s">
        <v>2257</v>
      </c>
      <c r="B2087" t="s">
        <v>79</v>
      </c>
      <c r="C2087" t="s">
        <v>80</v>
      </c>
      <c r="D2087" t="str">
        <f>HYPERLINK("http://service.sap.com/sap/support/notes/1436440","1436440")</f>
        <v>1436440</v>
      </c>
      <c r="F2087" t="s">
        <v>2277</v>
      </c>
    </row>
    <row r="2088" spans="1:6">
      <c r="A2088" t="s">
        <v>2257</v>
      </c>
      <c r="B2088" t="s">
        <v>79</v>
      </c>
      <c r="C2088" t="s">
        <v>80</v>
      </c>
      <c r="D2088" t="str">
        <f>HYPERLINK("http://service.sap.com/sap/support/notes/1436789","1436789")</f>
        <v>1436789</v>
      </c>
      <c r="F2088" t="s">
        <v>2278</v>
      </c>
    </row>
    <row r="2089" spans="1:6">
      <c r="A2089" t="s">
        <v>2257</v>
      </c>
      <c r="B2089" t="s">
        <v>79</v>
      </c>
      <c r="C2089" t="s">
        <v>80</v>
      </c>
      <c r="D2089" t="str">
        <f>HYPERLINK("http://service.sap.com/sap/support/notes/1436922","1436922")</f>
        <v>1436922</v>
      </c>
      <c r="F2089" t="s">
        <v>2279</v>
      </c>
    </row>
    <row r="2090" spans="1:6">
      <c r="A2090" t="s">
        <v>2257</v>
      </c>
      <c r="B2090" t="s">
        <v>79</v>
      </c>
      <c r="C2090" t="s">
        <v>80</v>
      </c>
      <c r="D2090" t="str">
        <f>HYPERLINK("http://service.sap.com/sap/support/notes/1437447","1437447")</f>
        <v>1437447</v>
      </c>
      <c r="F2090" t="s">
        <v>2280</v>
      </c>
    </row>
    <row r="2091" spans="1:6">
      <c r="A2091" t="s">
        <v>2257</v>
      </c>
      <c r="B2091" t="s">
        <v>79</v>
      </c>
      <c r="C2091" t="s">
        <v>80</v>
      </c>
      <c r="D2091" t="str">
        <f>HYPERLINK("http://service.sap.com/sap/support/notes/1437871","1437871")</f>
        <v>1437871</v>
      </c>
      <c r="F2091" t="s">
        <v>2281</v>
      </c>
    </row>
    <row r="2092" spans="1:6">
      <c r="A2092" t="s">
        <v>2257</v>
      </c>
      <c r="B2092" t="s">
        <v>662</v>
      </c>
      <c r="C2092" t="s">
        <v>411</v>
      </c>
      <c r="D2092" t="str">
        <f>HYPERLINK("http://service.sap.com/sap/support/notes/1246386","1246386")</f>
        <v>1246386</v>
      </c>
      <c r="F2092" t="s">
        <v>2282</v>
      </c>
    </row>
    <row r="2093" spans="1:6">
      <c r="A2093" t="s">
        <v>2257</v>
      </c>
      <c r="B2093" t="s">
        <v>665</v>
      </c>
      <c r="C2093" t="s">
        <v>425</v>
      </c>
      <c r="D2093" t="str">
        <f>HYPERLINK("http://service.sap.com/sap/support/notes/448307","448307")</f>
        <v>448307</v>
      </c>
      <c r="F2093" t="s">
        <v>666</v>
      </c>
    </row>
    <row r="2094" spans="1:6">
      <c r="A2094" t="s">
        <v>2257</v>
      </c>
      <c r="B2094" t="s">
        <v>667</v>
      </c>
      <c r="C2094" t="s">
        <v>442</v>
      </c>
      <c r="D2094" t="str">
        <f>HYPERLINK("http://service.sap.com/sap/support/notes/1317045","1317045")</f>
        <v>1317045</v>
      </c>
      <c r="F2094" t="s">
        <v>2283</v>
      </c>
    </row>
    <row r="2095" spans="1:6">
      <c r="A2095" t="s">
        <v>2257</v>
      </c>
      <c r="B2095" t="s">
        <v>667</v>
      </c>
      <c r="C2095" t="s">
        <v>442</v>
      </c>
      <c r="D2095" t="str">
        <f>HYPERLINK("http://service.sap.com/sap/support/notes/1430395","1430395")</f>
        <v>1430395</v>
      </c>
      <c r="F2095" t="s">
        <v>2284</v>
      </c>
    </row>
    <row r="2096" spans="1:6">
      <c r="A2096" t="s">
        <v>2257</v>
      </c>
      <c r="B2096" t="s">
        <v>667</v>
      </c>
      <c r="C2096" t="s">
        <v>442</v>
      </c>
      <c r="D2096" t="str">
        <f>HYPERLINK("http://service.sap.com/sap/support/notes/1432320","1432320")</f>
        <v>1432320</v>
      </c>
      <c r="F2096" t="s">
        <v>2285</v>
      </c>
    </row>
    <row r="2097" spans="1:6">
      <c r="A2097" t="s">
        <v>2257</v>
      </c>
      <c r="B2097" t="s">
        <v>667</v>
      </c>
      <c r="C2097" t="s">
        <v>442</v>
      </c>
      <c r="D2097" t="str">
        <f>HYPERLINK("http://service.sap.com/sap/support/notes/1432389","1432389")</f>
        <v>1432389</v>
      </c>
      <c r="F2097" t="s">
        <v>2286</v>
      </c>
    </row>
    <row r="2098" spans="1:6">
      <c r="A2098" t="s">
        <v>2257</v>
      </c>
      <c r="B2098" t="s">
        <v>667</v>
      </c>
      <c r="C2098" t="s">
        <v>442</v>
      </c>
      <c r="D2098" t="str">
        <f>HYPERLINK("http://service.sap.com/sap/support/notes/1435585","1435585")</f>
        <v>1435585</v>
      </c>
      <c r="F2098" t="s">
        <v>2287</v>
      </c>
    </row>
    <row r="2099" spans="1:6">
      <c r="A2099" t="s">
        <v>2257</v>
      </c>
      <c r="B2099" t="s">
        <v>667</v>
      </c>
      <c r="C2099" t="s">
        <v>442</v>
      </c>
      <c r="D2099" t="str">
        <f>HYPERLINK("http://service.sap.com/sap/support/notes/1435706","1435706")</f>
        <v>1435706</v>
      </c>
      <c r="F2099" t="s">
        <v>2288</v>
      </c>
    </row>
    <row r="2100" spans="1:6">
      <c r="A2100" t="s">
        <v>2257</v>
      </c>
      <c r="B2100" t="s">
        <v>86</v>
      </c>
      <c r="C2100" t="s">
        <v>87</v>
      </c>
      <c r="D2100" t="str">
        <f>HYPERLINK("http://service.sap.com/sap/support/notes/1433430","1433430")</f>
        <v>1433430</v>
      </c>
      <c r="F2100" t="s">
        <v>2289</v>
      </c>
    </row>
    <row r="2101" spans="1:6">
      <c r="A2101" t="s">
        <v>2257</v>
      </c>
      <c r="B2101" t="s">
        <v>92</v>
      </c>
      <c r="C2101" t="s">
        <v>93</v>
      </c>
      <c r="D2101" t="str">
        <f>HYPERLINK("http://service.sap.com/sap/support/notes/1429958","1429958")</f>
        <v>1429958</v>
      </c>
      <c r="F2101" t="s">
        <v>2290</v>
      </c>
    </row>
    <row r="2102" spans="1:6">
      <c r="A2102" t="s">
        <v>2257</v>
      </c>
      <c r="B2102" t="s">
        <v>92</v>
      </c>
      <c r="C2102" t="s">
        <v>93</v>
      </c>
      <c r="D2102" t="str">
        <f>HYPERLINK("http://service.sap.com/sap/support/notes/1433130","1433130")</f>
        <v>1433130</v>
      </c>
      <c r="F2102" t="s">
        <v>2291</v>
      </c>
    </row>
    <row r="2103" spans="1:6">
      <c r="A2103" t="s">
        <v>2257</v>
      </c>
      <c r="B2103" t="s">
        <v>92</v>
      </c>
      <c r="C2103" t="s">
        <v>93</v>
      </c>
      <c r="D2103" t="str">
        <f>HYPERLINK("http://service.sap.com/sap/support/notes/1435177","1435177")</f>
        <v>1435177</v>
      </c>
      <c r="F2103" t="s">
        <v>2292</v>
      </c>
    </row>
    <row r="2104" spans="1:6">
      <c r="A2104" t="s">
        <v>2257</v>
      </c>
      <c r="B2104" t="s">
        <v>1506</v>
      </c>
      <c r="C2104" t="s">
        <v>476</v>
      </c>
      <c r="D2104" t="str">
        <f>HYPERLINK("http://service.sap.com/sap/support/notes/1413794","1413794")</f>
        <v>1413794</v>
      </c>
      <c r="F2104" t="s">
        <v>2293</v>
      </c>
    </row>
    <row r="2105" spans="1:6">
      <c r="A2105" t="s">
        <v>2257</v>
      </c>
      <c r="B2105" t="s">
        <v>99</v>
      </c>
      <c r="C2105" t="s">
        <v>100</v>
      </c>
      <c r="D2105" t="str">
        <f>HYPERLINK("http://service.sap.com/sap/support/notes/1116407","1116407")</f>
        <v>1116407</v>
      </c>
      <c r="F2105" t="s">
        <v>685</v>
      </c>
    </row>
    <row r="2106" spans="1:6">
      <c r="A2106" t="s">
        <v>2257</v>
      </c>
      <c r="B2106" t="s">
        <v>99</v>
      </c>
      <c r="C2106" t="s">
        <v>100</v>
      </c>
      <c r="D2106" t="str">
        <f>HYPERLINK("http://service.sap.com/sap/support/notes/1428904","1428904")</f>
        <v>1428904</v>
      </c>
      <c r="F2106" t="s">
        <v>2294</v>
      </c>
    </row>
    <row r="2107" spans="1:6">
      <c r="A2107" t="s">
        <v>2257</v>
      </c>
      <c r="B2107" t="s">
        <v>99</v>
      </c>
      <c r="C2107" t="s">
        <v>100</v>
      </c>
      <c r="D2107" t="str">
        <f>HYPERLINK("http://service.sap.com/sap/support/notes/1432668","1432668")</f>
        <v>1432668</v>
      </c>
      <c r="F2107" t="s">
        <v>2295</v>
      </c>
    </row>
    <row r="2108" spans="1:6">
      <c r="A2108" t="s">
        <v>2257</v>
      </c>
      <c r="B2108" t="s">
        <v>99</v>
      </c>
      <c r="C2108" t="s">
        <v>100</v>
      </c>
      <c r="D2108" t="str">
        <f>HYPERLINK("http://service.sap.com/sap/support/notes/1433532","1433532")</f>
        <v>1433532</v>
      </c>
      <c r="F2108" t="s">
        <v>2296</v>
      </c>
    </row>
    <row r="2109" spans="1:6">
      <c r="A2109" t="s">
        <v>2257</v>
      </c>
      <c r="B2109" t="s">
        <v>99</v>
      </c>
      <c r="C2109" t="s">
        <v>100</v>
      </c>
      <c r="D2109" t="str">
        <f>HYPERLINK("http://service.sap.com/sap/support/notes/1434735","1434735")</f>
        <v>1434735</v>
      </c>
      <c r="F2109" t="s">
        <v>2297</v>
      </c>
    </row>
    <row r="2110" spans="1:6">
      <c r="A2110" t="s">
        <v>2257</v>
      </c>
      <c r="B2110" t="s">
        <v>99</v>
      </c>
      <c r="C2110" t="s">
        <v>100</v>
      </c>
      <c r="D2110" t="str">
        <f>HYPERLINK("http://service.sap.com/sap/support/notes/1435633","1435633")</f>
        <v>1435633</v>
      </c>
      <c r="F2110" t="s">
        <v>2298</v>
      </c>
    </row>
    <row r="2111" spans="1:6">
      <c r="A2111" t="s">
        <v>2257</v>
      </c>
      <c r="B2111" t="s">
        <v>99</v>
      </c>
      <c r="C2111" t="s">
        <v>100</v>
      </c>
      <c r="D2111" t="str">
        <f>HYPERLINK("http://service.sap.com/sap/support/notes/1436681","1436681")</f>
        <v>1436681</v>
      </c>
      <c r="F2111" t="s">
        <v>2299</v>
      </c>
    </row>
    <row r="2112" spans="1:6">
      <c r="A2112" t="s">
        <v>2257</v>
      </c>
      <c r="B2112" t="s">
        <v>99</v>
      </c>
      <c r="C2112" t="s">
        <v>100</v>
      </c>
      <c r="D2112" t="str">
        <f>HYPERLINK("http://service.sap.com/sap/support/notes/1437888","1437888")</f>
        <v>1437888</v>
      </c>
      <c r="F2112" t="s">
        <v>2300</v>
      </c>
    </row>
    <row r="2113" spans="1:6">
      <c r="A2113" t="s">
        <v>2257</v>
      </c>
      <c r="B2113" t="s">
        <v>99</v>
      </c>
      <c r="C2113" t="s">
        <v>100</v>
      </c>
      <c r="D2113" t="str">
        <f>HYPERLINK("http://service.sap.com/sap/support/notes/1438883","1438883")</f>
        <v>1438883</v>
      </c>
      <c r="F2113" t="s">
        <v>2301</v>
      </c>
    </row>
    <row r="2114" spans="1:6">
      <c r="A2114" t="s">
        <v>2257</v>
      </c>
      <c r="B2114" t="s">
        <v>99</v>
      </c>
      <c r="C2114" t="s">
        <v>100</v>
      </c>
      <c r="D2114" t="str">
        <f>HYPERLINK("http://service.sap.com/sap/support/notes/1439935","1439935")</f>
        <v>1439935</v>
      </c>
      <c r="F2114" t="s">
        <v>2302</v>
      </c>
    </row>
    <row r="2115" spans="1:6">
      <c r="A2115" t="s">
        <v>2257</v>
      </c>
      <c r="B2115" t="s">
        <v>116</v>
      </c>
      <c r="C2115" t="s">
        <v>117</v>
      </c>
      <c r="D2115" t="str">
        <f>HYPERLINK("http://service.sap.com/sap/support/notes/1323816","1323816")</f>
        <v>1323816</v>
      </c>
      <c r="F2115" t="s">
        <v>2303</v>
      </c>
    </row>
    <row r="2116" spans="1:6">
      <c r="A2116" t="s">
        <v>2257</v>
      </c>
      <c r="B2116" t="s">
        <v>116</v>
      </c>
      <c r="C2116" t="s">
        <v>117</v>
      </c>
      <c r="D2116" t="str">
        <f>HYPERLINK("http://service.sap.com/sap/support/notes/1393845","1393845")</f>
        <v>1393845</v>
      </c>
      <c r="F2116" t="s">
        <v>2304</v>
      </c>
    </row>
    <row r="2117" spans="1:6">
      <c r="A2117" t="s">
        <v>2257</v>
      </c>
      <c r="B2117" t="s">
        <v>116</v>
      </c>
      <c r="C2117" t="s">
        <v>117</v>
      </c>
      <c r="D2117" t="str">
        <f>HYPERLINK("http://service.sap.com/sap/support/notes/1432895","1432895")</f>
        <v>1432895</v>
      </c>
      <c r="F2117" t="s">
        <v>2305</v>
      </c>
    </row>
    <row r="2118" spans="1:6">
      <c r="A2118" t="s">
        <v>2257</v>
      </c>
      <c r="B2118" t="s">
        <v>2306</v>
      </c>
      <c r="C2118" t="s">
        <v>1915</v>
      </c>
    </row>
    <row r="2119" spans="1:6">
      <c r="A2119" t="s">
        <v>2257</v>
      </c>
      <c r="B2119" t="s">
        <v>2307</v>
      </c>
      <c r="C2119" t="s">
        <v>2308</v>
      </c>
      <c r="D2119" t="str">
        <f>HYPERLINK("http://service.sap.com/sap/support/notes/1412735","1412735")</f>
        <v>1412735</v>
      </c>
      <c r="F2119" t="s">
        <v>2309</v>
      </c>
    </row>
    <row r="2120" spans="1:6">
      <c r="A2120" t="s">
        <v>2257</v>
      </c>
      <c r="B2120" t="s">
        <v>128</v>
      </c>
      <c r="C2120" t="s">
        <v>129</v>
      </c>
    </row>
    <row r="2121" spans="1:6">
      <c r="A2121" t="s">
        <v>2257</v>
      </c>
      <c r="B2121" t="s">
        <v>130</v>
      </c>
      <c r="C2121" t="s">
        <v>131</v>
      </c>
      <c r="D2121" t="str">
        <f>HYPERLINK("http://service.sap.com/sap/support/notes/1424847","1424847")</f>
        <v>1424847</v>
      </c>
      <c r="F2121" t="s">
        <v>2310</v>
      </c>
    </row>
    <row r="2122" spans="1:6">
      <c r="A2122" t="s">
        <v>2257</v>
      </c>
      <c r="B2122" t="s">
        <v>130</v>
      </c>
      <c r="C2122" t="s">
        <v>131</v>
      </c>
      <c r="D2122" t="str">
        <f>HYPERLINK("http://service.sap.com/sap/support/notes/1428954","1428954")</f>
        <v>1428954</v>
      </c>
      <c r="F2122" t="s">
        <v>2311</v>
      </c>
    </row>
    <row r="2123" spans="1:6">
      <c r="A2123" t="s">
        <v>2257</v>
      </c>
      <c r="B2123" t="s">
        <v>130</v>
      </c>
      <c r="C2123" t="s">
        <v>131</v>
      </c>
      <c r="D2123" t="str">
        <f>HYPERLINK("http://service.sap.com/sap/support/notes/1430504","1430504")</f>
        <v>1430504</v>
      </c>
      <c r="F2123" t="s">
        <v>2312</v>
      </c>
    </row>
    <row r="2124" spans="1:6">
      <c r="A2124" t="s">
        <v>2257</v>
      </c>
      <c r="B2124" t="s">
        <v>134</v>
      </c>
      <c r="C2124" t="s">
        <v>135</v>
      </c>
      <c r="D2124" t="str">
        <f>HYPERLINK("http://service.sap.com/sap/support/notes/1435742","1435742")</f>
        <v>1435742</v>
      </c>
      <c r="F2124" t="s">
        <v>2313</v>
      </c>
    </row>
    <row r="2125" spans="1:6">
      <c r="A2125" t="s">
        <v>2257</v>
      </c>
      <c r="B2125" t="s">
        <v>137</v>
      </c>
      <c r="C2125" t="s">
        <v>138</v>
      </c>
    </row>
    <row r="2126" spans="1:6">
      <c r="A2126" t="s">
        <v>2257</v>
      </c>
      <c r="B2126" t="s">
        <v>1541</v>
      </c>
      <c r="C2126" t="s">
        <v>1542</v>
      </c>
    </row>
    <row r="2127" spans="1:6">
      <c r="A2127" t="s">
        <v>2257</v>
      </c>
      <c r="B2127" t="s">
        <v>2314</v>
      </c>
      <c r="C2127" t="s">
        <v>2315</v>
      </c>
      <c r="D2127" t="str">
        <f>HYPERLINK("http://service.sap.com/sap/support/notes/1431311","1431311")</f>
        <v>1431311</v>
      </c>
      <c r="F2127" t="s">
        <v>2316</v>
      </c>
    </row>
    <row r="2128" spans="1:6">
      <c r="A2128" t="s">
        <v>2257</v>
      </c>
      <c r="B2128" t="s">
        <v>146</v>
      </c>
      <c r="C2128" t="s">
        <v>147</v>
      </c>
    </row>
    <row r="2129" spans="1:6">
      <c r="A2129" t="s">
        <v>2257</v>
      </c>
      <c r="B2129" t="s">
        <v>870</v>
      </c>
      <c r="C2129" t="s">
        <v>2317</v>
      </c>
    </row>
    <row r="2130" spans="1:6">
      <c r="A2130" t="s">
        <v>2257</v>
      </c>
      <c r="B2130" t="s">
        <v>899</v>
      </c>
      <c r="C2130" t="s">
        <v>2318</v>
      </c>
    </row>
    <row r="2131" spans="1:6">
      <c r="A2131" t="s">
        <v>2257</v>
      </c>
      <c r="B2131" t="s">
        <v>2319</v>
      </c>
      <c r="C2131" t="s">
        <v>2320</v>
      </c>
      <c r="D2131" t="str">
        <f>HYPERLINK("http://service.sap.com/sap/support/notes/1423108","1423108")</f>
        <v>1423108</v>
      </c>
      <c r="F2131" t="s">
        <v>2321</v>
      </c>
    </row>
    <row r="2132" spans="1:6">
      <c r="A2132" t="s">
        <v>2257</v>
      </c>
      <c r="B2132" t="s">
        <v>2322</v>
      </c>
      <c r="C2132" t="s">
        <v>2323</v>
      </c>
      <c r="D2132" t="str">
        <f>HYPERLINK("http://service.sap.com/sap/support/notes/1437517","1437517")</f>
        <v>1437517</v>
      </c>
      <c r="F2132" t="s">
        <v>2324</v>
      </c>
    </row>
    <row r="2133" spans="1:6">
      <c r="A2133" t="s">
        <v>2257</v>
      </c>
      <c r="B2133" t="s">
        <v>148</v>
      </c>
      <c r="C2133" t="s">
        <v>149</v>
      </c>
      <c r="D2133" t="str">
        <f>HYPERLINK("http://service.sap.com/sap/support/notes/1427482","1427482")</f>
        <v>1427482</v>
      </c>
      <c r="F2133" t="s">
        <v>1983</v>
      </c>
    </row>
    <row r="2134" spans="1:6">
      <c r="A2134" t="s">
        <v>2257</v>
      </c>
      <c r="B2134" t="s">
        <v>148</v>
      </c>
      <c r="C2134" t="s">
        <v>149</v>
      </c>
      <c r="D2134" t="str">
        <f>HYPERLINK("http://service.sap.com/sap/support/notes/1436420","1436420")</f>
        <v>1436420</v>
      </c>
      <c r="F2134" t="s">
        <v>2325</v>
      </c>
    </row>
    <row r="2135" spans="1:6">
      <c r="A2135" t="s">
        <v>2257</v>
      </c>
      <c r="B2135" t="s">
        <v>158</v>
      </c>
      <c r="C2135" t="s">
        <v>159</v>
      </c>
    </row>
    <row r="2136" spans="1:6">
      <c r="A2136" t="s">
        <v>2257</v>
      </c>
      <c r="B2136" t="s">
        <v>160</v>
      </c>
      <c r="C2136" t="s">
        <v>47</v>
      </c>
      <c r="D2136" t="str">
        <f>HYPERLINK("http://service.sap.com/sap/support/notes/1338117","1338117")</f>
        <v>1338117</v>
      </c>
      <c r="F2136" t="s">
        <v>161</v>
      </c>
    </row>
    <row r="2137" spans="1:6">
      <c r="A2137" t="s">
        <v>2257</v>
      </c>
      <c r="B2137" t="s">
        <v>166</v>
      </c>
      <c r="C2137" t="s">
        <v>50</v>
      </c>
      <c r="D2137" t="str">
        <f>HYPERLINK("http://service.sap.com/sap/support/notes/1343631","1343631")</f>
        <v>1343631</v>
      </c>
      <c r="F2137" t="s">
        <v>927</v>
      </c>
    </row>
    <row r="2138" spans="1:6">
      <c r="A2138" t="s">
        <v>2257</v>
      </c>
      <c r="B2138" t="s">
        <v>166</v>
      </c>
      <c r="C2138" t="s">
        <v>50</v>
      </c>
      <c r="D2138" t="str">
        <f>HYPERLINK("http://service.sap.com/sap/support/notes/1410791","1410791")</f>
        <v>1410791</v>
      </c>
      <c r="F2138" t="s">
        <v>2326</v>
      </c>
    </row>
    <row r="2139" spans="1:6">
      <c r="A2139" t="s">
        <v>2257</v>
      </c>
      <c r="B2139" t="s">
        <v>166</v>
      </c>
      <c r="C2139" t="s">
        <v>50</v>
      </c>
      <c r="D2139" t="str">
        <f>HYPERLINK("http://service.sap.com/sap/support/notes/1430053","1430053")</f>
        <v>1430053</v>
      </c>
      <c r="F2139" t="s">
        <v>2327</v>
      </c>
    </row>
    <row r="2140" spans="1:6">
      <c r="A2140" t="s">
        <v>2257</v>
      </c>
      <c r="B2140" t="s">
        <v>166</v>
      </c>
      <c r="C2140" t="s">
        <v>50</v>
      </c>
      <c r="D2140" t="str">
        <f>HYPERLINK("http://service.sap.com/sap/support/notes/1431613","1431613")</f>
        <v>1431613</v>
      </c>
      <c r="F2140" t="s">
        <v>2328</v>
      </c>
    </row>
    <row r="2141" spans="1:6">
      <c r="A2141" t="s">
        <v>2257</v>
      </c>
      <c r="B2141" t="s">
        <v>166</v>
      </c>
      <c r="C2141" t="s">
        <v>50</v>
      </c>
      <c r="D2141" t="str">
        <f>HYPERLINK("http://service.sap.com/sap/support/notes/1433800","1433800")</f>
        <v>1433800</v>
      </c>
      <c r="F2141" t="s">
        <v>2329</v>
      </c>
    </row>
    <row r="2142" spans="1:6">
      <c r="A2142" t="s">
        <v>2257</v>
      </c>
      <c r="B2142" t="s">
        <v>166</v>
      </c>
      <c r="C2142" t="s">
        <v>50</v>
      </c>
      <c r="D2142" t="str">
        <f>HYPERLINK("http://service.sap.com/sap/support/notes/1435983","1435983")</f>
        <v>1435983</v>
      </c>
      <c r="F2142" t="s">
        <v>2330</v>
      </c>
    </row>
    <row r="2143" spans="1:6">
      <c r="A2143" t="s">
        <v>2257</v>
      </c>
      <c r="B2143" t="s">
        <v>166</v>
      </c>
      <c r="C2143" t="s">
        <v>50</v>
      </c>
      <c r="D2143" t="str">
        <f>HYPERLINK("http://service.sap.com/sap/support/notes/1436226","1436226")</f>
        <v>1436226</v>
      </c>
      <c r="F2143" t="s">
        <v>2331</v>
      </c>
    </row>
    <row r="2144" spans="1:6">
      <c r="A2144" t="s">
        <v>2257</v>
      </c>
      <c r="B2144" t="s">
        <v>166</v>
      </c>
      <c r="C2144" t="s">
        <v>50</v>
      </c>
      <c r="D2144" t="str">
        <f>HYPERLINK("http://service.sap.com/sap/support/notes/1436999","1436999")</f>
        <v>1436999</v>
      </c>
      <c r="F2144" t="s">
        <v>2332</v>
      </c>
    </row>
    <row r="2145" spans="1:6">
      <c r="A2145" t="s">
        <v>2257</v>
      </c>
      <c r="B2145" t="s">
        <v>941</v>
      </c>
      <c r="C2145" t="s">
        <v>189</v>
      </c>
      <c r="D2145" t="str">
        <f>HYPERLINK("http://service.sap.com/sap/support/notes/1431435","1431435")</f>
        <v>1431435</v>
      </c>
      <c r="F2145" t="s">
        <v>2333</v>
      </c>
    </row>
    <row r="2146" spans="1:6">
      <c r="A2146" t="s">
        <v>2257</v>
      </c>
      <c r="B2146" t="s">
        <v>941</v>
      </c>
      <c r="C2146" t="s">
        <v>189</v>
      </c>
      <c r="D2146" t="str">
        <f>HYPERLINK("http://service.sap.com/sap/support/notes/1431834","1431834")</f>
        <v>1431834</v>
      </c>
      <c r="F2146" t="s">
        <v>2334</v>
      </c>
    </row>
    <row r="2147" spans="1:6">
      <c r="A2147" t="s">
        <v>2257</v>
      </c>
      <c r="B2147" t="s">
        <v>941</v>
      </c>
      <c r="C2147" t="s">
        <v>189</v>
      </c>
      <c r="D2147" t="str">
        <f>HYPERLINK("http://service.sap.com/sap/support/notes/1434162","1434162")</f>
        <v>1434162</v>
      </c>
      <c r="F2147" t="s">
        <v>2335</v>
      </c>
    </row>
    <row r="2148" spans="1:6">
      <c r="A2148" t="s">
        <v>2257</v>
      </c>
      <c r="B2148" t="s">
        <v>941</v>
      </c>
      <c r="C2148" t="s">
        <v>189</v>
      </c>
      <c r="D2148" t="str">
        <f>HYPERLINK("http://service.sap.com/sap/support/notes/1434420","1434420")</f>
        <v>1434420</v>
      </c>
      <c r="F2148" t="s">
        <v>2336</v>
      </c>
    </row>
    <row r="2149" spans="1:6">
      <c r="A2149" t="s">
        <v>2257</v>
      </c>
      <c r="B2149" t="s">
        <v>174</v>
      </c>
      <c r="C2149" t="s">
        <v>175</v>
      </c>
      <c r="D2149" t="str">
        <f>HYPERLINK("http://service.sap.com/sap/support/notes/1423984","1423984")</f>
        <v>1423984</v>
      </c>
      <c r="F2149" t="s">
        <v>2337</v>
      </c>
    </row>
    <row r="2150" spans="1:6">
      <c r="A2150" t="s">
        <v>2257</v>
      </c>
      <c r="B2150" t="s">
        <v>174</v>
      </c>
      <c r="C2150" t="s">
        <v>175</v>
      </c>
      <c r="D2150" t="str">
        <f>HYPERLINK("http://service.sap.com/sap/support/notes/1428072","1428072")</f>
        <v>1428072</v>
      </c>
      <c r="F2150" t="s">
        <v>2338</v>
      </c>
    </row>
    <row r="2151" spans="1:6">
      <c r="A2151" t="s">
        <v>2257</v>
      </c>
      <c r="B2151" t="s">
        <v>174</v>
      </c>
      <c r="C2151" t="s">
        <v>175</v>
      </c>
      <c r="D2151" t="str">
        <f>HYPERLINK("http://service.sap.com/sap/support/notes/1428629","1428629")</f>
        <v>1428629</v>
      </c>
      <c r="F2151" t="s">
        <v>2339</v>
      </c>
    </row>
    <row r="2152" spans="1:6">
      <c r="A2152" t="s">
        <v>2257</v>
      </c>
      <c r="B2152" t="s">
        <v>174</v>
      </c>
      <c r="C2152" t="s">
        <v>175</v>
      </c>
      <c r="D2152" t="str">
        <f>HYPERLINK("http://service.sap.com/sap/support/notes/1429543","1429543")</f>
        <v>1429543</v>
      </c>
      <c r="F2152" t="s">
        <v>2340</v>
      </c>
    </row>
    <row r="2153" spans="1:6">
      <c r="A2153" t="s">
        <v>2257</v>
      </c>
      <c r="B2153" t="s">
        <v>174</v>
      </c>
      <c r="C2153" t="s">
        <v>175</v>
      </c>
      <c r="D2153" t="str">
        <f>HYPERLINK("http://service.sap.com/sap/support/notes/1431983","1431983")</f>
        <v>1431983</v>
      </c>
      <c r="F2153" t="s">
        <v>2341</v>
      </c>
    </row>
    <row r="2154" spans="1:6">
      <c r="A2154" t="s">
        <v>2257</v>
      </c>
      <c r="B2154" t="s">
        <v>174</v>
      </c>
      <c r="C2154" t="s">
        <v>175</v>
      </c>
      <c r="D2154" t="str">
        <f>HYPERLINK("http://service.sap.com/sap/support/notes/1434007","1434007")</f>
        <v>1434007</v>
      </c>
      <c r="F2154" t="s">
        <v>2342</v>
      </c>
    </row>
    <row r="2155" spans="1:6">
      <c r="A2155" t="s">
        <v>2257</v>
      </c>
      <c r="B2155" t="s">
        <v>174</v>
      </c>
      <c r="C2155" t="s">
        <v>175</v>
      </c>
      <c r="D2155" t="str">
        <f>HYPERLINK("http://service.sap.com/sap/support/notes/1438840","1438840")</f>
        <v>1438840</v>
      </c>
      <c r="F2155" t="s">
        <v>1579</v>
      </c>
    </row>
    <row r="2156" spans="1:6">
      <c r="A2156" t="s">
        <v>2257</v>
      </c>
      <c r="B2156" t="s">
        <v>174</v>
      </c>
      <c r="C2156" t="s">
        <v>175</v>
      </c>
      <c r="D2156" t="str">
        <f>HYPERLINK("http://service.sap.com/sap/support/notes/1439222","1439222")</f>
        <v>1439222</v>
      </c>
      <c r="F2156" t="s">
        <v>2343</v>
      </c>
    </row>
    <row r="2157" spans="1:6">
      <c r="A2157" t="s">
        <v>2257</v>
      </c>
      <c r="B2157" t="s">
        <v>188</v>
      </c>
      <c r="C2157" t="s">
        <v>189</v>
      </c>
      <c r="D2157" t="str">
        <f>HYPERLINK("http://service.sap.com/sap/support/notes/914201","914201")</f>
        <v>914201</v>
      </c>
      <c r="F2157" t="s">
        <v>176</v>
      </c>
    </row>
    <row r="2158" spans="1:6">
      <c r="A2158" t="s">
        <v>2257</v>
      </c>
      <c r="B2158" t="s">
        <v>188</v>
      </c>
      <c r="C2158" t="s">
        <v>189</v>
      </c>
      <c r="D2158" t="str">
        <f>HYPERLINK("http://service.sap.com/sap/support/notes/1428353","1428353")</f>
        <v>1428353</v>
      </c>
      <c r="F2158" t="s">
        <v>2344</v>
      </c>
    </row>
    <row r="2159" spans="1:6">
      <c r="A2159" t="s">
        <v>2257</v>
      </c>
      <c r="B2159" t="s">
        <v>192</v>
      </c>
      <c r="C2159" t="s">
        <v>60</v>
      </c>
      <c r="D2159" t="str">
        <f>HYPERLINK("http://service.sap.com/sap/support/notes/1332299","1332299")</f>
        <v>1332299</v>
      </c>
      <c r="F2159" t="s">
        <v>2345</v>
      </c>
    </row>
    <row r="2160" spans="1:6">
      <c r="A2160" t="s">
        <v>2257</v>
      </c>
      <c r="B2160" t="s">
        <v>192</v>
      </c>
      <c r="C2160" t="s">
        <v>60</v>
      </c>
      <c r="D2160" t="str">
        <f>HYPERLINK("http://service.sap.com/sap/support/notes/1422611","1422611")</f>
        <v>1422611</v>
      </c>
      <c r="F2160" t="s">
        <v>2346</v>
      </c>
    </row>
    <row r="2161" spans="1:6">
      <c r="A2161" t="s">
        <v>2257</v>
      </c>
      <c r="B2161" t="s">
        <v>192</v>
      </c>
      <c r="C2161" t="s">
        <v>60</v>
      </c>
      <c r="D2161" t="str">
        <f>HYPERLINK("http://service.sap.com/sap/support/notes/1430447","1430447")</f>
        <v>1430447</v>
      </c>
      <c r="F2161" t="s">
        <v>2347</v>
      </c>
    </row>
    <row r="2162" spans="1:6">
      <c r="A2162" t="s">
        <v>2257</v>
      </c>
      <c r="B2162" t="s">
        <v>192</v>
      </c>
      <c r="C2162" t="s">
        <v>60</v>
      </c>
      <c r="D2162" t="str">
        <f>HYPERLINK("http://service.sap.com/sap/support/notes/1430651","1430651")</f>
        <v>1430651</v>
      </c>
      <c r="F2162" t="s">
        <v>2348</v>
      </c>
    </row>
    <row r="2163" spans="1:6">
      <c r="A2163" t="s">
        <v>2257</v>
      </c>
      <c r="B2163" t="s">
        <v>192</v>
      </c>
      <c r="C2163" t="s">
        <v>60</v>
      </c>
      <c r="D2163" t="str">
        <f>HYPERLINK("http://service.sap.com/sap/support/notes/1432260","1432260")</f>
        <v>1432260</v>
      </c>
      <c r="F2163" t="s">
        <v>2349</v>
      </c>
    </row>
    <row r="2164" spans="1:6">
      <c r="A2164" t="s">
        <v>2257</v>
      </c>
      <c r="B2164" t="s">
        <v>192</v>
      </c>
      <c r="C2164" t="s">
        <v>60</v>
      </c>
      <c r="D2164" t="str">
        <f>HYPERLINK("http://service.sap.com/sap/support/notes/1432790","1432790")</f>
        <v>1432790</v>
      </c>
      <c r="F2164" t="s">
        <v>2350</v>
      </c>
    </row>
    <row r="2165" spans="1:6">
      <c r="A2165" t="s">
        <v>2257</v>
      </c>
      <c r="B2165" t="s">
        <v>192</v>
      </c>
      <c r="C2165" t="s">
        <v>60</v>
      </c>
      <c r="D2165" t="str">
        <f>HYPERLINK("http://service.sap.com/sap/support/notes/1433649","1433649")</f>
        <v>1433649</v>
      </c>
      <c r="F2165" t="s">
        <v>2351</v>
      </c>
    </row>
    <row r="2166" spans="1:6">
      <c r="A2166" t="s">
        <v>2257</v>
      </c>
      <c r="B2166" t="s">
        <v>192</v>
      </c>
      <c r="C2166" t="s">
        <v>60</v>
      </c>
      <c r="D2166" t="str">
        <f>HYPERLINK("http://service.sap.com/sap/support/notes/1434130","1434130")</f>
        <v>1434130</v>
      </c>
      <c r="F2166" t="s">
        <v>2352</v>
      </c>
    </row>
    <row r="2167" spans="1:6">
      <c r="A2167" t="s">
        <v>2257</v>
      </c>
      <c r="B2167" t="s">
        <v>192</v>
      </c>
      <c r="C2167" t="s">
        <v>60</v>
      </c>
      <c r="D2167" t="str">
        <f>HYPERLINK("http://service.sap.com/sap/support/notes/1434477","1434477")</f>
        <v>1434477</v>
      </c>
      <c r="F2167" t="s">
        <v>2353</v>
      </c>
    </row>
    <row r="2168" spans="1:6">
      <c r="A2168" t="s">
        <v>2257</v>
      </c>
      <c r="B2168" t="s">
        <v>192</v>
      </c>
      <c r="C2168" t="s">
        <v>60</v>
      </c>
      <c r="D2168" t="str">
        <f>HYPERLINK("http://service.sap.com/sap/support/notes/1434849","1434849")</f>
        <v>1434849</v>
      </c>
      <c r="F2168" t="s">
        <v>2354</v>
      </c>
    </row>
    <row r="2169" spans="1:6">
      <c r="A2169" t="s">
        <v>2257</v>
      </c>
      <c r="B2169" t="s">
        <v>192</v>
      </c>
      <c r="C2169" t="s">
        <v>60</v>
      </c>
      <c r="D2169" t="str">
        <f>HYPERLINK("http://service.sap.com/sap/support/notes/1434927","1434927")</f>
        <v>1434927</v>
      </c>
      <c r="F2169" t="s">
        <v>2355</v>
      </c>
    </row>
    <row r="2170" spans="1:6">
      <c r="A2170" t="s">
        <v>2257</v>
      </c>
      <c r="B2170" t="s">
        <v>192</v>
      </c>
      <c r="C2170" t="s">
        <v>60</v>
      </c>
      <c r="D2170" t="str">
        <f>HYPERLINK("http://service.sap.com/sap/support/notes/1434955","1434955")</f>
        <v>1434955</v>
      </c>
      <c r="F2170" t="s">
        <v>2356</v>
      </c>
    </row>
    <row r="2171" spans="1:6">
      <c r="A2171" t="s">
        <v>2257</v>
      </c>
      <c r="B2171" t="s">
        <v>192</v>
      </c>
      <c r="C2171" t="s">
        <v>60</v>
      </c>
      <c r="D2171" t="str">
        <f>HYPERLINK("http://service.sap.com/sap/support/notes/1435085","1435085")</f>
        <v>1435085</v>
      </c>
      <c r="F2171" t="s">
        <v>2357</v>
      </c>
    </row>
    <row r="2172" spans="1:6">
      <c r="A2172" t="s">
        <v>2257</v>
      </c>
      <c r="B2172" t="s">
        <v>192</v>
      </c>
      <c r="C2172" t="s">
        <v>60</v>
      </c>
      <c r="D2172" t="str">
        <f>HYPERLINK("http://service.sap.com/sap/support/notes/1437429","1437429")</f>
        <v>1437429</v>
      </c>
      <c r="F2172" t="s">
        <v>2358</v>
      </c>
    </row>
    <row r="2173" spans="1:6">
      <c r="A2173" t="s">
        <v>2257</v>
      </c>
      <c r="B2173" t="s">
        <v>192</v>
      </c>
      <c r="C2173" t="s">
        <v>60</v>
      </c>
      <c r="D2173" t="str">
        <f>HYPERLINK("http://service.sap.com/sap/support/notes/1437577","1437577")</f>
        <v>1437577</v>
      </c>
      <c r="F2173" t="s">
        <v>2359</v>
      </c>
    </row>
    <row r="2174" spans="1:6">
      <c r="A2174" t="s">
        <v>2257</v>
      </c>
      <c r="B2174" t="s">
        <v>192</v>
      </c>
      <c r="C2174" t="s">
        <v>60</v>
      </c>
      <c r="D2174" t="str">
        <f>HYPERLINK("http://service.sap.com/sap/support/notes/1440217","1440217")</f>
        <v>1440217</v>
      </c>
      <c r="F2174" t="s">
        <v>2360</v>
      </c>
    </row>
    <row r="2175" spans="1:6">
      <c r="A2175" t="s">
        <v>2257</v>
      </c>
      <c r="B2175" t="s">
        <v>197</v>
      </c>
      <c r="C2175" t="s">
        <v>63</v>
      </c>
      <c r="D2175" t="str">
        <f>HYPERLINK("http://service.sap.com/sap/support/notes/1060819","1060819")</f>
        <v>1060819</v>
      </c>
      <c r="F2175" t="s">
        <v>198</v>
      </c>
    </row>
    <row r="2176" spans="1:6">
      <c r="A2176" t="s">
        <v>2257</v>
      </c>
      <c r="B2176" t="s">
        <v>197</v>
      </c>
      <c r="C2176" t="s">
        <v>63</v>
      </c>
      <c r="D2176" t="str">
        <f>HYPERLINK("http://service.sap.com/sap/support/notes/1224293","1224293")</f>
        <v>1224293</v>
      </c>
      <c r="F2176" t="s">
        <v>2361</v>
      </c>
    </row>
    <row r="2177" spans="1:6">
      <c r="A2177" t="s">
        <v>2257</v>
      </c>
      <c r="B2177" t="s">
        <v>197</v>
      </c>
      <c r="C2177" t="s">
        <v>63</v>
      </c>
      <c r="D2177" t="str">
        <f>HYPERLINK("http://service.sap.com/sap/support/notes/1262125","1262125")</f>
        <v>1262125</v>
      </c>
      <c r="F2177" t="s">
        <v>199</v>
      </c>
    </row>
    <row r="2178" spans="1:6">
      <c r="A2178" t="s">
        <v>2257</v>
      </c>
      <c r="B2178" t="s">
        <v>197</v>
      </c>
      <c r="C2178" t="s">
        <v>63</v>
      </c>
      <c r="D2178" t="str">
        <f>HYPERLINK("http://service.sap.com/sap/support/notes/1422585","1422585")</f>
        <v>1422585</v>
      </c>
      <c r="F2178" t="s">
        <v>2362</v>
      </c>
    </row>
    <row r="2179" spans="1:6">
      <c r="A2179" t="s">
        <v>2257</v>
      </c>
      <c r="B2179" t="s">
        <v>197</v>
      </c>
      <c r="C2179" t="s">
        <v>63</v>
      </c>
      <c r="D2179" t="str">
        <f>HYPERLINK("http://service.sap.com/sap/support/notes/1430756","1430756")</f>
        <v>1430756</v>
      </c>
      <c r="F2179" t="s">
        <v>2363</v>
      </c>
    </row>
    <row r="2180" spans="1:6">
      <c r="A2180" t="s">
        <v>2257</v>
      </c>
      <c r="B2180" t="s">
        <v>197</v>
      </c>
      <c r="C2180" t="s">
        <v>63</v>
      </c>
      <c r="D2180" t="str">
        <f>HYPERLINK("http://service.sap.com/sap/support/notes/1431645","1431645")</f>
        <v>1431645</v>
      </c>
      <c r="F2180" t="s">
        <v>2364</v>
      </c>
    </row>
    <row r="2181" spans="1:6">
      <c r="A2181" t="s">
        <v>2257</v>
      </c>
      <c r="B2181" t="s">
        <v>204</v>
      </c>
      <c r="C2181" t="s">
        <v>205</v>
      </c>
    </row>
    <row r="2182" spans="1:6">
      <c r="A2182" t="s">
        <v>2257</v>
      </c>
      <c r="B2182" t="s">
        <v>207</v>
      </c>
      <c r="C2182" t="s">
        <v>208</v>
      </c>
      <c r="D2182" t="str">
        <f>HYPERLINK("http://service.sap.com/sap/support/notes/1402177","1402177")</f>
        <v>1402177</v>
      </c>
      <c r="F2182" t="s">
        <v>2365</v>
      </c>
    </row>
    <row r="2183" spans="1:6">
      <c r="A2183" t="s">
        <v>2257</v>
      </c>
      <c r="B2183" t="s">
        <v>207</v>
      </c>
      <c r="C2183" t="s">
        <v>208</v>
      </c>
      <c r="D2183" t="str">
        <f>HYPERLINK("http://service.sap.com/sap/support/notes/1426891","1426891")</f>
        <v>1426891</v>
      </c>
      <c r="F2183" t="s">
        <v>2366</v>
      </c>
    </row>
    <row r="2184" spans="1:6">
      <c r="A2184" t="s">
        <v>2257</v>
      </c>
      <c r="B2184" t="s">
        <v>207</v>
      </c>
      <c r="C2184" t="s">
        <v>208</v>
      </c>
      <c r="D2184" t="str">
        <f>HYPERLINK("http://service.sap.com/sap/support/notes/1431883","1431883")</f>
        <v>1431883</v>
      </c>
      <c r="F2184" t="s">
        <v>2367</v>
      </c>
    </row>
    <row r="2185" spans="1:6">
      <c r="A2185" t="s">
        <v>2257</v>
      </c>
      <c r="B2185" t="s">
        <v>207</v>
      </c>
      <c r="C2185" t="s">
        <v>208</v>
      </c>
      <c r="D2185" t="str">
        <f>HYPERLINK("http://service.sap.com/sap/support/notes/1432212","1432212")</f>
        <v>1432212</v>
      </c>
      <c r="F2185" t="s">
        <v>2368</v>
      </c>
    </row>
    <row r="2186" spans="1:6">
      <c r="A2186" t="s">
        <v>2257</v>
      </c>
      <c r="B2186" t="s">
        <v>207</v>
      </c>
      <c r="C2186" t="s">
        <v>208</v>
      </c>
      <c r="D2186" t="str">
        <f>HYPERLINK("http://service.sap.com/sap/support/notes/1432365","1432365")</f>
        <v>1432365</v>
      </c>
      <c r="F2186" t="s">
        <v>2369</v>
      </c>
    </row>
    <row r="2187" spans="1:6">
      <c r="A2187" t="s">
        <v>2257</v>
      </c>
      <c r="B2187" t="s">
        <v>207</v>
      </c>
      <c r="C2187" t="s">
        <v>208</v>
      </c>
      <c r="D2187" t="str">
        <f>HYPERLINK("http://service.sap.com/sap/support/notes/1435044","1435044")</f>
        <v>1435044</v>
      </c>
      <c r="F2187" t="s">
        <v>2370</v>
      </c>
    </row>
    <row r="2188" spans="1:6">
      <c r="A2188" t="s">
        <v>2257</v>
      </c>
      <c r="B2188" t="s">
        <v>211</v>
      </c>
      <c r="C2188" t="s">
        <v>212</v>
      </c>
      <c r="D2188" t="str">
        <f>HYPERLINK("http://service.sap.com/sap/support/notes/1000560","1000560")</f>
        <v>1000560</v>
      </c>
      <c r="F2188" t="s">
        <v>2371</v>
      </c>
    </row>
    <row r="2189" spans="1:6">
      <c r="A2189" t="s">
        <v>2257</v>
      </c>
      <c r="B2189" t="s">
        <v>211</v>
      </c>
      <c r="C2189" t="s">
        <v>212</v>
      </c>
      <c r="D2189" t="str">
        <f>HYPERLINK("http://service.sap.com/sap/support/notes/1419575","1419575")</f>
        <v>1419575</v>
      </c>
      <c r="F2189" t="s">
        <v>2372</v>
      </c>
    </row>
    <row r="2190" spans="1:6">
      <c r="A2190" t="s">
        <v>2257</v>
      </c>
      <c r="B2190" t="s">
        <v>211</v>
      </c>
      <c r="C2190" t="s">
        <v>212</v>
      </c>
      <c r="D2190" t="str">
        <f>HYPERLINK("http://service.sap.com/sap/support/notes/1422043","1422043")</f>
        <v>1422043</v>
      </c>
      <c r="F2190" t="s">
        <v>2373</v>
      </c>
    </row>
    <row r="2191" spans="1:6">
      <c r="A2191" t="s">
        <v>2257</v>
      </c>
      <c r="B2191" t="s">
        <v>211</v>
      </c>
      <c r="C2191" t="s">
        <v>212</v>
      </c>
      <c r="D2191" t="str">
        <f>HYPERLINK("http://service.sap.com/sap/support/notes/1428164","1428164")</f>
        <v>1428164</v>
      </c>
      <c r="F2191" t="s">
        <v>2374</v>
      </c>
    </row>
    <row r="2192" spans="1:6">
      <c r="A2192" t="s">
        <v>2257</v>
      </c>
      <c r="B2192" t="s">
        <v>211</v>
      </c>
      <c r="C2192" t="s">
        <v>212</v>
      </c>
      <c r="D2192" t="str">
        <f>HYPERLINK("http://service.sap.com/sap/support/notes/1428466","1428466")</f>
        <v>1428466</v>
      </c>
      <c r="F2192" t="s">
        <v>2375</v>
      </c>
    </row>
    <row r="2193" spans="1:6">
      <c r="A2193" t="s">
        <v>2257</v>
      </c>
      <c r="B2193" t="s">
        <v>211</v>
      </c>
      <c r="C2193" t="s">
        <v>212</v>
      </c>
      <c r="D2193" t="str">
        <f>HYPERLINK("http://service.sap.com/sap/support/notes/1429199","1429199")</f>
        <v>1429199</v>
      </c>
      <c r="F2193" t="s">
        <v>2376</v>
      </c>
    </row>
    <row r="2194" spans="1:6">
      <c r="A2194" t="s">
        <v>2257</v>
      </c>
      <c r="B2194" t="s">
        <v>211</v>
      </c>
      <c r="C2194" t="s">
        <v>212</v>
      </c>
      <c r="D2194" t="str">
        <f>HYPERLINK("http://service.sap.com/sap/support/notes/1429209","1429209")</f>
        <v>1429209</v>
      </c>
      <c r="F2194" t="s">
        <v>2377</v>
      </c>
    </row>
    <row r="2195" spans="1:6">
      <c r="A2195" t="s">
        <v>2257</v>
      </c>
      <c r="B2195" t="s">
        <v>211</v>
      </c>
      <c r="C2195" t="s">
        <v>212</v>
      </c>
      <c r="D2195" t="str">
        <f>HYPERLINK("http://service.sap.com/sap/support/notes/1430302","1430302")</f>
        <v>1430302</v>
      </c>
      <c r="F2195" t="s">
        <v>2378</v>
      </c>
    </row>
    <row r="2196" spans="1:6">
      <c r="A2196" t="s">
        <v>2257</v>
      </c>
      <c r="B2196" t="s">
        <v>211</v>
      </c>
      <c r="C2196" t="s">
        <v>212</v>
      </c>
      <c r="D2196" t="str">
        <f>HYPERLINK("http://service.sap.com/sap/support/notes/1431412","1431412")</f>
        <v>1431412</v>
      </c>
      <c r="F2196" t="s">
        <v>2379</v>
      </c>
    </row>
    <row r="2197" spans="1:6">
      <c r="A2197" t="s">
        <v>2257</v>
      </c>
      <c r="B2197" t="s">
        <v>211</v>
      </c>
      <c r="C2197" t="s">
        <v>212</v>
      </c>
      <c r="D2197" t="str">
        <f>HYPERLINK("http://service.sap.com/sap/support/notes/1431704","1431704")</f>
        <v>1431704</v>
      </c>
      <c r="F2197" t="s">
        <v>2380</v>
      </c>
    </row>
    <row r="2198" spans="1:6">
      <c r="A2198" t="s">
        <v>2257</v>
      </c>
      <c r="B2198" t="s">
        <v>211</v>
      </c>
      <c r="C2198" t="s">
        <v>212</v>
      </c>
      <c r="D2198" t="str">
        <f>HYPERLINK("http://service.sap.com/sap/support/notes/1432323","1432323")</f>
        <v>1432323</v>
      </c>
      <c r="F2198" t="s">
        <v>2381</v>
      </c>
    </row>
    <row r="2199" spans="1:6">
      <c r="A2199" t="s">
        <v>2257</v>
      </c>
      <c r="B2199" t="s">
        <v>211</v>
      </c>
      <c r="C2199" t="s">
        <v>212</v>
      </c>
      <c r="D2199" t="str">
        <f>HYPERLINK("http://service.sap.com/sap/support/notes/1433651","1433651")</f>
        <v>1433651</v>
      </c>
      <c r="F2199" t="s">
        <v>2382</v>
      </c>
    </row>
    <row r="2200" spans="1:6">
      <c r="A2200" t="s">
        <v>2257</v>
      </c>
      <c r="B2200" t="s">
        <v>211</v>
      </c>
      <c r="C2200" t="s">
        <v>212</v>
      </c>
      <c r="D2200" t="str">
        <f>HYPERLINK("http://service.sap.com/sap/support/notes/1434220","1434220")</f>
        <v>1434220</v>
      </c>
      <c r="F2200" t="s">
        <v>2383</v>
      </c>
    </row>
    <row r="2201" spans="1:6">
      <c r="A2201" t="s">
        <v>2257</v>
      </c>
      <c r="B2201" t="s">
        <v>211</v>
      </c>
      <c r="C2201" t="s">
        <v>212</v>
      </c>
      <c r="D2201" t="str">
        <f>HYPERLINK("http://service.sap.com/sap/support/notes/1434357","1434357")</f>
        <v>1434357</v>
      </c>
      <c r="F2201" t="s">
        <v>2384</v>
      </c>
    </row>
    <row r="2202" spans="1:6">
      <c r="A2202" t="s">
        <v>2257</v>
      </c>
      <c r="B2202" t="s">
        <v>211</v>
      </c>
      <c r="C2202" t="s">
        <v>212</v>
      </c>
      <c r="D2202" t="str">
        <f>HYPERLINK("http://service.sap.com/sap/support/notes/1436353","1436353")</f>
        <v>1436353</v>
      </c>
      <c r="F2202" t="s">
        <v>2385</v>
      </c>
    </row>
    <row r="2203" spans="1:6">
      <c r="A2203" t="s">
        <v>2257</v>
      </c>
      <c r="B2203" t="s">
        <v>211</v>
      </c>
      <c r="C2203" t="s">
        <v>212</v>
      </c>
      <c r="D2203" t="str">
        <f>HYPERLINK("http://service.sap.com/sap/support/notes/1438759","1438759")</f>
        <v>1438759</v>
      </c>
      <c r="F2203" t="s">
        <v>2386</v>
      </c>
    </row>
    <row r="2204" spans="1:6">
      <c r="A2204" t="s">
        <v>2257</v>
      </c>
      <c r="B2204" t="s">
        <v>218</v>
      </c>
      <c r="C2204" t="s">
        <v>219</v>
      </c>
      <c r="D2204" t="str">
        <f>HYPERLINK("http://service.sap.com/sap/support/notes/1399461","1399461")</f>
        <v>1399461</v>
      </c>
      <c r="F2204" t="s">
        <v>222</v>
      </c>
    </row>
    <row r="2205" spans="1:6">
      <c r="A2205" t="s">
        <v>2257</v>
      </c>
      <c r="B2205" t="s">
        <v>218</v>
      </c>
      <c r="C2205" t="s">
        <v>219</v>
      </c>
      <c r="D2205" t="str">
        <f>HYPERLINK("http://service.sap.com/sap/support/notes/1399462","1399462")</f>
        <v>1399462</v>
      </c>
      <c r="F2205" t="s">
        <v>223</v>
      </c>
    </row>
    <row r="2206" spans="1:6">
      <c r="A2206" t="s">
        <v>2257</v>
      </c>
      <c r="B2206" t="s">
        <v>218</v>
      </c>
      <c r="C2206" t="s">
        <v>219</v>
      </c>
      <c r="D2206" t="str">
        <f>HYPERLINK("http://service.sap.com/sap/support/notes/1399533","1399533")</f>
        <v>1399533</v>
      </c>
      <c r="F2206" t="s">
        <v>224</v>
      </c>
    </row>
    <row r="2207" spans="1:6">
      <c r="A2207" t="s">
        <v>2257</v>
      </c>
      <c r="B2207" t="s">
        <v>218</v>
      </c>
      <c r="C2207" t="s">
        <v>219</v>
      </c>
      <c r="D2207" t="str">
        <f>HYPERLINK("http://service.sap.com/sap/support/notes/1434814","1434814")</f>
        <v>1434814</v>
      </c>
      <c r="F2207" t="s">
        <v>2387</v>
      </c>
    </row>
    <row r="2208" spans="1:6">
      <c r="A2208" t="s">
        <v>2257</v>
      </c>
      <c r="B2208" t="s">
        <v>225</v>
      </c>
      <c r="C2208" t="s">
        <v>66</v>
      </c>
      <c r="D2208" t="str">
        <f>HYPERLINK("http://service.sap.com/sap/support/notes/1429452","1429452")</f>
        <v>1429452</v>
      </c>
      <c r="F2208" t="s">
        <v>2388</v>
      </c>
    </row>
    <row r="2209" spans="1:6">
      <c r="A2209" t="s">
        <v>2257</v>
      </c>
      <c r="B2209" t="s">
        <v>225</v>
      </c>
      <c r="C2209" t="s">
        <v>66</v>
      </c>
      <c r="D2209" t="str">
        <f>HYPERLINK("http://service.sap.com/sap/support/notes/1436083","1436083")</f>
        <v>1436083</v>
      </c>
      <c r="F2209" t="s">
        <v>2389</v>
      </c>
    </row>
    <row r="2210" spans="1:6">
      <c r="A2210" t="s">
        <v>2257</v>
      </c>
      <c r="B2210" t="s">
        <v>228</v>
      </c>
      <c r="C2210" t="s">
        <v>69</v>
      </c>
      <c r="D2210" t="str">
        <f>HYPERLINK("http://service.sap.com/sap/support/notes/1426950","1426950")</f>
        <v>1426950</v>
      </c>
      <c r="F2210" t="s">
        <v>2390</v>
      </c>
    </row>
    <row r="2211" spans="1:6">
      <c r="A2211" t="s">
        <v>2257</v>
      </c>
      <c r="B2211" t="s">
        <v>228</v>
      </c>
      <c r="C2211" t="s">
        <v>69</v>
      </c>
      <c r="D2211" t="str">
        <f>HYPERLINK("http://service.sap.com/sap/support/notes/1432434","1432434")</f>
        <v>1432434</v>
      </c>
      <c r="F2211" t="s">
        <v>2391</v>
      </c>
    </row>
    <row r="2212" spans="1:6">
      <c r="A2212" t="s">
        <v>2257</v>
      </c>
      <c r="B2212" t="s">
        <v>1024</v>
      </c>
      <c r="C2212" t="s">
        <v>1458</v>
      </c>
      <c r="D2212" t="str">
        <f>HYPERLINK("http://service.sap.com/sap/support/notes/1432419","1432419")</f>
        <v>1432419</v>
      </c>
      <c r="F2212" t="s">
        <v>2392</v>
      </c>
    </row>
    <row r="2213" spans="1:6">
      <c r="A2213" t="s">
        <v>2257</v>
      </c>
      <c r="B2213" t="s">
        <v>1024</v>
      </c>
      <c r="C2213" t="s">
        <v>1458</v>
      </c>
      <c r="D2213" t="str">
        <f>HYPERLINK("http://service.sap.com/sap/support/notes/1433316","1433316")</f>
        <v>1433316</v>
      </c>
      <c r="F2213" t="s">
        <v>2393</v>
      </c>
    </row>
    <row r="2214" spans="1:6">
      <c r="A2214" t="s">
        <v>2257</v>
      </c>
      <c r="B2214" t="s">
        <v>1024</v>
      </c>
      <c r="C2214" t="s">
        <v>1458</v>
      </c>
      <c r="D2214" t="str">
        <f>HYPERLINK("http://service.sap.com/sap/support/notes/1433628","1433628")</f>
        <v>1433628</v>
      </c>
      <c r="F2214" t="s">
        <v>2394</v>
      </c>
    </row>
    <row r="2215" spans="1:6">
      <c r="A2215" t="s">
        <v>2257</v>
      </c>
      <c r="B2215" t="s">
        <v>1024</v>
      </c>
      <c r="C2215" t="s">
        <v>1458</v>
      </c>
      <c r="D2215" t="str">
        <f>HYPERLINK("http://service.sap.com/sap/support/notes/1435111","1435111")</f>
        <v>1435111</v>
      </c>
      <c r="F2215" t="s">
        <v>2395</v>
      </c>
    </row>
    <row r="2216" spans="1:6">
      <c r="A2216" t="s">
        <v>2257</v>
      </c>
      <c r="B2216" t="s">
        <v>1024</v>
      </c>
      <c r="C2216" t="s">
        <v>1458</v>
      </c>
      <c r="D2216" t="str">
        <f>HYPERLINK("http://service.sap.com/sap/support/notes/1435788","1435788")</f>
        <v>1435788</v>
      </c>
      <c r="F2216" t="s">
        <v>2040</v>
      </c>
    </row>
    <row r="2217" spans="1:6">
      <c r="A2217" t="s">
        <v>2257</v>
      </c>
      <c r="B2217" t="s">
        <v>1024</v>
      </c>
      <c r="C2217" t="s">
        <v>1458</v>
      </c>
      <c r="D2217" t="str">
        <f>HYPERLINK("http://service.sap.com/sap/support/notes/1435790","1435790")</f>
        <v>1435790</v>
      </c>
      <c r="F2217" t="s">
        <v>2396</v>
      </c>
    </row>
    <row r="2218" spans="1:6">
      <c r="A2218" t="s">
        <v>2257</v>
      </c>
      <c r="B2218" t="s">
        <v>1024</v>
      </c>
      <c r="C2218" t="s">
        <v>1458</v>
      </c>
      <c r="D2218" t="str">
        <f>HYPERLINK("http://service.sap.com/sap/support/notes/1437000","1437000")</f>
        <v>1437000</v>
      </c>
      <c r="F2218" t="s">
        <v>2397</v>
      </c>
    </row>
    <row r="2219" spans="1:6">
      <c r="A2219" t="s">
        <v>2257</v>
      </c>
      <c r="B2219" t="s">
        <v>233</v>
      </c>
      <c r="C2219" t="s">
        <v>234</v>
      </c>
    </row>
    <row r="2220" spans="1:6">
      <c r="A2220" t="s">
        <v>2257</v>
      </c>
      <c r="B2220" t="s">
        <v>235</v>
      </c>
      <c r="C2220" t="s">
        <v>236</v>
      </c>
      <c r="D2220" t="str">
        <f>HYPERLINK("http://service.sap.com/sap/support/notes/1418327","1418327")</f>
        <v>1418327</v>
      </c>
      <c r="F2220" t="s">
        <v>2398</v>
      </c>
    </row>
    <row r="2221" spans="1:6">
      <c r="A2221" t="s">
        <v>2257</v>
      </c>
      <c r="B2221" t="s">
        <v>235</v>
      </c>
      <c r="C2221" t="s">
        <v>236</v>
      </c>
      <c r="D2221" t="str">
        <f>HYPERLINK("http://service.sap.com/sap/support/notes/1427629","1427629")</f>
        <v>1427629</v>
      </c>
      <c r="F2221" t="s">
        <v>2399</v>
      </c>
    </row>
    <row r="2222" spans="1:6">
      <c r="A2222" t="s">
        <v>2257</v>
      </c>
      <c r="B2222" t="s">
        <v>235</v>
      </c>
      <c r="C2222" t="s">
        <v>236</v>
      </c>
      <c r="D2222" t="str">
        <f>HYPERLINK("http://service.sap.com/sap/support/notes/1429622","1429622")</f>
        <v>1429622</v>
      </c>
      <c r="F2222" t="s">
        <v>2400</v>
      </c>
    </row>
    <row r="2223" spans="1:6">
      <c r="A2223" t="s">
        <v>2257</v>
      </c>
      <c r="B2223" t="s">
        <v>235</v>
      </c>
      <c r="C2223" t="s">
        <v>236</v>
      </c>
      <c r="D2223" t="str">
        <f>HYPERLINK("http://service.sap.com/sap/support/notes/1432088","1432088")</f>
        <v>1432088</v>
      </c>
      <c r="F2223" t="s">
        <v>2401</v>
      </c>
    </row>
    <row r="2224" spans="1:6">
      <c r="A2224" t="s">
        <v>2257</v>
      </c>
      <c r="B2224" t="s">
        <v>235</v>
      </c>
      <c r="C2224" t="s">
        <v>236</v>
      </c>
      <c r="D2224" t="str">
        <f>HYPERLINK("http://service.sap.com/sap/support/notes/1433347","1433347")</f>
        <v>1433347</v>
      </c>
      <c r="F2224" t="s">
        <v>2402</v>
      </c>
    </row>
    <row r="2225" spans="1:6">
      <c r="A2225" t="s">
        <v>2257</v>
      </c>
      <c r="B2225" t="s">
        <v>235</v>
      </c>
      <c r="C2225" t="s">
        <v>236</v>
      </c>
      <c r="D2225" t="str">
        <f>HYPERLINK("http://service.sap.com/sap/support/notes/1436501","1436501")</f>
        <v>1436501</v>
      </c>
      <c r="F2225" t="s">
        <v>2403</v>
      </c>
    </row>
    <row r="2226" spans="1:6">
      <c r="A2226" t="s">
        <v>2257</v>
      </c>
      <c r="B2226" t="s">
        <v>1460</v>
      </c>
      <c r="C2226" t="s">
        <v>1461</v>
      </c>
      <c r="D2226" t="str">
        <f>HYPERLINK("http://service.sap.com/sap/support/notes/1430225","1430225")</f>
        <v>1430225</v>
      </c>
      <c r="F2226" t="s">
        <v>2404</v>
      </c>
    </row>
    <row r="2227" spans="1:6">
      <c r="A2227" t="s">
        <v>2257</v>
      </c>
      <c r="B2227" t="s">
        <v>1460</v>
      </c>
      <c r="C2227" t="s">
        <v>1461</v>
      </c>
      <c r="D2227" t="str">
        <f>HYPERLINK("http://service.sap.com/sap/support/notes/1433186","1433186")</f>
        <v>1433186</v>
      </c>
      <c r="F2227" t="s">
        <v>2405</v>
      </c>
    </row>
    <row r="2228" spans="1:6">
      <c r="A2228" t="s">
        <v>2257</v>
      </c>
      <c r="B2228" t="s">
        <v>1460</v>
      </c>
      <c r="C2228" t="s">
        <v>1461</v>
      </c>
      <c r="D2228" t="str">
        <f>HYPERLINK("http://service.sap.com/sap/support/notes/1437989","1437989")</f>
        <v>1437989</v>
      </c>
      <c r="F2228" t="s">
        <v>2406</v>
      </c>
    </row>
    <row r="2229" spans="1:6">
      <c r="A2229" t="s">
        <v>2257</v>
      </c>
      <c r="B2229" t="s">
        <v>1044</v>
      </c>
      <c r="C2229" t="s">
        <v>1645</v>
      </c>
      <c r="D2229" t="str">
        <f>HYPERLINK("http://service.sap.com/sap/support/notes/1429995","1429995")</f>
        <v>1429995</v>
      </c>
      <c r="F2229" t="s">
        <v>2407</v>
      </c>
    </row>
    <row r="2230" spans="1:6">
      <c r="A2230" t="s">
        <v>2257</v>
      </c>
      <c r="B2230" t="s">
        <v>1044</v>
      </c>
      <c r="C2230" t="s">
        <v>1645</v>
      </c>
      <c r="D2230" t="str">
        <f>HYPERLINK("http://service.sap.com/sap/support/notes/1432204","1432204")</f>
        <v>1432204</v>
      </c>
      <c r="F2230" t="s">
        <v>2408</v>
      </c>
    </row>
    <row r="2231" spans="1:6">
      <c r="A2231" t="s">
        <v>2257</v>
      </c>
      <c r="B2231" t="s">
        <v>1044</v>
      </c>
      <c r="C2231" t="s">
        <v>1645</v>
      </c>
      <c r="D2231" t="str">
        <f>HYPERLINK("http://service.sap.com/sap/support/notes/1433240","1433240")</f>
        <v>1433240</v>
      </c>
      <c r="F2231" t="s">
        <v>2409</v>
      </c>
    </row>
    <row r="2232" spans="1:6">
      <c r="A2232" t="s">
        <v>2257</v>
      </c>
      <c r="B2232" t="s">
        <v>1044</v>
      </c>
      <c r="C2232" t="s">
        <v>1645</v>
      </c>
      <c r="D2232" t="str">
        <f>HYPERLINK("http://service.sap.com/sap/support/notes/1435828","1435828")</f>
        <v>1435828</v>
      </c>
      <c r="F2232" t="s">
        <v>2410</v>
      </c>
    </row>
    <row r="2233" spans="1:6">
      <c r="A2233" t="s">
        <v>2257</v>
      </c>
      <c r="B2233" t="s">
        <v>238</v>
      </c>
      <c r="C2233" t="s">
        <v>239</v>
      </c>
    </row>
    <row r="2234" spans="1:6">
      <c r="A2234" t="s">
        <v>2257</v>
      </c>
      <c r="B2234" t="s">
        <v>240</v>
      </c>
      <c r="C2234" t="s">
        <v>241</v>
      </c>
      <c r="D2234" t="str">
        <f>HYPERLINK("http://service.sap.com/sap/support/notes/1432823","1432823")</f>
        <v>1432823</v>
      </c>
      <c r="F2234" t="s">
        <v>2411</v>
      </c>
    </row>
    <row r="2235" spans="1:6">
      <c r="A2235" t="s">
        <v>2257</v>
      </c>
      <c r="B2235" t="s">
        <v>240</v>
      </c>
      <c r="C2235" t="s">
        <v>241</v>
      </c>
      <c r="D2235" t="str">
        <f>HYPERLINK("http://service.sap.com/sap/support/notes/1438835","1438835")</f>
        <v>1438835</v>
      </c>
      <c r="F2235" t="s">
        <v>2412</v>
      </c>
    </row>
    <row r="2236" spans="1:6">
      <c r="A2236" t="s">
        <v>2257</v>
      </c>
      <c r="B2236" t="s">
        <v>244</v>
      </c>
      <c r="C2236" t="s">
        <v>245</v>
      </c>
      <c r="D2236" t="str">
        <f>HYPERLINK("http://service.sap.com/sap/support/notes/1428312","1428312")</f>
        <v>1428312</v>
      </c>
      <c r="F2236" t="s">
        <v>2413</v>
      </c>
    </row>
    <row r="2237" spans="1:6">
      <c r="A2237" t="s">
        <v>2257</v>
      </c>
      <c r="B2237" t="s">
        <v>244</v>
      </c>
      <c r="C2237" t="s">
        <v>245</v>
      </c>
      <c r="D2237" t="str">
        <f>HYPERLINK("http://service.sap.com/sap/support/notes/1431681","1431681")</f>
        <v>1431681</v>
      </c>
      <c r="F2237" t="s">
        <v>2414</v>
      </c>
    </row>
    <row r="2238" spans="1:6">
      <c r="A2238" t="s">
        <v>2257</v>
      </c>
      <c r="B2238" t="s">
        <v>244</v>
      </c>
      <c r="C2238" t="s">
        <v>245</v>
      </c>
      <c r="D2238" t="str">
        <f>HYPERLINK("http://service.sap.com/sap/support/notes/1434347","1434347")</f>
        <v>1434347</v>
      </c>
      <c r="F2238" t="s">
        <v>2415</v>
      </c>
    </row>
    <row r="2239" spans="1:6">
      <c r="A2239" t="s">
        <v>2257</v>
      </c>
      <c r="B2239" t="s">
        <v>244</v>
      </c>
      <c r="C2239" t="s">
        <v>245</v>
      </c>
      <c r="D2239" t="str">
        <f>HYPERLINK("http://service.sap.com/sap/support/notes/1434889","1434889")</f>
        <v>1434889</v>
      </c>
      <c r="F2239" t="s">
        <v>2416</v>
      </c>
    </row>
    <row r="2240" spans="1:6">
      <c r="A2240" t="s">
        <v>2257</v>
      </c>
      <c r="B2240" t="s">
        <v>244</v>
      </c>
      <c r="C2240" t="s">
        <v>245</v>
      </c>
      <c r="D2240" t="str">
        <f>HYPERLINK("http://service.sap.com/sap/support/notes/1435204","1435204")</f>
        <v>1435204</v>
      </c>
      <c r="F2240" t="s">
        <v>2417</v>
      </c>
    </row>
    <row r="2241" spans="1:6">
      <c r="A2241" t="s">
        <v>2257</v>
      </c>
      <c r="B2241" t="s">
        <v>254</v>
      </c>
      <c r="C2241" t="s">
        <v>255</v>
      </c>
      <c r="D2241" t="str">
        <f>HYPERLINK("http://service.sap.com/sap/support/notes/1430419","1430419")</f>
        <v>1430419</v>
      </c>
      <c r="F2241" t="s">
        <v>2418</v>
      </c>
    </row>
    <row r="2242" spans="1:6">
      <c r="A2242" t="s">
        <v>2257</v>
      </c>
      <c r="B2242" t="s">
        <v>254</v>
      </c>
      <c r="C2242" t="s">
        <v>255</v>
      </c>
      <c r="D2242" t="str">
        <f>HYPERLINK("http://service.sap.com/sap/support/notes/1430937","1430937")</f>
        <v>1430937</v>
      </c>
      <c r="F2242" t="s">
        <v>2419</v>
      </c>
    </row>
    <row r="2243" spans="1:6">
      <c r="A2243" t="s">
        <v>2257</v>
      </c>
      <c r="B2243" t="s">
        <v>254</v>
      </c>
      <c r="C2243" t="s">
        <v>255</v>
      </c>
      <c r="D2243" t="str">
        <f>HYPERLINK("http://service.sap.com/sap/support/notes/1431355","1431355")</f>
        <v>1431355</v>
      </c>
      <c r="F2243" t="s">
        <v>2420</v>
      </c>
    </row>
    <row r="2244" spans="1:6">
      <c r="A2244" t="s">
        <v>2257</v>
      </c>
      <c r="B2244" t="s">
        <v>254</v>
      </c>
      <c r="C2244" t="s">
        <v>255</v>
      </c>
      <c r="D2244" t="str">
        <f>HYPERLINK("http://service.sap.com/sap/support/notes/1433774","1433774")</f>
        <v>1433774</v>
      </c>
      <c r="F2244" t="s">
        <v>2421</v>
      </c>
    </row>
    <row r="2245" spans="1:6">
      <c r="A2245" t="s">
        <v>2257</v>
      </c>
      <c r="B2245" t="s">
        <v>254</v>
      </c>
      <c r="C2245" t="s">
        <v>255</v>
      </c>
      <c r="D2245" t="str">
        <f>HYPERLINK("http://service.sap.com/sap/support/notes/1433864","1433864")</f>
        <v>1433864</v>
      </c>
      <c r="F2245" t="s">
        <v>2422</v>
      </c>
    </row>
    <row r="2246" spans="1:6">
      <c r="A2246" t="s">
        <v>2257</v>
      </c>
      <c r="B2246" t="s">
        <v>254</v>
      </c>
      <c r="C2246" t="s">
        <v>255</v>
      </c>
      <c r="D2246" t="str">
        <f>HYPERLINK("http://service.sap.com/sap/support/notes/1435168","1435168")</f>
        <v>1435168</v>
      </c>
      <c r="F2246" t="s">
        <v>2423</v>
      </c>
    </row>
    <row r="2247" spans="1:6">
      <c r="A2247" t="s">
        <v>2257</v>
      </c>
      <c r="B2247" t="s">
        <v>254</v>
      </c>
      <c r="C2247" t="s">
        <v>255</v>
      </c>
      <c r="D2247" t="str">
        <f>HYPERLINK("http://service.sap.com/sap/support/notes/1437151","1437151")</f>
        <v>1437151</v>
      </c>
      <c r="F2247" t="s">
        <v>2424</v>
      </c>
    </row>
    <row r="2248" spans="1:6">
      <c r="A2248" t="s">
        <v>2257</v>
      </c>
      <c r="B2248" t="s">
        <v>258</v>
      </c>
      <c r="C2248" t="s">
        <v>189</v>
      </c>
      <c r="D2248" t="str">
        <f>HYPERLINK("http://service.sap.com/sap/support/notes/1424706","1424706")</f>
        <v>1424706</v>
      </c>
      <c r="F2248" t="s">
        <v>2425</v>
      </c>
    </row>
    <row r="2249" spans="1:6">
      <c r="A2249" t="s">
        <v>2257</v>
      </c>
      <c r="B2249" t="s">
        <v>258</v>
      </c>
      <c r="C2249" t="s">
        <v>189</v>
      </c>
      <c r="D2249" t="str">
        <f>HYPERLINK("http://service.sap.com/sap/support/notes/1430023","1430023")</f>
        <v>1430023</v>
      </c>
      <c r="F2249" t="s">
        <v>2426</v>
      </c>
    </row>
    <row r="2250" spans="1:6">
      <c r="A2250" t="s">
        <v>2257</v>
      </c>
      <c r="B2250" t="s">
        <v>258</v>
      </c>
      <c r="C2250" t="s">
        <v>189</v>
      </c>
      <c r="D2250" t="str">
        <f>HYPERLINK("http://service.sap.com/sap/support/notes/1430887","1430887")</f>
        <v>1430887</v>
      </c>
      <c r="F2250" t="s">
        <v>2427</v>
      </c>
    </row>
    <row r="2251" spans="1:6">
      <c r="A2251" t="s">
        <v>2257</v>
      </c>
      <c r="B2251" t="s">
        <v>258</v>
      </c>
      <c r="C2251" t="s">
        <v>189</v>
      </c>
      <c r="D2251" t="str">
        <f>HYPERLINK("http://service.sap.com/sap/support/notes/1432406","1432406")</f>
        <v>1432406</v>
      </c>
      <c r="F2251" t="s">
        <v>2428</v>
      </c>
    </row>
    <row r="2252" spans="1:6">
      <c r="A2252" t="s">
        <v>2257</v>
      </c>
      <c r="B2252" t="s">
        <v>258</v>
      </c>
      <c r="C2252" t="s">
        <v>189</v>
      </c>
      <c r="D2252" t="str">
        <f>HYPERLINK("http://service.sap.com/sap/support/notes/1436196","1436196")</f>
        <v>1436196</v>
      </c>
      <c r="F2252" t="s">
        <v>2429</v>
      </c>
    </row>
    <row r="2253" spans="1:6">
      <c r="A2253" t="s">
        <v>2257</v>
      </c>
      <c r="B2253" t="s">
        <v>258</v>
      </c>
      <c r="C2253" t="s">
        <v>189</v>
      </c>
      <c r="D2253" t="str">
        <f>HYPERLINK("http://service.sap.com/sap/support/notes/1439482","1439482")</f>
        <v>1439482</v>
      </c>
      <c r="F2253" t="s">
        <v>2430</v>
      </c>
    </row>
    <row r="2254" spans="1:6">
      <c r="A2254" t="s">
        <v>2257</v>
      </c>
      <c r="B2254" t="s">
        <v>279</v>
      </c>
      <c r="C2254" t="s">
        <v>280</v>
      </c>
      <c r="D2254" t="str">
        <f>HYPERLINK("http://service.sap.com/sap/support/notes/1420944","1420944")</f>
        <v>1420944</v>
      </c>
      <c r="F2254" t="s">
        <v>2431</v>
      </c>
    </row>
    <row r="2255" spans="1:6">
      <c r="A2255" t="s">
        <v>2257</v>
      </c>
      <c r="B2255" t="s">
        <v>279</v>
      </c>
      <c r="C2255" t="s">
        <v>280</v>
      </c>
      <c r="D2255" t="str">
        <f>HYPERLINK("http://service.sap.com/sap/support/notes/1434021","1434021")</f>
        <v>1434021</v>
      </c>
      <c r="F2255" t="s">
        <v>2432</v>
      </c>
    </row>
    <row r="2256" spans="1:6">
      <c r="A2256" t="s">
        <v>2257</v>
      </c>
      <c r="B2256" t="s">
        <v>279</v>
      </c>
      <c r="C2256" t="s">
        <v>280</v>
      </c>
      <c r="D2256" t="str">
        <f>HYPERLINK("http://service.sap.com/sap/support/notes/1437033","1437033")</f>
        <v>1437033</v>
      </c>
      <c r="F2256" t="s">
        <v>2433</v>
      </c>
    </row>
    <row r="2257" spans="1:6">
      <c r="A2257" t="s">
        <v>2257</v>
      </c>
      <c r="B2257" t="s">
        <v>292</v>
      </c>
      <c r="C2257" t="s">
        <v>293</v>
      </c>
      <c r="D2257" t="str">
        <f>HYPERLINK("http://service.sap.com/sap/support/notes/1428631","1428631")</f>
        <v>1428631</v>
      </c>
      <c r="F2257" t="s">
        <v>2434</v>
      </c>
    </row>
    <row r="2258" spans="1:6">
      <c r="A2258" t="s">
        <v>2257</v>
      </c>
      <c r="B2258" t="s">
        <v>292</v>
      </c>
      <c r="C2258" t="s">
        <v>293</v>
      </c>
      <c r="D2258" t="str">
        <f>HYPERLINK("http://service.sap.com/sap/support/notes/1430178","1430178")</f>
        <v>1430178</v>
      </c>
      <c r="F2258" t="s">
        <v>2435</v>
      </c>
    </row>
    <row r="2259" spans="1:6">
      <c r="A2259" t="s">
        <v>2257</v>
      </c>
      <c r="B2259" t="s">
        <v>292</v>
      </c>
      <c r="C2259" t="s">
        <v>293</v>
      </c>
      <c r="D2259" t="str">
        <f>HYPERLINK("http://service.sap.com/sap/support/notes/1439530","1439530")</f>
        <v>1439530</v>
      </c>
      <c r="F2259" t="s">
        <v>2436</v>
      </c>
    </row>
    <row r="2260" spans="1:6">
      <c r="A2260" t="s">
        <v>2257</v>
      </c>
      <c r="B2260" t="s">
        <v>295</v>
      </c>
      <c r="C2260" t="s">
        <v>208</v>
      </c>
    </row>
    <row r="2261" spans="1:6">
      <c r="A2261" t="s">
        <v>2257</v>
      </c>
      <c r="B2261" t="s">
        <v>296</v>
      </c>
      <c r="C2261" t="s">
        <v>297</v>
      </c>
      <c r="D2261" t="str">
        <f>HYPERLINK("http://service.sap.com/sap/support/notes/1435568","1435568")</f>
        <v>1435568</v>
      </c>
      <c r="F2261" t="s">
        <v>2437</v>
      </c>
    </row>
    <row r="2262" spans="1:6">
      <c r="A2262" t="s">
        <v>2257</v>
      </c>
      <c r="B2262" t="s">
        <v>305</v>
      </c>
      <c r="C2262" t="s">
        <v>306</v>
      </c>
      <c r="D2262" t="str">
        <f>HYPERLINK("http://service.sap.com/sap/support/notes/1400261","1400261")</f>
        <v>1400261</v>
      </c>
      <c r="F2262" t="s">
        <v>2438</v>
      </c>
    </row>
    <row r="2263" spans="1:6">
      <c r="A2263" t="s">
        <v>2257</v>
      </c>
      <c r="B2263" t="s">
        <v>305</v>
      </c>
      <c r="C2263" t="s">
        <v>306</v>
      </c>
      <c r="D2263" t="str">
        <f>HYPERLINK("http://service.sap.com/sap/support/notes/1401092","1401092")</f>
        <v>1401092</v>
      </c>
      <c r="F2263" t="s">
        <v>2439</v>
      </c>
    </row>
    <row r="2264" spans="1:6">
      <c r="A2264" t="s">
        <v>2257</v>
      </c>
      <c r="B2264" t="s">
        <v>305</v>
      </c>
      <c r="C2264" t="s">
        <v>306</v>
      </c>
      <c r="D2264" t="str">
        <f>HYPERLINK("http://service.sap.com/sap/support/notes/1406830","1406830")</f>
        <v>1406830</v>
      </c>
      <c r="F2264" t="s">
        <v>2440</v>
      </c>
    </row>
    <row r="2265" spans="1:6">
      <c r="A2265" t="s">
        <v>2257</v>
      </c>
      <c r="B2265" t="s">
        <v>305</v>
      </c>
      <c r="C2265" t="s">
        <v>306</v>
      </c>
      <c r="D2265" t="str">
        <f>HYPERLINK("http://service.sap.com/sap/support/notes/1421521","1421521")</f>
        <v>1421521</v>
      </c>
      <c r="F2265" t="s">
        <v>2441</v>
      </c>
    </row>
    <row r="2266" spans="1:6">
      <c r="A2266" t="s">
        <v>2257</v>
      </c>
      <c r="B2266" t="s">
        <v>305</v>
      </c>
      <c r="C2266" t="s">
        <v>306</v>
      </c>
      <c r="D2266" t="str">
        <f>HYPERLINK("http://service.sap.com/sap/support/notes/1423429","1423429")</f>
        <v>1423429</v>
      </c>
      <c r="F2266" t="s">
        <v>2442</v>
      </c>
    </row>
    <row r="2267" spans="1:6">
      <c r="A2267" t="s">
        <v>2257</v>
      </c>
      <c r="B2267" t="s">
        <v>305</v>
      </c>
      <c r="C2267" t="s">
        <v>306</v>
      </c>
      <c r="D2267" t="str">
        <f>HYPERLINK("http://service.sap.com/sap/support/notes/1427746","1427746")</f>
        <v>1427746</v>
      </c>
      <c r="F2267" t="s">
        <v>2443</v>
      </c>
    </row>
    <row r="2268" spans="1:6">
      <c r="A2268" t="s">
        <v>2257</v>
      </c>
      <c r="B2268" t="s">
        <v>305</v>
      </c>
      <c r="C2268" t="s">
        <v>306</v>
      </c>
      <c r="D2268" t="str">
        <f>HYPERLINK("http://service.sap.com/sap/support/notes/1428539","1428539")</f>
        <v>1428539</v>
      </c>
      <c r="F2268" t="s">
        <v>2444</v>
      </c>
    </row>
    <row r="2269" spans="1:6">
      <c r="A2269" t="s">
        <v>2257</v>
      </c>
      <c r="B2269" t="s">
        <v>305</v>
      </c>
      <c r="C2269" t="s">
        <v>306</v>
      </c>
      <c r="D2269" t="str">
        <f>HYPERLINK("http://service.sap.com/sap/support/notes/1430112","1430112")</f>
        <v>1430112</v>
      </c>
      <c r="F2269" t="s">
        <v>2445</v>
      </c>
    </row>
    <row r="2270" spans="1:6">
      <c r="A2270" t="s">
        <v>2257</v>
      </c>
      <c r="B2270" t="s">
        <v>305</v>
      </c>
      <c r="C2270" t="s">
        <v>306</v>
      </c>
      <c r="D2270" t="str">
        <f>HYPERLINK("http://service.sap.com/sap/support/notes/1430144","1430144")</f>
        <v>1430144</v>
      </c>
      <c r="F2270" t="s">
        <v>2446</v>
      </c>
    </row>
    <row r="2271" spans="1:6">
      <c r="A2271" t="s">
        <v>2257</v>
      </c>
      <c r="B2271" t="s">
        <v>305</v>
      </c>
      <c r="C2271" t="s">
        <v>306</v>
      </c>
      <c r="D2271" t="str">
        <f>HYPERLINK("http://service.sap.com/sap/support/notes/1430263","1430263")</f>
        <v>1430263</v>
      </c>
      <c r="F2271" t="s">
        <v>2447</v>
      </c>
    </row>
    <row r="2272" spans="1:6">
      <c r="A2272" t="s">
        <v>2257</v>
      </c>
      <c r="B2272" t="s">
        <v>305</v>
      </c>
      <c r="C2272" t="s">
        <v>306</v>
      </c>
      <c r="D2272" t="str">
        <f>HYPERLINK("http://service.sap.com/sap/support/notes/1430325","1430325")</f>
        <v>1430325</v>
      </c>
      <c r="F2272" t="s">
        <v>2448</v>
      </c>
    </row>
    <row r="2273" spans="1:6">
      <c r="A2273" t="s">
        <v>2257</v>
      </c>
      <c r="B2273" t="s">
        <v>305</v>
      </c>
      <c r="C2273" t="s">
        <v>306</v>
      </c>
      <c r="D2273" t="str">
        <f>HYPERLINK("http://service.sap.com/sap/support/notes/1430670","1430670")</f>
        <v>1430670</v>
      </c>
      <c r="F2273" t="s">
        <v>2449</v>
      </c>
    </row>
    <row r="2274" spans="1:6">
      <c r="A2274" t="s">
        <v>2257</v>
      </c>
      <c r="B2274" t="s">
        <v>305</v>
      </c>
      <c r="C2274" t="s">
        <v>306</v>
      </c>
      <c r="D2274" t="str">
        <f>HYPERLINK("http://service.sap.com/sap/support/notes/1430714","1430714")</f>
        <v>1430714</v>
      </c>
      <c r="F2274" t="s">
        <v>2450</v>
      </c>
    </row>
    <row r="2275" spans="1:6">
      <c r="A2275" t="s">
        <v>2257</v>
      </c>
      <c r="B2275" t="s">
        <v>305</v>
      </c>
      <c r="C2275" t="s">
        <v>306</v>
      </c>
      <c r="D2275" t="str">
        <f>HYPERLINK("http://service.sap.com/sap/support/notes/1431279","1431279")</f>
        <v>1431279</v>
      </c>
      <c r="F2275" t="s">
        <v>2451</v>
      </c>
    </row>
    <row r="2276" spans="1:6">
      <c r="A2276" t="s">
        <v>2257</v>
      </c>
      <c r="B2276" t="s">
        <v>305</v>
      </c>
      <c r="C2276" t="s">
        <v>306</v>
      </c>
      <c r="D2276" t="str">
        <f>HYPERLINK("http://service.sap.com/sap/support/notes/1431778","1431778")</f>
        <v>1431778</v>
      </c>
      <c r="F2276" t="s">
        <v>2452</v>
      </c>
    </row>
    <row r="2277" spans="1:6">
      <c r="A2277" t="s">
        <v>2257</v>
      </c>
      <c r="B2277" t="s">
        <v>305</v>
      </c>
      <c r="C2277" t="s">
        <v>306</v>
      </c>
      <c r="D2277" t="str">
        <f>HYPERLINK("http://service.sap.com/sap/support/notes/1432094","1432094")</f>
        <v>1432094</v>
      </c>
      <c r="F2277" t="s">
        <v>2453</v>
      </c>
    </row>
    <row r="2278" spans="1:6">
      <c r="A2278" t="s">
        <v>2257</v>
      </c>
      <c r="B2278" t="s">
        <v>305</v>
      </c>
      <c r="C2278" t="s">
        <v>306</v>
      </c>
      <c r="D2278" t="str">
        <f>HYPERLINK("http://service.sap.com/sap/support/notes/1435299","1435299")</f>
        <v>1435299</v>
      </c>
      <c r="F2278" t="s">
        <v>2454</v>
      </c>
    </row>
    <row r="2279" spans="1:6">
      <c r="A2279" t="s">
        <v>2257</v>
      </c>
      <c r="B2279" t="s">
        <v>305</v>
      </c>
      <c r="C2279" t="s">
        <v>306</v>
      </c>
      <c r="D2279" t="str">
        <f>HYPERLINK("http://service.sap.com/sap/support/notes/1436600","1436600")</f>
        <v>1436600</v>
      </c>
      <c r="F2279" t="s">
        <v>2455</v>
      </c>
    </row>
    <row r="2280" spans="1:6">
      <c r="A2280" t="s">
        <v>2257</v>
      </c>
      <c r="B2280" t="s">
        <v>352</v>
      </c>
      <c r="C2280" t="s">
        <v>353</v>
      </c>
      <c r="D2280" t="str">
        <f>HYPERLINK("http://service.sap.com/sap/support/notes/1377253","1377253")</f>
        <v>1377253</v>
      </c>
      <c r="F2280" t="s">
        <v>2456</v>
      </c>
    </row>
    <row r="2281" spans="1:6">
      <c r="A2281" t="s">
        <v>2257</v>
      </c>
      <c r="B2281" t="s">
        <v>352</v>
      </c>
      <c r="C2281" t="s">
        <v>353</v>
      </c>
      <c r="D2281" t="str">
        <f>HYPERLINK("http://service.sap.com/sap/support/notes/1431374","1431374")</f>
        <v>1431374</v>
      </c>
      <c r="F2281" t="s">
        <v>2457</v>
      </c>
    </row>
    <row r="2282" spans="1:6">
      <c r="A2282" t="s">
        <v>2257</v>
      </c>
      <c r="B2282" t="s">
        <v>352</v>
      </c>
      <c r="C2282" t="s">
        <v>353</v>
      </c>
      <c r="D2282" t="str">
        <f>HYPERLINK("http://service.sap.com/sap/support/notes/1432340","1432340")</f>
        <v>1432340</v>
      </c>
      <c r="F2282" t="s">
        <v>2458</v>
      </c>
    </row>
    <row r="2283" spans="1:6">
      <c r="A2283" t="s">
        <v>2257</v>
      </c>
      <c r="B2283" t="s">
        <v>352</v>
      </c>
      <c r="C2283" t="s">
        <v>353</v>
      </c>
      <c r="D2283" t="str">
        <f>HYPERLINK("http://service.sap.com/sap/support/notes/1435609","1435609")</f>
        <v>1435609</v>
      </c>
      <c r="F2283" t="s">
        <v>2459</v>
      </c>
    </row>
    <row r="2284" spans="1:6">
      <c r="A2284" t="s">
        <v>2257</v>
      </c>
      <c r="B2284" t="s">
        <v>352</v>
      </c>
      <c r="C2284" t="s">
        <v>353</v>
      </c>
      <c r="D2284" t="str">
        <f>HYPERLINK("http://service.sap.com/sap/support/notes/1436582","1436582")</f>
        <v>1436582</v>
      </c>
      <c r="F2284" t="s">
        <v>2460</v>
      </c>
    </row>
    <row r="2285" spans="1:6">
      <c r="A2285" t="s">
        <v>2257</v>
      </c>
      <c r="B2285" t="s">
        <v>352</v>
      </c>
      <c r="C2285" t="s">
        <v>353</v>
      </c>
      <c r="D2285" t="str">
        <f>HYPERLINK("http://service.sap.com/sap/support/notes/1438139","1438139")</f>
        <v>1438139</v>
      </c>
      <c r="F2285" t="s">
        <v>2461</v>
      </c>
    </row>
    <row r="2286" spans="1:6">
      <c r="A2286" t="s">
        <v>2257</v>
      </c>
      <c r="B2286" t="s">
        <v>357</v>
      </c>
      <c r="C2286" t="s">
        <v>76</v>
      </c>
      <c r="D2286" t="str">
        <f>HYPERLINK("http://service.sap.com/sap/support/notes/1426230","1426230")</f>
        <v>1426230</v>
      </c>
      <c r="F2286" t="s">
        <v>2462</v>
      </c>
    </row>
    <row r="2287" spans="1:6">
      <c r="A2287" t="s">
        <v>2257</v>
      </c>
      <c r="B2287" t="s">
        <v>357</v>
      </c>
      <c r="C2287" t="s">
        <v>76</v>
      </c>
      <c r="D2287" t="str">
        <f>HYPERLINK("http://service.sap.com/sap/support/notes/1426570","1426570")</f>
        <v>1426570</v>
      </c>
      <c r="F2287" t="s">
        <v>2135</v>
      </c>
    </row>
    <row r="2288" spans="1:6">
      <c r="A2288" t="s">
        <v>2257</v>
      </c>
      <c r="B2288" t="s">
        <v>357</v>
      </c>
      <c r="C2288" t="s">
        <v>76</v>
      </c>
      <c r="D2288" t="str">
        <f>HYPERLINK("http://service.sap.com/sap/support/notes/1427929","1427929")</f>
        <v>1427929</v>
      </c>
      <c r="F2288" t="s">
        <v>2463</v>
      </c>
    </row>
    <row r="2289" spans="1:6">
      <c r="A2289" t="s">
        <v>2257</v>
      </c>
      <c r="B2289" t="s">
        <v>357</v>
      </c>
      <c r="C2289" t="s">
        <v>76</v>
      </c>
      <c r="D2289" t="str">
        <f>HYPERLINK("http://service.sap.com/sap/support/notes/1430242","1430242")</f>
        <v>1430242</v>
      </c>
      <c r="F2289" t="s">
        <v>2464</v>
      </c>
    </row>
    <row r="2290" spans="1:6">
      <c r="A2290" t="s">
        <v>2257</v>
      </c>
      <c r="B2290" t="s">
        <v>357</v>
      </c>
      <c r="C2290" t="s">
        <v>76</v>
      </c>
      <c r="D2290" t="str">
        <f>HYPERLINK("http://service.sap.com/sap/support/notes/1430648","1430648")</f>
        <v>1430648</v>
      </c>
      <c r="F2290" t="s">
        <v>2465</v>
      </c>
    </row>
    <row r="2291" spans="1:6">
      <c r="A2291" t="s">
        <v>2257</v>
      </c>
      <c r="B2291" t="s">
        <v>357</v>
      </c>
      <c r="C2291" t="s">
        <v>76</v>
      </c>
      <c r="D2291" t="str">
        <f>HYPERLINK("http://service.sap.com/sap/support/notes/1430852","1430852")</f>
        <v>1430852</v>
      </c>
      <c r="F2291" t="s">
        <v>2466</v>
      </c>
    </row>
    <row r="2292" spans="1:6">
      <c r="A2292" t="s">
        <v>2257</v>
      </c>
      <c r="B2292" t="s">
        <v>357</v>
      </c>
      <c r="C2292" t="s">
        <v>76</v>
      </c>
      <c r="D2292" t="str">
        <f>HYPERLINK("http://service.sap.com/sap/support/notes/1431212","1431212")</f>
        <v>1431212</v>
      </c>
      <c r="F2292" t="s">
        <v>2467</v>
      </c>
    </row>
    <row r="2293" spans="1:6">
      <c r="A2293" t="s">
        <v>2257</v>
      </c>
      <c r="B2293" t="s">
        <v>357</v>
      </c>
      <c r="C2293" t="s">
        <v>76</v>
      </c>
      <c r="D2293" t="str">
        <f>HYPERLINK("http://service.sap.com/sap/support/notes/1431415","1431415")</f>
        <v>1431415</v>
      </c>
      <c r="F2293" t="s">
        <v>2468</v>
      </c>
    </row>
    <row r="2294" spans="1:6">
      <c r="A2294" t="s">
        <v>2257</v>
      </c>
      <c r="B2294" t="s">
        <v>357</v>
      </c>
      <c r="C2294" t="s">
        <v>76</v>
      </c>
      <c r="D2294" t="str">
        <f>HYPERLINK("http://service.sap.com/sap/support/notes/1431786","1431786")</f>
        <v>1431786</v>
      </c>
      <c r="F2294" t="s">
        <v>2469</v>
      </c>
    </row>
    <row r="2295" spans="1:6">
      <c r="A2295" t="s">
        <v>2257</v>
      </c>
      <c r="B2295" t="s">
        <v>357</v>
      </c>
      <c r="C2295" t="s">
        <v>76</v>
      </c>
      <c r="D2295" t="str">
        <f>HYPERLINK("http://service.sap.com/sap/support/notes/1431987","1431987")</f>
        <v>1431987</v>
      </c>
      <c r="F2295" t="s">
        <v>1153</v>
      </c>
    </row>
    <row r="2296" spans="1:6">
      <c r="A2296" t="s">
        <v>2257</v>
      </c>
      <c r="B2296" t="s">
        <v>357</v>
      </c>
      <c r="C2296" t="s">
        <v>76</v>
      </c>
      <c r="D2296" t="str">
        <f>HYPERLINK("http://service.sap.com/sap/support/notes/1432124","1432124")</f>
        <v>1432124</v>
      </c>
      <c r="F2296" t="s">
        <v>2470</v>
      </c>
    </row>
    <row r="2297" spans="1:6">
      <c r="A2297" t="s">
        <v>2257</v>
      </c>
      <c r="B2297" t="s">
        <v>357</v>
      </c>
      <c r="C2297" t="s">
        <v>76</v>
      </c>
      <c r="D2297" t="str">
        <f>HYPERLINK("http://service.sap.com/sap/support/notes/1432140","1432140")</f>
        <v>1432140</v>
      </c>
      <c r="F2297" t="s">
        <v>2471</v>
      </c>
    </row>
    <row r="2298" spans="1:6">
      <c r="A2298" t="s">
        <v>2257</v>
      </c>
      <c r="B2298" t="s">
        <v>357</v>
      </c>
      <c r="C2298" t="s">
        <v>76</v>
      </c>
      <c r="D2298" t="str">
        <f>HYPERLINK("http://service.sap.com/sap/support/notes/1432728","1432728")</f>
        <v>1432728</v>
      </c>
      <c r="F2298" t="s">
        <v>2472</v>
      </c>
    </row>
    <row r="2299" spans="1:6">
      <c r="A2299" t="s">
        <v>2257</v>
      </c>
      <c r="B2299" t="s">
        <v>357</v>
      </c>
      <c r="C2299" t="s">
        <v>76</v>
      </c>
      <c r="D2299" t="str">
        <f>HYPERLINK("http://service.sap.com/sap/support/notes/1434225","1434225")</f>
        <v>1434225</v>
      </c>
      <c r="F2299" t="s">
        <v>2473</v>
      </c>
    </row>
    <row r="2300" spans="1:6">
      <c r="A2300" t="s">
        <v>2257</v>
      </c>
      <c r="B2300" t="s">
        <v>357</v>
      </c>
      <c r="C2300" t="s">
        <v>76</v>
      </c>
      <c r="D2300" t="str">
        <f>HYPERLINK("http://service.sap.com/sap/support/notes/1434344","1434344")</f>
        <v>1434344</v>
      </c>
      <c r="F2300" t="s">
        <v>2474</v>
      </c>
    </row>
    <row r="2301" spans="1:6">
      <c r="A2301" t="s">
        <v>2257</v>
      </c>
      <c r="B2301" t="s">
        <v>357</v>
      </c>
      <c r="C2301" t="s">
        <v>76</v>
      </c>
      <c r="D2301" t="str">
        <f>HYPERLINK("http://service.sap.com/sap/support/notes/1434728","1434728")</f>
        <v>1434728</v>
      </c>
      <c r="F2301" t="s">
        <v>2475</v>
      </c>
    </row>
    <row r="2302" spans="1:6">
      <c r="A2302" t="s">
        <v>2257</v>
      </c>
      <c r="B2302" t="s">
        <v>357</v>
      </c>
      <c r="C2302" t="s">
        <v>76</v>
      </c>
      <c r="D2302" t="str">
        <f>HYPERLINK("http://service.sap.com/sap/support/notes/1436309","1436309")</f>
        <v>1436309</v>
      </c>
      <c r="F2302" t="s">
        <v>2476</v>
      </c>
    </row>
    <row r="2303" spans="1:6">
      <c r="A2303" t="s">
        <v>2257</v>
      </c>
      <c r="B2303" t="s">
        <v>357</v>
      </c>
      <c r="C2303" t="s">
        <v>76</v>
      </c>
      <c r="D2303" t="str">
        <f>HYPERLINK("http://service.sap.com/sap/support/notes/1437246","1437246")</f>
        <v>1437246</v>
      </c>
      <c r="F2303" t="s">
        <v>2477</v>
      </c>
    </row>
    <row r="2304" spans="1:6">
      <c r="A2304" t="s">
        <v>2257</v>
      </c>
      <c r="B2304" t="s">
        <v>357</v>
      </c>
      <c r="C2304" t="s">
        <v>76</v>
      </c>
      <c r="D2304" t="str">
        <f>HYPERLINK("http://service.sap.com/sap/support/notes/1438491","1438491")</f>
        <v>1438491</v>
      </c>
      <c r="F2304" t="s">
        <v>2478</v>
      </c>
    </row>
    <row r="2305" spans="1:6">
      <c r="A2305" t="s">
        <v>2257</v>
      </c>
      <c r="B2305" t="s">
        <v>357</v>
      </c>
      <c r="C2305" t="s">
        <v>76</v>
      </c>
      <c r="D2305" t="str">
        <f>HYPERLINK("http://service.sap.com/sap/support/notes/1440070","1440070")</f>
        <v>1440070</v>
      </c>
      <c r="F2305" t="s">
        <v>2479</v>
      </c>
    </row>
    <row r="2306" spans="1:6">
      <c r="A2306" t="s">
        <v>2257</v>
      </c>
      <c r="B2306" t="s">
        <v>367</v>
      </c>
      <c r="C2306" t="s">
        <v>189</v>
      </c>
      <c r="D2306" t="str">
        <f>HYPERLINK("http://service.sap.com/sap/support/notes/1393720","1393720")</f>
        <v>1393720</v>
      </c>
      <c r="F2306" t="s">
        <v>2480</v>
      </c>
    </row>
    <row r="2307" spans="1:6">
      <c r="A2307" t="s">
        <v>2257</v>
      </c>
      <c r="B2307" t="s">
        <v>367</v>
      </c>
      <c r="C2307" t="s">
        <v>189</v>
      </c>
      <c r="D2307" t="str">
        <f>HYPERLINK("http://service.sap.com/sap/support/notes/1431491","1431491")</f>
        <v>1431491</v>
      </c>
      <c r="F2307" t="s">
        <v>2481</v>
      </c>
    </row>
    <row r="2308" spans="1:6">
      <c r="A2308" t="s">
        <v>2257</v>
      </c>
      <c r="B2308" t="s">
        <v>369</v>
      </c>
      <c r="C2308" t="s">
        <v>370</v>
      </c>
      <c r="D2308" t="str">
        <f>HYPERLINK("http://service.sap.com/sap/support/notes/1129168","1129168")</f>
        <v>1129168</v>
      </c>
      <c r="F2308" t="s">
        <v>371</v>
      </c>
    </row>
    <row r="2309" spans="1:6">
      <c r="A2309" t="s">
        <v>2257</v>
      </c>
      <c r="B2309" t="s">
        <v>369</v>
      </c>
      <c r="C2309" t="s">
        <v>370</v>
      </c>
      <c r="D2309" t="str">
        <f>HYPERLINK("http://service.sap.com/sap/support/notes/1431112","1431112")</f>
        <v>1431112</v>
      </c>
      <c r="F2309" t="s">
        <v>2482</v>
      </c>
    </row>
    <row r="2310" spans="1:6">
      <c r="A2310" t="s">
        <v>2257</v>
      </c>
      <c r="B2310" t="s">
        <v>1166</v>
      </c>
      <c r="C2310" t="s">
        <v>1756</v>
      </c>
    </row>
    <row r="2311" spans="1:6">
      <c r="A2311" t="s">
        <v>2257</v>
      </c>
      <c r="B2311" t="s">
        <v>1167</v>
      </c>
      <c r="C2311" t="s">
        <v>1757</v>
      </c>
      <c r="D2311" t="str">
        <f>HYPERLINK("http://service.sap.com/sap/support/notes/1419924","1419924")</f>
        <v>1419924</v>
      </c>
      <c r="F2311" t="s">
        <v>2483</v>
      </c>
    </row>
    <row r="2312" spans="1:6">
      <c r="A2312" t="s">
        <v>2257</v>
      </c>
      <c r="B2312" t="s">
        <v>1170</v>
      </c>
      <c r="C2312" t="s">
        <v>239</v>
      </c>
    </row>
    <row r="2313" spans="1:6">
      <c r="A2313" t="s">
        <v>2257</v>
      </c>
      <c r="B2313" t="s">
        <v>1171</v>
      </c>
      <c r="C2313" t="s">
        <v>1172</v>
      </c>
      <c r="D2313" t="str">
        <f>HYPERLINK("http://service.sap.com/sap/support/notes/1396321","1396321")</f>
        <v>1396321</v>
      </c>
      <c r="F2313" t="s">
        <v>2484</v>
      </c>
    </row>
    <row r="2314" spans="1:6">
      <c r="A2314" t="s">
        <v>2257</v>
      </c>
      <c r="B2314" t="s">
        <v>1182</v>
      </c>
      <c r="C2314" t="s">
        <v>255</v>
      </c>
      <c r="D2314" t="str">
        <f>HYPERLINK("http://service.sap.com/sap/support/notes/1425648","1425648")</f>
        <v>1425648</v>
      </c>
      <c r="F2314" t="s">
        <v>2485</v>
      </c>
    </row>
    <row r="2315" spans="1:6">
      <c r="A2315" t="s">
        <v>2257</v>
      </c>
      <c r="B2315" t="s">
        <v>374</v>
      </c>
      <c r="C2315" t="s">
        <v>189</v>
      </c>
      <c r="D2315" t="str">
        <f>HYPERLINK("http://service.sap.com/sap/support/notes/1425578","1425578")</f>
        <v>1425578</v>
      </c>
      <c r="F2315" t="s">
        <v>2486</v>
      </c>
    </row>
    <row r="2316" spans="1:6">
      <c r="A2316" t="s">
        <v>2257</v>
      </c>
      <c r="B2316" t="s">
        <v>374</v>
      </c>
      <c r="C2316" t="s">
        <v>189</v>
      </c>
      <c r="D2316" t="str">
        <f>HYPERLINK("http://service.sap.com/sap/support/notes/1426936","1426936")</f>
        <v>1426936</v>
      </c>
      <c r="F2316" t="s">
        <v>2487</v>
      </c>
    </row>
    <row r="2317" spans="1:6">
      <c r="A2317" t="s">
        <v>2257</v>
      </c>
      <c r="B2317" t="s">
        <v>374</v>
      </c>
      <c r="C2317" t="s">
        <v>189</v>
      </c>
      <c r="D2317" t="str">
        <f>HYPERLINK("http://service.sap.com/sap/support/notes/1430790","1430790")</f>
        <v>1430790</v>
      </c>
      <c r="F2317" t="s">
        <v>2488</v>
      </c>
    </row>
    <row r="2318" spans="1:6">
      <c r="A2318" t="s">
        <v>2257</v>
      </c>
      <c r="B2318" t="s">
        <v>374</v>
      </c>
      <c r="C2318" t="s">
        <v>189</v>
      </c>
      <c r="D2318" t="str">
        <f>HYPERLINK("http://service.sap.com/sap/support/notes/1430942","1430942")</f>
        <v>1430942</v>
      </c>
      <c r="F2318" t="s">
        <v>2489</v>
      </c>
    </row>
    <row r="2319" spans="1:6">
      <c r="A2319" t="s">
        <v>2257</v>
      </c>
      <c r="B2319" t="s">
        <v>374</v>
      </c>
      <c r="C2319" t="s">
        <v>189</v>
      </c>
      <c r="D2319" t="str">
        <f>HYPERLINK("http://service.sap.com/sap/support/notes/1431379","1431379")</f>
        <v>1431379</v>
      </c>
      <c r="F2319" t="s">
        <v>2490</v>
      </c>
    </row>
    <row r="2320" spans="1:6">
      <c r="A2320" t="s">
        <v>2257</v>
      </c>
      <c r="B2320" t="s">
        <v>385</v>
      </c>
      <c r="C2320" t="s">
        <v>208</v>
      </c>
      <c r="D2320" t="str">
        <f>HYPERLINK("http://service.sap.com/sap/support/notes/1432491","1432491")</f>
        <v>1432491</v>
      </c>
      <c r="F2320" t="s">
        <v>2491</v>
      </c>
    </row>
    <row r="2321" spans="1:6">
      <c r="A2321" t="s">
        <v>2257</v>
      </c>
      <c r="B2321" t="s">
        <v>386</v>
      </c>
      <c r="C2321" t="s">
        <v>387</v>
      </c>
      <c r="D2321" t="str">
        <f>HYPERLINK("http://service.sap.com/sap/support/notes/1422900","1422900")</f>
        <v>1422900</v>
      </c>
      <c r="F2321" t="s">
        <v>2492</v>
      </c>
    </row>
    <row r="2322" spans="1:6">
      <c r="A2322" t="s">
        <v>2257</v>
      </c>
      <c r="B2322" t="s">
        <v>386</v>
      </c>
      <c r="C2322" t="s">
        <v>387</v>
      </c>
      <c r="D2322" t="str">
        <f>HYPERLINK("http://service.sap.com/sap/support/notes/1428579","1428579")</f>
        <v>1428579</v>
      </c>
      <c r="F2322" t="s">
        <v>2493</v>
      </c>
    </row>
    <row r="2323" spans="1:6">
      <c r="A2323" t="s">
        <v>2257</v>
      </c>
      <c r="B2323" t="s">
        <v>386</v>
      </c>
      <c r="C2323" t="s">
        <v>387</v>
      </c>
      <c r="D2323" t="str">
        <f>HYPERLINK("http://service.sap.com/sap/support/notes/1429076","1429076")</f>
        <v>1429076</v>
      </c>
      <c r="F2323" t="s">
        <v>2494</v>
      </c>
    </row>
    <row r="2324" spans="1:6">
      <c r="A2324" t="s">
        <v>2257</v>
      </c>
      <c r="B2324" t="s">
        <v>386</v>
      </c>
      <c r="C2324" t="s">
        <v>387</v>
      </c>
      <c r="D2324" t="str">
        <f>HYPERLINK("http://service.sap.com/sap/support/notes/1434711","1434711")</f>
        <v>1434711</v>
      </c>
      <c r="F2324" t="s">
        <v>2495</v>
      </c>
    </row>
    <row r="2325" spans="1:6">
      <c r="A2325" t="s">
        <v>2257</v>
      </c>
      <c r="B2325" t="s">
        <v>391</v>
      </c>
      <c r="C2325" t="s">
        <v>392</v>
      </c>
      <c r="D2325" t="str">
        <f>HYPERLINK("http://service.sap.com/sap/support/notes/1429926","1429926")</f>
        <v>1429926</v>
      </c>
      <c r="F2325" t="s">
        <v>2496</v>
      </c>
    </row>
    <row r="2326" spans="1:6">
      <c r="A2326" t="s">
        <v>2257</v>
      </c>
      <c r="B2326" t="s">
        <v>391</v>
      </c>
      <c r="C2326" t="s">
        <v>392</v>
      </c>
      <c r="D2326" t="str">
        <f>HYPERLINK("http://service.sap.com/sap/support/notes/1433655","1433655")</f>
        <v>1433655</v>
      </c>
      <c r="F2326" t="s">
        <v>2497</v>
      </c>
    </row>
    <row r="2327" spans="1:6">
      <c r="A2327" t="s">
        <v>2257</v>
      </c>
      <c r="B2327" t="s">
        <v>397</v>
      </c>
      <c r="C2327" t="s">
        <v>398</v>
      </c>
      <c r="D2327" t="str">
        <f>HYPERLINK("http://service.sap.com/sap/support/notes/1431199","1431199")</f>
        <v>1431199</v>
      </c>
      <c r="F2327" t="s">
        <v>2498</v>
      </c>
    </row>
    <row r="2328" spans="1:6">
      <c r="A2328" t="s">
        <v>2257</v>
      </c>
      <c r="B2328" t="s">
        <v>397</v>
      </c>
      <c r="C2328" t="s">
        <v>398</v>
      </c>
      <c r="D2328" t="str">
        <f>HYPERLINK("http://service.sap.com/sap/support/notes/1431832","1431832")</f>
        <v>1431832</v>
      </c>
      <c r="F2328" t="s">
        <v>2499</v>
      </c>
    </row>
    <row r="2329" spans="1:6">
      <c r="A2329" t="s">
        <v>2257</v>
      </c>
      <c r="B2329" t="s">
        <v>397</v>
      </c>
      <c r="C2329" t="s">
        <v>398</v>
      </c>
      <c r="D2329" t="str">
        <f>HYPERLINK("http://service.sap.com/sap/support/notes/1439718","1439718")</f>
        <v>1439718</v>
      </c>
      <c r="F2329" t="s">
        <v>2500</v>
      </c>
    </row>
    <row r="2330" spans="1:6">
      <c r="A2330" t="s">
        <v>2257</v>
      </c>
      <c r="B2330" t="s">
        <v>401</v>
      </c>
      <c r="C2330" t="s">
        <v>402</v>
      </c>
      <c r="D2330" t="str">
        <f>HYPERLINK("http://service.sap.com/sap/support/notes/1300717","1300717")</f>
        <v>1300717</v>
      </c>
      <c r="F2330" t="s">
        <v>403</v>
      </c>
    </row>
    <row r="2331" spans="1:6">
      <c r="A2331" t="s">
        <v>2257</v>
      </c>
      <c r="B2331" t="s">
        <v>401</v>
      </c>
      <c r="C2331" t="s">
        <v>402</v>
      </c>
      <c r="D2331" t="str">
        <f>HYPERLINK("http://service.sap.com/sap/support/notes/1358532","1358532")</f>
        <v>1358532</v>
      </c>
      <c r="F2331" t="s">
        <v>2501</v>
      </c>
    </row>
    <row r="2332" spans="1:6">
      <c r="A2332" t="s">
        <v>2257</v>
      </c>
      <c r="B2332" t="s">
        <v>401</v>
      </c>
      <c r="C2332" t="s">
        <v>402</v>
      </c>
      <c r="D2332" t="str">
        <f>HYPERLINK("http://service.sap.com/sap/support/notes/1398071","1398071")</f>
        <v>1398071</v>
      </c>
      <c r="F2332" t="s">
        <v>2502</v>
      </c>
    </row>
    <row r="2333" spans="1:6">
      <c r="A2333" t="s">
        <v>2257</v>
      </c>
      <c r="B2333" t="s">
        <v>401</v>
      </c>
      <c r="C2333" t="s">
        <v>402</v>
      </c>
      <c r="D2333" t="str">
        <f>HYPERLINK("http://service.sap.com/sap/support/notes/1398747","1398747")</f>
        <v>1398747</v>
      </c>
      <c r="F2333" t="s">
        <v>409</v>
      </c>
    </row>
    <row r="2334" spans="1:6">
      <c r="A2334" t="s">
        <v>2257</v>
      </c>
      <c r="B2334" t="s">
        <v>401</v>
      </c>
      <c r="C2334" t="s">
        <v>402</v>
      </c>
      <c r="D2334" t="str">
        <f>HYPERLINK("http://service.sap.com/sap/support/notes/1426152","1426152")</f>
        <v>1426152</v>
      </c>
      <c r="F2334" t="s">
        <v>2503</v>
      </c>
    </row>
    <row r="2335" spans="1:6">
      <c r="A2335" t="s">
        <v>2257</v>
      </c>
      <c r="B2335" t="s">
        <v>401</v>
      </c>
      <c r="C2335" t="s">
        <v>402</v>
      </c>
      <c r="D2335" t="str">
        <f>HYPERLINK("http://service.sap.com/sap/support/notes/1434750","1434750")</f>
        <v>1434750</v>
      </c>
      <c r="F2335" t="s">
        <v>2504</v>
      </c>
    </row>
    <row r="2336" spans="1:6">
      <c r="A2336" t="s">
        <v>2257</v>
      </c>
      <c r="B2336" t="s">
        <v>401</v>
      </c>
      <c r="C2336" t="s">
        <v>402</v>
      </c>
      <c r="D2336" t="str">
        <f>HYPERLINK("http://service.sap.com/sap/support/notes/1435201","1435201")</f>
        <v>1435201</v>
      </c>
      <c r="F2336" t="s">
        <v>2505</v>
      </c>
    </row>
    <row r="2337" spans="1:6">
      <c r="A2337" t="s">
        <v>2257</v>
      </c>
      <c r="B2337" t="s">
        <v>410</v>
      </c>
      <c r="C2337" t="s">
        <v>411</v>
      </c>
      <c r="D2337" t="str">
        <f>HYPERLINK("http://service.sap.com/sap/support/notes/778621","778621")</f>
        <v>778621</v>
      </c>
      <c r="F2337" t="s">
        <v>2506</v>
      </c>
    </row>
    <row r="2338" spans="1:6">
      <c r="A2338" t="s">
        <v>2257</v>
      </c>
      <c r="B2338" t="s">
        <v>410</v>
      </c>
      <c r="C2338" t="s">
        <v>411</v>
      </c>
      <c r="D2338" t="str">
        <f>HYPERLINK("http://service.sap.com/sap/support/notes/1367469","1367469")</f>
        <v>1367469</v>
      </c>
      <c r="F2338" t="s">
        <v>2507</v>
      </c>
    </row>
    <row r="2339" spans="1:6">
      <c r="A2339" t="s">
        <v>2257</v>
      </c>
      <c r="B2339" t="s">
        <v>410</v>
      </c>
      <c r="C2339" t="s">
        <v>411</v>
      </c>
      <c r="D2339" t="str">
        <f>HYPERLINK("http://service.sap.com/sap/support/notes/1379621","1379621")</f>
        <v>1379621</v>
      </c>
      <c r="F2339" t="s">
        <v>1218</v>
      </c>
    </row>
    <row r="2340" spans="1:6">
      <c r="A2340" t="s">
        <v>2257</v>
      </c>
      <c r="B2340" t="s">
        <v>410</v>
      </c>
      <c r="C2340" t="s">
        <v>411</v>
      </c>
      <c r="D2340" t="str">
        <f>HYPERLINK("http://service.sap.com/sap/support/notes/1385408","1385408")</f>
        <v>1385408</v>
      </c>
      <c r="F2340" t="s">
        <v>2156</v>
      </c>
    </row>
    <row r="2341" spans="1:6">
      <c r="A2341" t="s">
        <v>2257</v>
      </c>
      <c r="B2341" t="s">
        <v>410</v>
      </c>
      <c r="C2341" t="s">
        <v>411</v>
      </c>
      <c r="D2341" t="str">
        <f>HYPERLINK("http://service.sap.com/sap/support/notes/1411346","1411346")</f>
        <v>1411346</v>
      </c>
      <c r="F2341" t="s">
        <v>2508</v>
      </c>
    </row>
    <row r="2342" spans="1:6">
      <c r="A2342" t="s">
        <v>2257</v>
      </c>
      <c r="B2342" t="s">
        <v>410</v>
      </c>
      <c r="C2342" t="s">
        <v>411</v>
      </c>
      <c r="D2342" t="str">
        <f>HYPERLINK("http://service.sap.com/sap/support/notes/1415952","1415952")</f>
        <v>1415952</v>
      </c>
      <c r="F2342" t="s">
        <v>2509</v>
      </c>
    </row>
    <row r="2343" spans="1:6">
      <c r="A2343" t="s">
        <v>2257</v>
      </c>
      <c r="B2343" t="s">
        <v>410</v>
      </c>
      <c r="C2343" t="s">
        <v>411</v>
      </c>
      <c r="D2343" t="str">
        <f>HYPERLINK("http://service.sap.com/sap/support/notes/1423850","1423850")</f>
        <v>1423850</v>
      </c>
      <c r="F2343" t="s">
        <v>2510</v>
      </c>
    </row>
    <row r="2344" spans="1:6">
      <c r="A2344" t="s">
        <v>2257</v>
      </c>
      <c r="B2344" t="s">
        <v>410</v>
      </c>
      <c r="C2344" t="s">
        <v>411</v>
      </c>
      <c r="D2344" t="str">
        <f>HYPERLINK("http://service.sap.com/sap/support/notes/1424240","1424240")</f>
        <v>1424240</v>
      </c>
      <c r="F2344" t="s">
        <v>2511</v>
      </c>
    </row>
    <row r="2345" spans="1:6">
      <c r="A2345" t="s">
        <v>2257</v>
      </c>
      <c r="B2345" t="s">
        <v>410</v>
      </c>
      <c r="C2345" t="s">
        <v>411</v>
      </c>
      <c r="D2345" t="str">
        <f>HYPERLINK("http://service.sap.com/sap/support/notes/1424315","1424315")</f>
        <v>1424315</v>
      </c>
      <c r="F2345" t="s">
        <v>2512</v>
      </c>
    </row>
    <row r="2346" spans="1:6">
      <c r="A2346" t="s">
        <v>2257</v>
      </c>
      <c r="B2346" t="s">
        <v>410</v>
      </c>
      <c r="C2346" t="s">
        <v>411</v>
      </c>
      <c r="D2346" t="str">
        <f>HYPERLINK("http://service.sap.com/sap/support/notes/1424604","1424604")</f>
        <v>1424604</v>
      </c>
      <c r="F2346" t="s">
        <v>2513</v>
      </c>
    </row>
    <row r="2347" spans="1:6">
      <c r="A2347" t="s">
        <v>2257</v>
      </c>
      <c r="B2347" t="s">
        <v>410</v>
      </c>
      <c r="C2347" t="s">
        <v>411</v>
      </c>
      <c r="D2347" t="str">
        <f>HYPERLINK("http://service.sap.com/sap/support/notes/1425068","1425068")</f>
        <v>1425068</v>
      </c>
      <c r="F2347" t="s">
        <v>2514</v>
      </c>
    </row>
    <row r="2348" spans="1:6">
      <c r="A2348" t="s">
        <v>2257</v>
      </c>
      <c r="B2348" t="s">
        <v>410</v>
      </c>
      <c r="C2348" t="s">
        <v>411</v>
      </c>
      <c r="D2348" t="str">
        <f>HYPERLINK("http://service.sap.com/sap/support/notes/1425161","1425161")</f>
        <v>1425161</v>
      </c>
      <c r="F2348" t="s">
        <v>2515</v>
      </c>
    </row>
    <row r="2349" spans="1:6">
      <c r="A2349" t="s">
        <v>2257</v>
      </c>
      <c r="B2349" t="s">
        <v>410</v>
      </c>
      <c r="C2349" t="s">
        <v>411</v>
      </c>
      <c r="D2349" t="str">
        <f>HYPERLINK("http://service.sap.com/sap/support/notes/1426013","1426013")</f>
        <v>1426013</v>
      </c>
      <c r="F2349" t="s">
        <v>2516</v>
      </c>
    </row>
    <row r="2350" spans="1:6">
      <c r="A2350" t="s">
        <v>2257</v>
      </c>
      <c r="B2350" t="s">
        <v>410</v>
      </c>
      <c r="C2350" t="s">
        <v>411</v>
      </c>
      <c r="D2350" t="str">
        <f>HYPERLINK("http://service.sap.com/sap/support/notes/1427479","1427479")</f>
        <v>1427479</v>
      </c>
      <c r="F2350" t="s">
        <v>2517</v>
      </c>
    </row>
    <row r="2351" spans="1:6">
      <c r="A2351" t="s">
        <v>2257</v>
      </c>
      <c r="B2351" t="s">
        <v>410</v>
      </c>
      <c r="C2351" t="s">
        <v>411</v>
      </c>
      <c r="D2351" t="str">
        <f>HYPERLINK("http://service.sap.com/sap/support/notes/1429222","1429222")</f>
        <v>1429222</v>
      </c>
      <c r="F2351" t="s">
        <v>2518</v>
      </c>
    </row>
    <row r="2352" spans="1:6">
      <c r="A2352" t="s">
        <v>2257</v>
      </c>
      <c r="B2352" t="s">
        <v>410</v>
      </c>
      <c r="C2352" t="s">
        <v>411</v>
      </c>
      <c r="D2352" t="str">
        <f>HYPERLINK("http://service.sap.com/sap/support/notes/1429342","1429342")</f>
        <v>1429342</v>
      </c>
      <c r="F2352" t="s">
        <v>2519</v>
      </c>
    </row>
    <row r="2353" spans="1:6">
      <c r="A2353" t="s">
        <v>2257</v>
      </c>
      <c r="B2353" t="s">
        <v>410</v>
      </c>
      <c r="C2353" t="s">
        <v>411</v>
      </c>
      <c r="D2353" t="str">
        <f>HYPERLINK("http://service.sap.com/sap/support/notes/1430001","1430001")</f>
        <v>1430001</v>
      </c>
      <c r="F2353" t="s">
        <v>2520</v>
      </c>
    </row>
    <row r="2354" spans="1:6">
      <c r="A2354" t="s">
        <v>2257</v>
      </c>
      <c r="B2354" t="s">
        <v>410</v>
      </c>
      <c r="C2354" t="s">
        <v>411</v>
      </c>
      <c r="D2354" t="str">
        <f>HYPERLINK("http://service.sap.com/sap/support/notes/1433934","1433934")</f>
        <v>1433934</v>
      </c>
      <c r="F2354" t="s">
        <v>2521</v>
      </c>
    </row>
    <row r="2355" spans="1:6">
      <c r="A2355" t="s">
        <v>2257</v>
      </c>
      <c r="B2355" t="s">
        <v>410</v>
      </c>
      <c r="C2355" t="s">
        <v>411</v>
      </c>
      <c r="D2355" t="str">
        <f>HYPERLINK("http://service.sap.com/sap/support/notes/1435103","1435103")</f>
        <v>1435103</v>
      </c>
      <c r="F2355" t="s">
        <v>2522</v>
      </c>
    </row>
    <row r="2356" spans="1:6">
      <c r="A2356" t="s">
        <v>2257</v>
      </c>
      <c r="B2356" t="s">
        <v>410</v>
      </c>
      <c r="C2356" t="s">
        <v>411</v>
      </c>
      <c r="D2356" t="str">
        <f>HYPERLINK("http://service.sap.com/sap/support/notes/1435540","1435540")</f>
        <v>1435540</v>
      </c>
      <c r="F2356" t="s">
        <v>2523</v>
      </c>
    </row>
    <row r="2357" spans="1:6">
      <c r="A2357" t="s">
        <v>2257</v>
      </c>
      <c r="B2357" t="s">
        <v>410</v>
      </c>
      <c r="C2357" t="s">
        <v>411</v>
      </c>
      <c r="D2357" t="str">
        <f>HYPERLINK("http://service.sap.com/sap/support/notes/1435707","1435707")</f>
        <v>1435707</v>
      </c>
      <c r="F2357" t="s">
        <v>2524</v>
      </c>
    </row>
    <row r="2358" spans="1:6">
      <c r="A2358" t="s">
        <v>2257</v>
      </c>
      <c r="B2358" t="s">
        <v>410</v>
      </c>
      <c r="C2358" t="s">
        <v>411</v>
      </c>
      <c r="D2358" t="str">
        <f>HYPERLINK("http://service.sap.com/sap/support/notes/1436580","1436580")</f>
        <v>1436580</v>
      </c>
      <c r="F2358" t="s">
        <v>2525</v>
      </c>
    </row>
    <row r="2359" spans="1:6">
      <c r="A2359" t="s">
        <v>2257</v>
      </c>
      <c r="B2359" t="s">
        <v>424</v>
      </c>
      <c r="C2359" t="s">
        <v>425</v>
      </c>
      <c r="D2359" t="str">
        <f>HYPERLINK("http://service.sap.com/sap/support/notes/1422182","1422182")</f>
        <v>1422182</v>
      </c>
      <c r="F2359" t="s">
        <v>2170</v>
      </c>
    </row>
    <row r="2360" spans="1:6">
      <c r="A2360" t="s">
        <v>2257</v>
      </c>
      <c r="B2360" t="s">
        <v>424</v>
      </c>
      <c r="C2360" t="s">
        <v>425</v>
      </c>
      <c r="D2360" t="str">
        <f>HYPERLINK("http://service.sap.com/sap/support/notes/1424375","1424375")</f>
        <v>1424375</v>
      </c>
      <c r="F2360" t="s">
        <v>2526</v>
      </c>
    </row>
    <row r="2361" spans="1:6">
      <c r="A2361" t="s">
        <v>2257</v>
      </c>
      <c r="B2361" t="s">
        <v>424</v>
      </c>
      <c r="C2361" t="s">
        <v>425</v>
      </c>
      <c r="D2361" t="str">
        <f>HYPERLINK("http://service.sap.com/sap/support/notes/1428004","1428004")</f>
        <v>1428004</v>
      </c>
      <c r="F2361" t="s">
        <v>2527</v>
      </c>
    </row>
    <row r="2362" spans="1:6">
      <c r="A2362" t="s">
        <v>2257</v>
      </c>
      <c r="B2362" t="s">
        <v>424</v>
      </c>
      <c r="C2362" t="s">
        <v>425</v>
      </c>
      <c r="D2362" t="str">
        <f>HYPERLINK("http://service.sap.com/sap/support/notes/1428283","1428283")</f>
        <v>1428283</v>
      </c>
      <c r="F2362" t="s">
        <v>2178</v>
      </c>
    </row>
    <row r="2363" spans="1:6">
      <c r="A2363" t="s">
        <v>2257</v>
      </c>
      <c r="B2363" t="s">
        <v>424</v>
      </c>
      <c r="C2363" t="s">
        <v>425</v>
      </c>
      <c r="D2363" t="str">
        <f>HYPERLINK("http://service.sap.com/sap/support/notes/1430050","1430050")</f>
        <v>1430050</v>
      </c>
      <c r="F2363" t="s">
        <v>2179</v>
      </c>
    </row>
    <row r="2364" spans="1:6">
      <c r="A2364" t="s">
        <v>2257</v>
      </c>
      <c r="B2364" t="s">
        <v>424</v>
      </c>
      <c r="C2364" t="s">
        <v>425</v>
      </c>
      <c r="D2364" t="str">
        <f>HYPERLINK("http://service.sap.com/sap/support/notes/1431545","1431545")</f>
        <v>1431545</v>
      </c>
      <c r="F2364" t="s">
        <v>2528</v>
      </c>
    </row>
    <row r="2365" spans="1:6">
      <c r="A2365" t="s">
        <v>2257</v>
      </c>
      <c r="B2365" t="s">
        <v>424</v>
      </c>
      <c r="C2365" t="s">
        <v>425</v>
      </c>
      <c r="D2365" t="str">
        <f>HYPERLINK("http://service.sap.com/sap/support/notes/1434259","1434259")</f>
        <v>1434259</v>
      </c>
      <c r="F2365" t="s">
        <v>2529</v>
      </c>
    </row>
    <row r="2366" spans="1:6">
      <c r="A2366" t="s">
        <v>2257</v>
      </c>
      <c r="B2366" t="s">
        <v>424</v>
      </c>
      <c r="C2366" t="s">
        <v>425</v>
      </c>
      <c r="D2366" t="str">
        <f>HYPERLINK("http://service.sap.com/sap/support/notes/1434960","1434960")</f>
        <v>1434960</v>
      </c>
      <c r="F2366" t="s">
        <v>2530</v>
      </c>
    </row>
    <row r="2367" spans="1:6">
      <c r="A2367" t="s">
        <v>2257</v>
      </c>
      <c r="B2367" t="s">
        <v>439</v>
      </c>
      <c r="C2367" t="s">
        <v>189</v>
      </c>
      <c r="D2367" t="str">
        <f>HYPERLINK("http://service.sap.com/sap/support/notes/1391921","1391921")</f>
        <v>1391921</v>
      </c>
      <c r="F2367" t="s">
        <v>440</v>
      </c>
    </row>
    <row r="2368" spans="1:6">
      <c r="A2368" t="s">
        <v>2257</v>
      </c>
      <c r="B2368" t="s">
        <v>441</v>
      </c>
      <c r="C2368" t="s">
        <v>442</v>
      </c>
      <c r="D2368" t="str">
        <f>HYPERLINK("http://service.sap.com/sap/support/notes/1132738","1132738")</f>
        <v>1132738</v>
      </c>
      <c r="F2368" t="s">
        <v>443</v>
      </c>
    </row>
    <row r="2369" spans="1:6">
      <c r="A2369" t="s">
        <v>2257</v>
      </c>
      <c r="B2369" t="s">
        <v>441</v>
      </c>
      <c r="C2369" t="s">
        <v>442</v>
      </c>
      <c r="D2369" t="str">
        <f>HYPERLINK("http://service.sap.com/sap/support/notes/1360744","1360744")</f>
        <v>1360744</v>
      </c>
      <c r="F2369" t="s">
        <v>444</v>
      </c>
    </row>
    <row r="2370" spans="1:6">
      <c r="A2370" t="s">
        <v>2257</v>
      </c>
      <c r="B2370" t="s">
        <v>441</v>
      </c>
      <c r="C2370" t="s">
        <v>442</v>
      </c>
      <c r="D2370" t="str">
        <f>HYPERLINK("http://service.sap.com/sap/support/notes/1417026","1417026")</f>
        <v>1417026</v>
      </c>
      <c r="F2370" t="s">
        <v>2531</v>
      </c>
    </row>
    <row r="2371" spans="1:6">
      <c r="A2371" t="s">
        <v>2257</v>
      </c>
      <c r="B2371" t="s">
        <v>441</v>
      </c>
      <c r="C2371" t="s">
        <v>442</v>
      </c>
      <c r="D2371" t="str">
        <f>HYPERLINK("http://service.sap.com/sap/support/notes/1430404","1430404")</f>
        <v>1430404</v>
      </c>
      <c r="F2371" t="s">
        <v>2532</v>
      </c>
    </row>
    <row r="2372" spans="1:6">
      <c r="A2372" t="s">
        <v>2257</v>
      </c>
      <c r="B2372" t="s">
        <v>441</v>
      </c>
      <c r="C2372" t="s">
        <v>442</v>
      </c>
      <c r="D2372" t="str">
        <f>HYPERLINK("http://service.sap.com/sap/support/notes/1430849","1430849")</f>
        <v>1430849</v>
      </c>
      <c r="F2372" t="s">
        <v>2533</v>
      </c>
    </row>
    <row r="2373" spans="1:6">
      <c r="A2373" t="s">
        <v>2257</v>
      </c>
      <c r="B2373" t="s">
        <v>441</v>
      </c>
      <c r="C2373" t="s">
        <v>442</v>
      </c>
      <c r="D2373" t="str">
        <f>HYPERLINK("http://service.sap.com/sap/support/notes/1432364","1432364")</f>
        <v>1432364</v>
      </c>
      <c r="F2373" t="s">
        <v>2534</v>
      </c>
    </row>
    <row r="2374" spans="1:6">
      <c r="A2374" t="s">
        <v>2257</v>
      </c>
      <c r="B2374" t="s">
        <v>441</v>
      </c>
      <c r="C2374" t="s">
        <v>442</v>
      </c>
      <c r="D2374" t="str">
        <f>HYPERLINK("http://service.sap.com/sap/support/notes/1432369","1432369")</f>
        <v>1432369</v>
      </c>
      <c r="F2374" t="s">
        <v>2535</v>
      </c>
    </row>
    <row r="2375" spans="1:6">
      <c r="A2375" t="s">
        <v>2257</v>
      </c>
      <c r="B2375" t="s">
        <v>441</v>
      </c>
      <c r="C2375" t="s">
        <v>442</v>
      </c>
      <c r="D2375" t="str">
        <f>HYPERLINK("http://service.sap.com/sap/support/notes/1434235","1434235")</f>
        <v>1434235</v>
      </c>
      <c r="F2375" t="s">
        <v>2536</v>
      </c>
    </row>
    <row r="2376" spans="1:6">
      <c r="A2376" t="s">
        <v>2257</v>
      </c>
      <c r="B2376" t="s">
        <v>1247</v>
      </c>
      <c r="C2376" t="s">
        <v>87</v>
      </c>
      <c r="D2376" t="str">
        <f>HYPERLINK("http://service.sap.com/sap/support/notes/1432309","1432309")</f>
        <v>1432309</v>
      </c>
      <c r="F2376" t="s">
        <v>2537</v>
      </c>
    </row>
    <row r="2377" spans="1:6">
      <c r="A2377" t="s">
        <v>2257</v>
      </c>
      <c r="B2377" t="s">
        <v>1247</v>
      </c>
      <c r="C2377" t="s">
        <v>87</v>
      </c>
      <c r="D2377" t="str">
        <f>HYPERLINK("http://service.sap.com/sap/support/notes/1433581","1433581")</f>
        <v>1433581</v>
      </c>
      <c r="F2377" t="s">
        <v>2538</v>
      </c>
    </row>
    <row r="2378" spans="1:6">
      <c r="A2378" t="s">
        <v>2257</v>
      </c>
      <c r="B2378" t="s">
        <v>1247</v>
      </c>
      <c r="C2378" t="s">
        <v>87</v>
      </c>
      <c r="D2378" t="str">
        <f>HYPERLINK("http://service.sap.com/sap/support/notes/1434166","1434166")</f>
        <v>1434166</v>
      </c>
      <c r="F2378" t="s">
        <v>2539</v>
      </c>
    </row>
    <row r="2379" spans="1:6">
      <c r="A2379" t="s">
        <v>2257</v>
      </c>
      <c r="B2379" t="s">
        <v>1247</v>
      </c>
      <c r="C2379" t="s">
        <v>87</v>
      </c>
      <c r="D2379" t="str">
        <f>HYPERLINK("http://service.sap.com/sap/support/notes/1436622","1436622")</f>
        <v>1436622</v>
      </c>
      <c r="F2379" t="s">
        <v>2540</v>
      </c>
    </row>
    <row r="2380" spans="1:6">
      <c r="A2380" t="s">
        <v>2257</v>
      </c>
      <c r="B2380" t="s">
        <v>1247</v>
      </c>
      <c r="C2380" t="s">
        <v>87</v>
      </c>
      <c r="D2380" t="str">
        <f>HYPERLINK("http://service.sap.com/sap/support/notes/1439050","1439050")</f>
        <v>1439050</v>
      </c>
      <c r="F2380" t="s">
        <v>2541</v>
      </c>
    </row>
    <row r="2381" spans="1:6">
      <c r="A2381" t="s">
        <v>2257</v>
      </c>
      <c r="B2381" t="s">
        <v>1247</v>
      </c>
      <c r="C2381" t="s">
        <v>87</v>
      </c>
      <c r="D2381" t="str">
        <f>HYPERLINK("http://service.sap.com/sap/support/notes/1439160","1439160")</f>
        <v>1439160</v>
      </c>
      <c r="F2381" t="s">
        <v>2542</v>
      </c>
    </row>
    <row r="2382" spans="1:6">
      <c r="A2382" t="s">
        <v>2257</v>
      </c>
      <c r="B2382" t="s">
        <v>450</v>
      </c>
      <c r="C2382" t="s">
        <v>451</v>
      </c>
      <c r="D2382" t="str">
        <f>HYPERLINK("http://service.sap.com/sap/support/notes/1413457","1413457")</f>
        <v>1413457</v>
      </c>
      <c r="F2382" t="s">
        <v>2543</v>
      </c>
    </row>
    <row r="2383" spans="1:6">
      <c r="A2383" t="s">
        <v>2257</v>
      </c>
      <c r="B2383" t="s">
        <v>450</v>
      </c>
      <c r="C2383" t="s">
        <v>451</v>
      </c>
      <c r="D2383" t="str">
        <f>HYPERLINK("http://service.sap.com/sap/support/notes/1422788","1422788")</f>
        <v>1422788</v>
      </c>
      <c r="F2383" t="s">
        <v>2544</v>
      </c>
    </row>
    <row r="2384" spans="1:6">
      <c r="A2384" t="s">
        <v>2257</v>
      </c>
      <c r="B2384" t="s">
        <v>450</v>
      </c>
      <c r="C2384" t="s">
        <v>451</v>
      </c>
      <c r="D2384" t="str">
        <f>HYPERLINK("http://service.sap.com/sap/support/notes/1427727","1427727")</f>
        <v>1427727</v>
      </c>
      <c r="F2384" t="s">
        <v>2545</v>
      </c>
    </row>
    <row r="2385" spans="1:6">
      <c r="A2385" t="s">
        <v>2257</v>
      </c>
      <c r="B2385" t="s">
        <v>450</v>
      </c>
      <c r="C2385" t="s">
        <v>451</v>
      </c>
      <c r="D2385" t="str">
        <f>HYPERLINK("http://service.sap.com/sap/support/notes/1431501","1431501")</f>
        <v>1431501</v>
      </c>
      <c r="F2385" t="s">
        <v>2546</v>
      </c>
    </row>
    <row r="2386" spans="1:6">
      <c r="A2386" t="s">
        <v>2257</v>
      </c>
      <c r="B2386" t="s">
        <v>450</v>
      </c>
      <c r="C2386" t="s">
        <v>451</v>
      </c>
      <c r="D2386" t="str">
        <f>HYPERLINK("http://service.sap.com/sap/support/notes/1432237","1432237")</f>
        <v>1432237</v>
      </c>
      <c r="F2386" t="s">
        <v>2547</v>
      </c>
    </row>
    <row r="2387" spans="1:6">
      <c r="A2387" t="s">
        <v>2257</v>
      </c>
      <c r="B2387" t="s">
        <v>455</v>
      </c>
      <c r="C2387" t="s">
        <v>456</v>
      </c>
      <c r="D2387" t="str">
        <f>HYPERLINK("http://service.sap.com/sap/support/notes/1426805","1426805")</f>
        <v>1426805</v>
      </c>
      <c r="F2387" t="s">
        <v>2548</v>
      </c>
    </row>
    <row r="2388" spans="1:6">
      <c r="A2388" t="s">
        <v>2257</v>
      </c>
      <c r="B2388" t="s">
        <v>455</v>
      </c>
      <c r="C2388" t="s">
        <v>456</v>
      </c>
      <c r="D2388" t="str">
        <f>HYPERLINK("http://service.sap.com/sap/support/notes/1429320","1429320")</f>
        <v>1429320</v>
      </c>
      <c r="F2388" t="s">
        <v>2549</v>
      </c>
    </row>
    <row r="2389" spans="1:6">
      <c r="A2389" t="s">
        <v>2257</v>
      </c>
      <c r="B2389" t="s">
        <v>455</v>
      </c>
      <c r="C2389" t="s">
        <v>456</v>
      </c>
      <c r="D2389" t="str">
        <f>HYPERLINK("http://service.sap.com/sap/support/notes/1432249","1432249")</f>
        <v>1432249</v>
      </c>
      <c r="F2389" t="s">
        <v>2550</v>
      </c>
    </row>
    <row r="2390" spans="1:6">
      <c r="A2390" t="s">
        <v>2257</v>
      </c>
      <c r="B2390" t="s">
        <v>458</v>
      </c>
      <c r="C2390" t="s">
        <v>90</v>
      </c>
      <c r="D2390" t="str">
        <f>HYPERLINK("http://service.sap.com/sap/support/notes/645372","645372")</f>
        <v>645372</v>
      </c>
      <c r="F2390" t="s">
        <v>459</v>
      </c>
    </row>
    <row r="2391" spans="1:6">
      <c r="A2391" t="s">
        <v>2257</v>
      </c>
      <c r="B2391" t="s">
        <v>458</v>
      </c>
      <c r="C2391" t="s">
        <v>90</v>
      </c>
      <c r="D2391" t="str">
        <f>HYPERLINK("http://service.sap.com/sap/support/notes/1414858","1414858")</f>
        <v>1414858</v>
      </c>
      <c r="F2391" t="s">
        <v>2551</v>
      </c>
    </row>
    <row r="2392" spans="1:6">
      <c r="A2392" t="s">
        <v>2257</v>
      </c>
      <c r="B2392" t="s">
        <v>458</v>
      </c>
      <c r="C2392" t="s">
        <v>90</v>
      </c>
      <c r="D2392" t="str">
        <f>HYPERLINK("http://service.sap.com/sap/support/notes/1424981","1424981")</f>
        <v>1424981</v>
      </c>
      <c r="F2392" t="s">
        <v>2552</v>
      </c>
    </row>
    <row r="2393" spans="1:6">
      <c r="A2393" t="s">
        <v>2257</v>
      </c>
      <c r="B2393" t="s">
        <v>458</v>
      </c>
      <c r="C2393" t="s">
        <v>90</v>
      </c>
      <c r="D2393" t="str">
        <f>HYPERLINK("http://service.sap.com/sap/support/notes/1428308","1428308")</f>
        <v>1428308</v>
      </c>
      <c r="F2393" t="s">
        <v>2553</v>
      </c>
    </row>
    <row r="2394" spans="1:6">
      <c r="A2394" t="s">
        <v>2257</v>
      </c>
      <c r="B2394" t="s">
        <v>458</v>
      </c>
      <c r="C2394" t="s">
        <v>90</v>
      </c>
      <c r="D2394" t="str">
        <f>HYPERLINK("http://service.sap.com/sap/support/notes/1430015","1430015")</f>
        <v>1430015</v>
      </c>
      <c r="F2394" t="s">
        <v>2554</v>
      </c>
    </row>
    <row r="2395" spans="1:6">
      <c r="A2395" t="s">
        <v>2257</v>
      </c>
      <c r="B2395" t="s">
        <v>458</v>
      </c>
      <c r="C2395" t="s">
        <v>90</v>
      </c>
      <c r="D2395" t="str">
        <f>HYPERLINK("http://service.sap.com/sap/support/notes/1430093","1430093")</f>
        <v>1430093</v>
      </c>
      <c r="F2395" t="s">
        <v>2555</v>
      </c>
    </row>
    <row r="2396" spans="1:6">
      <c r="A2396" t="s">
        <v>2257</v>
      </c>
      <c r="B2396" t="s">
        <v>458</v>
      </c>
      <c r="C2396" t="s">
        <v>90</v>
      </c>
      <c r="D2396" t="str">
        <f>HYPERLINK("http://service.sap.com/sap/support/notes/1431368","1431368")</f>
        <v>1431368</v>
      </c>
      <c r="F2396" t="s">
        <v>2556</v>
      </c>
    </row>
    <row r="2397" spans="1:6">
      <c r="A2397" t="s">
        <v>2257</v>
      </c>
      <c r="B2397" t="s">
        <v>458</v>
      </c>
      <c r="C2397" t="s">
        <v>90</v>
      </c>
      <c r="D2397" t="str">
        <f>HYPERLINK("http://service.sap.com/sap/support/notes/1432322","1432322")</f>
        <v>1432322</v>
      </c>
      <c r="F2397" t="s">
        <v>2557</v>
      </c>
    </row>
    <row r="2398" spans="1:6">
      <c r="A2398" t="s">
        <v>2257</v>
      </c>
      <c r="B2398" t="s">
        <v>458</v>
      </c>
      <c r="C2398" t="s">
        <v>90</v>
      </c>
      <c r="D2398" t="str">
        <f>HYPERLINK("http://service.sap.com/sap/support/notes/1432986","1432986")</f>
        <v>1432986</v>
      </c>
      <c r="F2398" t="s">
        <v>2558</v>
      </c>
    </row>
    <row r="2399" spans="1:6">
      <c r="A2399" t="s">
        <v>2257</v>
      </c>
      <c r="B2399" t="s">
        <v>458</v>
      </c>
      <c r="C2399" t="s">
        <v>90</v>
      </c>
      <c r="D2399" t="str">
        <f>HYPERLINK("http://service.sap.com/sap/support/notes/1433615","1433615")</f>
        <v>1433615</v>
      </c>
      <c r="F2399" t="s">
        <v>2559</v>
      </c>
    </row>
    <row r="2400" spans="1:6">
      <c r="A2400" t="s">
        <v>2257</v>
      </c>
      <c r="B2400" t="s">
        <v>458</v>
      </c>
      <c r="C2400" t="s">
        <v>90</v>
      </c>
      <c r="D2400" t="str">
        <f>HYPERLINK("http://service.sap.com/sap/support/notes/1435257","1435257")</f>
        <v>1435257</v>
      </c>
      <c r="F2400" t="s">
        <v>2560</v>
      </c>
    </row>
    <row r="2401" spans="1:6">
      <c r="A2401" t="s">
        <v>2257</v>
      </c>
      <c r="B2401" t="s">
        <v>463</v>
      </c>
      <c r="C2401" t="s">
        <v>93</v>
      </c>
      <c r="D2401" t="str">
        <f>HYPERLINK("http://service.sap.com/sap/support/notes/1418894","1418894")</f>
        <v>1418894</v>
      </c>
      <c r="F2401" t="s">
        <v>2561</v>
      </c>
    </row>
    <row r="2402" spans="1:6">
      <c r="A2402" t="s">
        <v>2257</v>
      </c>
      <c r="B2402" t="s">
        <v>463</v>
      </c>
      <c r="C2402" t="s">
        <v>93</v>
      </c>
      <c r="D2402" t="str">
        <f>HYPERLINK("http://service.sap.com/sap/support/notes/1430590","1430590")</f>
        <v>1430590</v>
      </c>
      <c r="F2402" t="s">
        <v>2562</v>
      </c>
    </row>
    <row r="2403" spans="1:6">
      <c r="A2403" t="s">
        <v>2257</v>
      </c>
      <c r="B2403" t="s">
        <v>463</v>
      </c>
      <c r="C2403" t="s">
        <v>93</v>
      </c>
      <c r="D2403" t="str">
        <f>HYPERLINK("http://service.sap.com/sap/support/notes/1432145","1432145")</f>
        <v>1432145</v>
      </c>
      <c r="F2403" t="s">
        <v>2563</v>
      </c>
    </row>
    <row r="2404" spans="1:6">
      <c r="A2404" t="s">
        <v>2257</v>
      </c>
      <c r="B2404" t="s">
        <v>463</v>
      </c>
      <c r="C2404" t="s">
        <v>93</v>
      </c>
      <c r="D2404" t="str">
        <f>HYPERLINK("http://service.sap.com/sap/support/notes/1433000","1433000")</f>
        <v>1433000</v>
      </c>
      <c r="F2404" t="s">
        <v>2564</v>
      </c>
    </row>
    <row r="2405" spans="1:6">
      <c r="A2405" t="s">
        <v>2257</v>
      </c>
      <c r="B2405" t="s">
        <v>463</v>
      </c>
      <c r="C2405" t="s">
        <v>93</v>
      </c>
      <c r="D2405" t="str">
        <f>HYPERLINK("http://service.sap.com/sap/support/notes/1435219","1435219")</f>
        <v>1435219</v>
      </c>
      <c r="F2405" t="s">
        <v>2565</v>
      </c>
    </row>
    <row r="2406" spans="1:6">
      <c r="A2406" t="s">
        <v>2257</v>
      </c>
      <c r="B2406" t="s">
        <v>463</v>
      </c>
      <c r="C2406" t="s">
        <v>93</v>
      </c>
      <c r="D2406" t="str">
        <f>HYPERLINK("http://service.sap.com/sap/support/notes/1436751","1436751")</f>
        <v>1436751</v>
      </c>
      <c r="F2406" t="s">
        <v>2566</v>
      </c>
    </row>
    <row r="2407" spans="1:6">
      <c r="A2407" t="s">
        <v>2257</v>
      </c>
      <c r="B2407" t="s">
        <v>463</v>
      </c>
      <c r="C2407" t="s">
        <v>93</v>
      </c>
      <c r="D2407" t="str">
        <f>HYPERLINK("http://service.sap.com/sap/support/notes/1438395","1438395")</f>
        <v>1438395</v>
      </c>
      <c r="F2407" t="s">
        <v>2567</v>
      </c>
    </row>
    <row r="2408" spans="1:6">
      <c r="A2408" t="s">
        <v>2257</v>
      </c>
      <c r="B2408" t="s">
        <v>475</v>
      </c>
      <c r="C2408" t="s">
        <v>476</v>
      </c>
      <c r="D2408" t="str">
        <f>HYPERLINK("http://service.sap.com/sap/support/notes/1374311","1374311")</f>
        <v>1374311</v>
      </c>
      <c r="F2408" t="s">
        <v>477</v>
      </c>
    </row>
    <row r="2409" spans="1:6">
      <c r="A2409" t="s">
        <v>2257</v>
      </c>
      <c r="B2409" t="s">
        <v>475</v>
      </c>
      <c r="C2409" t="s">
        <v>476</v>
      </c>
      <c r="D2409" t="str">
        <f>HYPERLINK("http://service.sap.com/sap/support/notes/1413782","1413782")</f>
        <v>1413782</v>
      </c>
      <c r="F2409" t="s">
        <v>2568</v>
      </c>
    </row>
    <row r="2410" spans="1:6">
      <c r="A2410" t="s">
        <v>2257</v>
      </c>
      <c r="B2410" t="s">
        <v>475</v>
      </c>
      <c r="C2410" t="s">
        <v>476</v>
      </c>
      <c r="D2410" t="str">
        <f>HYPERLINK("http://service.sap.com/sap/support/notes/1429399","1429399")</f>
        <v>1429399</v>
      </c>
      <c r="F2410" t="s">
        <v>2569</v>
      </c>
    </row>
    <row r="2411" spans="1:6">
      <c r="A2411" t="s">
        <v>2257</v>
      </c>
      <c r="B2411" t="s">
        <v>475</v>
      </c>
      <c r="C2411" t="s">
        <v>476</v>
      </c>
      <c r="D2411" t="str">
        <f>HYPERLINK("http://service.sap.com/sap/support/notes/1430561","1430561")</f>
        <v>1430561</v>
      </c>
      <c r="F2411" t="s">
        <v>2570</v>
      </c>
    </row>
    <row r="2412" spans="1:6">
      <c r="A2412" t="s">
        <v>2257</v>
      </c>
      <c r="B2412" t="s">
        <v>475</v>
      </c>
      <c r="C2412" t="s">
        <v>476</v>
      </c>
      <c r="D2412" t="str">
        <f>HYPERLINK("http://service.sap.com/sap/support/notes/1430932","1430932")</f>
        <v>1430932</v>
      </c>
      <c r="F2412" t="s">
        <v>2571</v>
      </c>
    </row>
    <row r="2413" spans="1:6">
      <c r="A2413" t="s">
        <v>2257</v>
      </c>
      <c r="B2413" t="s">
        <v>475</v>
      </c>
      <c r="C2413" t="s">
        <v>476</v>
      </c>
      <c r="D2413" t="str">
        <f>HYPERLINK("http://service.sap.com/sap/support/notes/1431578","1431578")</f>
        <v>1431578</v>
      </c>
      <c r="F2413" t="s">
        <v>2572</v>
      </c>
    </row>
    <row r="2414" spans="1:6">
      <c r="A2414" t="s">
        <v>2257</v>
      </c>
      <c r="B2414" t="s">
        <v>475</v>
      </c>
      <c r="C2414" t="s">
        <v>476</v>
      </c>
      <c r="D2414" t="str">
        <f>HYPERLINK("http://service.sap.com/sap/support/notes/1433593","1433593")</f>
        <v>1433593</v>
      </c>
      <c r="F2414" t="s">
        <v>2573</v>
      </c>
    </row>
    <row r="2415" spans="1:6">
      <c r="A2415" t="s">
        <v>2257</v>
      </c>
      <c r="B2415" t="s">
        <v>475</v>
      </c>
      <c r="C2415" t="s">
        <v>476</v>
      </c>
      <c r="D2415" t="str">
        <f>HYPERLINK("http://service.sap.com/sap/support/notes/1434607","1434607")</f>
        <v>1434607</v>
      </c>
      <c r="F2415" t="s">
        <v>2574</v>
      </c>
    </row>
    <row r="2416" spans="1:6">
      <c r="A2416" t="s">
        <v>2257</v>
      </c>
      <c r="B2416" t="s">
        <v>475</v>
      </c>
      <c r="C2416" t="s">
        <v>476</v>
      </c>
      <c r="D2416" t="str">
        <f>HYPERLINK("http://service.sap.com/sap/support/notes/1436468","1436468")</f>
        <v>1436468</v>
      </c>
      <c r="F2416" t="s">
        <v>2575</v>
      </c>
    </row>
    <row r="2417" spans="1:6">
      <c r="A2417" t="s">
        <v>2257</v>
      </c>
      <c r="B2417" t="s">
        <v>1272</v>
      </c>
      <c r="C2417" t="s">
        <v>2221</v>
      </c>
      <c r="D2417" t="str">
        <f>HYPERLINK("http://service.sap.com/sap/support/notes/1423192","1423192")</f>
        <v>1423192</v>
      </c>
      <c r="F2417" t="s">
        <v>2576</v>
      </c>
    </row>
    <row r="2418" spans="1:6">
      <c r="A2418" t="s">
        <v>2257</v>
      </c>
      <c r="B2418" t="s">
        <v>479</v>
      </c>
      <c r="C2418" t="s">
        <v>480</v>
      </c>
      <c r="D2418" t="str">
        <f>HYPERLINK("http://service.sap.com/sap/support/notes/1352804","1352804")</f>
        <v>1352804</v>
      </c>
      <c r="F2418" t="s">
        <v>2577</v>
      </c>
    </row>
    <row r="2419" spans="1:6">
      <c r="A2419" t="s">
        <v>2257</v>
      </c>
      <c r="B2419" t="s">
        <v>479</v>
      </c>
      <c r="C2419" t="s">
        <v>480</v>
      </c>
      <c r="D2419" t="str">
        <f>HYPERLINK("http://service.sap.com/sap/support/notes/1387130","1387130")</f>
        <v>1387130</v>
      </c>
      <c r="F2419" t="s">
        <v>481</v>
      </c>
    </row>
    <row r="2420" spans="1:6">
      <c r="A2420" t="s">
        <v>2257</v>
      </c>
      <c r="B2420" t="s">
        <v>479</v>
      </c>
      <c r="C2420" t="s">
        <v>480</v>
      </c>
      <c r="D2420" t="str">
        <f>HYPERLINK("http://service.sap.com/sap/support/notes/1388189","1388189")</f>
        <v>1388189</v>
      </c>
      <c r="F2420" t="s">
        <v>2578</v>
      </c>
    </row>
    <row r="2421" spans="1:6">
      <c r="A2421" t="s">
        <v>2257</v>
      </c>
      <c r="B2421" t="s">
        <v>479</v>
      </c>
      <c r="C2421" t="s">
        <v>480</v>
      </c>
      <c r="D2421" t="str">
        <f>HYPERLINK("http://service.sap.com/sap/support/notes/1389191","1389191")</f>
        <v>1389191</v>
      </c>
      <c r="F2421" t="s">
        <v>2579</v>
      </c>
    </row>
    <row r="2422" spans="1:6">
      <c r="A2422" t="s">
        <v>2257</v>
      </c>
      <c r="B2422" t="s">
        <v>482</v>
      </c>
      <c r="C2422" t="s">
        <v>483</v>
      </c>
      <c r="D2422" t="str">
        <f>HYPERLINK("http://service.sap.com/sap/support/notes/808408","808408")</f>
        <v>808408</v>
      </c>
      <c r="F2422" t="s">
        <v>1857</v>
      </c>
    </row>
    <row r="2423" spans="1:6">
      <c r="A2423" t="s">
        <v>2257</v>
      </c>
      <c r="B2423" t="s">
        <v>482</v>
      </c>
      <c r="C2423" t="s">
        <v>483</v>
      </c>
      <c r="D2423" t="str">
        <f>HYPERLINK("http://service.sap.com/sap/support/notes/1423137","1423137")</f>
        <v>1423137</v>
      </c>
      <c r="F2423" t="s">
        <v>2580</v>
      </c>
    </row>
    <row r="2424" spans="1:6">
      <c r="A2424" t="s">
        <v>2257</v>
      </c>
      <c r="B2424" t="s">
        <v>482</v>
      </c>
      <c r="C2424" t="s">
        <v>483</v>
      </c>
      <c r="D2424" t="str">
        <f>HYPERLINK("http://service.sap.com/sap/support/notes/1438231","1438231")</f>
        <v>1438231</v>
      </c>
      <c r="F2424" t="s">
        <v>2581</v>
      </c>
    </row>
    <row r="2425" spans="1:6">
      <c r="A2425" t="s">
        <v>2257</v>
      </c>
      <c r="B2425" t="s">
        <v>485</v>
      </c>
      <c r="C2425" t="s">
        <v>486</v>
      </c>
    </row>
    <row r="2426" spans="1:6">
      <c r="A2426" t="s">
        <v>2257</v>
      </c>
      <c r="B2426" t="s">
        <v>489</v>
      </c>
      <c r="C2426" t="s">
        <v>490</v>
      </c>
      <c r="D2426" t="str">
        <f>HYPERLINK("http://service.sap.com/sap/support/notes/1347078","1347078")</f>
        <v>1347078</v>
      </c>
      <c r="F2426" t="s">
        <v>2582</v>
      </c>
    </row>
    <row r="2427" spans="1:6">
      <c r="A2427" t="s">
        <v>2257</v>
      </c>
      <c r="B2427" t="s">
        <v>489</v>
      </c>
      <c r="C2427" t="s">
        <v>490</v>
      </c>
      <c r="D2427" t="str">
        <f>HYPERLINK("http://service.sap.com/sap/support/notes/1355376","1355376")</f>
        <v>1355376</v>
      </c>
      <c r="F2427" t="s">
        <v>2583</v>
      </c>
    </row>
    <row r="2428" spans="1:6">
      <c r="A2428" t="s">
        <v>2257</v>
      </c>
      <c r="B2428" t="s">
        <v>492</v>
      </c>
      <c r="C2428" t="s">
        <v>493</v>
      </c>
      <c r="D2428" t="str">
        <f>HYPERLINK("http://service.sap.com/sap/support/notes/1364499","1364499")</f>
        <v>1364499</v>
      </c>
      <c r="F2428" t="s">
        <v>494</v>
      </c>
    </row>
    <row r="2429" spans="1:6">
      <c r="A2429" t="s">
        <v>2257</v>
      </c>
      <c r="B2429" t="s">
        <v>492</v>
      </c>
      <c r="C2429" t="s">
        <v>493</v>
      </c>
      <c r="D2429" t="str">
        <f>HYPERLINK("http://service.sap.com/sap/support/notes/1430076","1430076")</f>
        <v>1430076</v>
      </c>
      <c r="F2429" t="s">
        <v>2584</v>
      </c>
    </row>
    <row r="2430" spans="1:6">
      <c r="A2430" t="s">
        <v>2257</v>
      </c>
      <c r="B2430" t="s">
        <v>492</v>
      </c>
      <c r="C2430" t="s">
        <v>493</v>
      </c>
      <c r="D2430" t="str">
        <f>HYPERLINK("http://service.sap.com/sap/support/notes/1433096","1433096")</f>
        <v>1433096</v>
      </c>
      <c r="F2430" t="s">
        <v>2585</v>
      </c>
    </row>
    <row r="2431" spans="1:6">
      <c r="A2431" t="s">
        <v>2257</v>
      </c>
      <c r="B2431" t="s">
        <v>492</v>
      </c>
      <c r="C2431" t="s">
        <v>493</v>
      </c>
      <c r="D2431" t="str">
        <f>HYPERLINK("http://service.sap.com/sap/support/notes/1433590","1433590")</f>
        <v>1433590</v>
      </c>
      <c r="F2431" t="s">
        <v>2586</v>
      </c>
    </row>
    <row r="2432" spans="1:6">
      <c r="A2432" t="s">
        <v>2257</v>
      </c>
      <c r="B2432" t="s">
        <v>492</v>
      </c>
      <c r="C2432" t="s">
        <v>493</v>
      </c>
      <c r="D2432" t="str">
        <f>HYPERLINK("http://service.sap.com/sap/support/notes/1436484","1436484")</f>
        <v>1436484</v>
      </c>
      <c r="F2432" t="s">
        <v>2587</v>
      </c>
    </row>
    <row r="2433" spans="1:6">
      <c r="A2433" t="s">
        <v>2257</v>
      </c>
      <c r="B2433" t="s">
        <v>500</v>
      </c>
      <c r="C2433" t="s">
        <v>501</v>
      </c>
      <c r="D2433" t="str">
        <f>HYPERLINK("http://service.sap.com/sap/support/notes/1430878","1430878")</f>
        <v>1430878</v>
      </c>
      <c r="F2433" t="s">
        <v>2588</v>
      </c>
    </row>
    <row r="2434" spans="1:6">
      <c r="A2434" t="s">
        <v>2257</v>
      </c>
      <c r="B2434" t="s">
        <v>500</v>
      </c>
      <c r="C2434" t="s">
        <v>501</v>
      </c>
      <c r="D2434" t="str">
        <f>HYPERLINK("http://service.sap.com/sap/support/notes/1431538","1431538")</f>
        <v>1431538</v>
      </c>
      <c r="F2434" t="s">
        <v>2589</v>
      </c>
    </row>
    <row r="2435" spans="1:6">
      <c r="A2435" t="s">
        <v>2257</v>
      </c>
      <c r="B2435" t="s">
        <v>500</v>
      </c>
      <c r="C2435" t="s">
        <v>501</v>
      </c>
      <c r="D2435" t="str">
        <f>HYPERLINK("http://service.sap.com/sap/support/notes/1431912","1431912")</f>
        <v>1431912</v>
      </c>
      <c r="F2435" t="s">
        <v>2590</v>
      </c>
    </row>
    <row r="2436" spans="1:6">
      <c r="A2436" t="s">
        <v>2257</v>
      </c>
      <c r="B2436" t="s">
        <v>500</v>
      </c>
      <c r="C2436" t="s">
        <v>501</v>
      </c>
      <c r="D2436" t="str">
        <f>HYPERLINK("http://service.sap.com/sap/support/notes/1432943","1432943")</f>
        <v>1432943</v>
      </c>
      <c r="F2436" t="s">
        <v>2591</v>
      </c>
    </row>
    <row r="2437" spans="1:6">
      <c r="A2437" t="s">
        <v>2257</v>
      </c>
      <c r="B2437" t="s">
        <v>500</v>
      </c>
      <c r="C2437" t="s">
        <v>501</v>
      </c>
      <c r="D2437" t="str">
        <f>HYPERLINK("http://service.sap.com/sap/support/notes/1433486","1433486")</f>
        <v>1433486</v>
      </c>
      <c r="F2437" t="s">
        <v>2592</v>
      </c>
    </row>
    <row r="2438" spans="1:6">
      <c r="A2438" t="s">
        <v>2257</v>
      </c>
      <c r="B2438" t="s">
        <v>500</v>
      </c>
      <c r="C2438" t="s">
        <v>501</v>
      </c>
      <c r="D2438" t="str">
        <f>HYPERLINK("http://service.sap.com/sap/support/notes/1434083","1434083")</f>
        <v>1434083</v>
      </c>
      <c r="F2438" t="s">
        <v>2593</v>
      </c>
    </row>
    <row r="2439" spans="1:6">
      <c r="A2439" t="s">
        <v>2257</v>
      </c>
      <c r="B2439" t="s">
        <v>500</v>
      </c>
      <c r="C2439" t="s">
        <v>501</v>
      </c>
      <c r="D2439" t="str">
        <f>HYPERLINK("http://service.sap.com/sap/support/notes/1434142","1434142")</f>
        <v>1434142</v>
      </c>
      <c r="F2439" t="s">
        <v>2594</v>
      </c>
    </row>
    <row r="2440" spans="1:6">
      <c r="A2440" t="s">
        <v>2257</v>
      </c>
      <c r="B2440" t="s">
        <v>504</v>
      </c>
      <c r="C2440" t="s">
        <v>110</v>
      </c>
      <c r="D2440" t="str">
        <f>HYPERLINK("http://service.sap.com/sap/support/notes/1390600","1390600")</f>
        <v>1390600</v>
      </c>
      <c r="F2440" t="s">
        <v>507</v>
      </c>
    </row>
    <row r="2441" spans="1:6">
      <c r="A2441" t="s">
        <v>2257</v>
      </c>
      <c r="B2441" t="s">
        <v>504</v>
      </c>
      <c r="C2441" t="s">
        <v>110</v>
      </c>
      <c r="D2441" t="str">
        <f>HYPERLINK("http://service.sap.com/sap/support/notes/1431634","1431634")</f>
        <v>1431634</v>
      </c>
      <c r="F2441" t="s">
        <v>2595</v>
      </c>
    </row>
    <row r="2442" spans="1:6">
      <c r="A2442" t="s">
        <v>2257</v>
      </c>
      <c r="B2442" t="s">
        <v>504</v>
      </c>
      <c r="C2442" t="s">
        <v>110</v>
      </c>
      <c r="D2442" t="str">
        <f>HYPERLINK("http://service.sap.com/sap/support/notes/1431884","1431884")</f>
        <v>1431884</v>
      </c>
      <c r="F2442" t="s">
        <v>2596</v>
      </c>
    </row>
    <row r="2443" spans="1:6">
      <c r="A2443" t="s">
        <v>2257</v>
      </c>
      <c r="B2443" t="s">
        <v>504</v>
      </c>
      <c r="C2443" t="s">
        <v>110</v>
      </c>
      <c r="D2443" t="str">
        <f>HYPERLINK("http://service.sap.com/sap/support/notes/1435221","1435221")</f>
        <v>1435221</v>
      </c>
      <c r="F2443" t="s">
        <v>2597</v>
      </c>
    </row>
    <row r="2444" spans="1:6">
      <c r="A2444" t="s">
        <v>2257</v>
      </c>
      <c r="B2444" t="s">
        <v>504</v>
      </c>
      <c r="C2444" t="s">
        <v>110</v>
      </c>
      <c r="D2444" t="str">
        <f>HYPERLINK("http://service.sap.com/sap/support/notes/1435566","1435566")</f>
        <v>1435566</v>
      </c>
      <c r="F2444" t="s">
        <v>2598</v>
      </c>
    </row>
    <row r="2445" spans="1:6">
      <c r="A2445" t="s">
        <v>2257</v>
      </c>
      <c r="B2445" t="s">
        <v>504</v>
      </c>
      <c r="C2445" t="s">
        <v>110</v>
      </c>
      <c r="D2445" t="str">
        <f>HYPERLINK("http://service.sap.com/sap/support/notes/1436620","1436620")</f>
        <v>1436620</v>
      </c>
      <c r="F2445" t="s">
        <v>2599</v>
      </c>
    </row>
    <row r="2446" spans="1:6">
      <c r="A2446" t="s">
        <v>2257</v>
      </c>
      <c r="B2446" t="s">
        <v>504</v>
      </c>
      <c r="C2446" t="s">
        <v>110</v>
      </c>
      <c r="D2446" t="str">
        <f>HYPERLINK("http://service.sap.com/sap/support/notes/1437271","1437271")</f>
        <v>1437271</v>
      </c>
      <c r="F2446" t="s">
        <v>2600</v>
      </c>
    </row>
    <row r="2447" spans="1:6">
      <c r="A2447" t="s">
        <v>2257</v>
      </c>
      <c r="B2447" t="s">
        <v>510</v>
      </c>
      <c r="C2447" t="s">
        <v>114</v>
      </c>
      <c r="D2447" t="str">
        <f>HYPERLINK("http://service.sap.com/sap/support/notes/1417959","1417959")</f>
        <v>1417959</v>
      </c>
      <c r="F2447" t="s">
        <v>2601</v>
      </c>
    </row>
    <row r="2448" spans="1:6">
      <c r="A2448" t="s">
        <v>2257</v>
      </c>
      <c r="B2448" t="s">
        <v>510</v>
      </c>
      <c r="C2448" t="s">
        <v>114</v>
      </c>
      <c r="D2448" t="str">
        <f>HYPERLINK("http://service.sap.com/sap/support/notes/1433685","1433685")</f>
        <v>1433685</v>
      </c>
      <c r="F2448" t="s">
        <v>2602</v>
      </c>
    </row>
    <row r="2449" spans="1:6">
      <c r="A2449" t="s">
        <v>2257</v>
      </c>
      <c r="B2449" t="s">
        <v>510</v>
      </c>
      <c r="C2449" t="s">
        <v>114</v>
      </c>
      <c r="D2449" t="str">
        <f>HYPERLINK("http://service.sap.com/sap/support/notes/1435842","1435842")</f>
        <v>1435842</v>
      </c>
      <c r="F2449" t="s">
        <v>2603</v>
      </c>
    </row>
    <row r="2450" spans="1:6">
      <c r="A2450" t="s">
        <v>2257</v>
      </c>
      <c r="B2450" t="s">
        <v>510</v>
      </c>
      <c r="C2450" t="s">
        <v>114</v>
      </c>
      <c r="D2450" t="str">
        <f>HYPERLINK("http://service.sap.com/sap/support/notes/1436131","1436131")</f>
        <v>1436131</v>
      </c>
      <c r="F2450" t="s">
        <v>2604</v>
      </c>
    </row>
    <row r="2451" spans="1:6">
      <c r="A2451" t="s">
        <v>2257</v>
      </c>
      <c r="B2451" t="s">
        <v>513</v>
      </c>
      <c r="C2451" t="s">
        <v>514</v>
      </c>
      <c r="D2451" t="str">
        <f>HYPERLINK("http://service.sap.com/sap/support/notes/1423911","1423911")</f>
        <v>1423911</v>
      </c>
      <c r="F2451" t="s">
        <v>2605</v>
      </c>
    </row>
    <row r="2452" spans="1:6">
      <c r="A2452" t="s">
        <v>2257</v>
      </c>
      <c r="B2452" t="s">
        <v>513</v>
      </c>
      <c r="C2452" t="s">
        <v>514</v>
      </c>
      <c r="D2452" t="str">
        <f>HYPERLINK("http://service.sap.com/sap/support/notes/1427384","1427384")</f>
        <v>1427384</v>
      </c>
      <c r="F2452" t="s">
        <v>2606</v>
      </c>
    </row>
    <row r="2453" spans="1:6">
      <c r="A2453" t="s">
        <v>2257</v>
      </c>
      <c r="B2453" t="s">
        <v>513</v>
      </c>
      <c r="C2453" t="s">
        <v>514</v>
      </c>
      <c r="D2453" t="str">
        <f>HYPERLINK("http://service.sap.com/sap/support/notes/1432403","1432403")</f>
        <v>1432403</v>
      </c>
      <c r="F2453" t="s">
        <v>2607</v>
      </c>
    </row>
    <row r="2454" spans="1:6">
      <c r="A2454" t="s">
        <v>2257</v>
      </c>
      <c r="B2454" t="s">
        <v>513</v>
      </c>
      <c r="C2454" t="s">
        <v>514</v>
      </c>
      <c r="D2454" t="str">
        <f>HYPERLINK("http://service.sap.com/sap/support/notes/1434111","1434111")</f>
        <v>1434111</v>
      </c>
      <c r="F2454" t="s">
        <v>2608</v>
      </c>
    </row>
    <row r="2455" spans="1:6">
      <c r="A2455" t="s">
        <v>2257</v>
      </c>
      <c r="B2455" t="s">
        <v>519</v>
      </c>
      <c r="C2455" t="s">
        <v>117</v>
      </c>
      <c r="D2455" t="str">
        <f>HYPERLINK("http://service.sap.com/sap/support/notes/1409988","1409988")</f>
        <v>1409988</v>
      </c>
      <c r="F2455" t="s">
        <v>1319</v>
      </c>
    </row>
    <row r="2456" spans="1:6">
      <c r="A2456" t="s">
        <v>2257</v>
      </c>
      <c r="B2456" t="s">
        <v>519</v>
      </c>
      <c r="C2456" t="s">
        <v>117</v>
      </c>
      <c r="D2456" t="str">
        <f>HYPERLINK("http://service.sap.com/sap/support/notes/1434502","1434502")</f>
        <v>1434502</v>
      </c>
      <c r="F2456" t="s">
        <v>2609</v>
      </c>
    </row>
    <row r="2457" spans="1:6">
      <c r="A2457" t="s">
        <v>2257</v>
      </c>
      <c r="B2457" t="s">
        <v>2610</v>
      </c>
      <c r="C2457" t="s">
        <v>2611</v>
      </c>
      <c r="D2457" t="str">
        <f>HYPERLINK("http://service.sap.com/sap/support/notes/1429379","1429379")</f>
        <v>1429379</v>
      </c>
      <c r="F2457" t="s">
        <v>2612</v>
      </c>
    </row>
    <row r="2458" spans="1:6">
      <c r="A2458" t="s">
        <v>2257</v>
      </c>
      <c r="B2458" t="s">
        <v>1324</v>
      </c>
      <c r="C2458" t="s">
        <v>189</v>
      </c>
      <c r="D2458" t="str">
        <f>HYPERLINK("http://service.sap.com/sap/support/notes/1432032","1432032")</f>
        <v>1432032</v>
      </c>
      <c r="F2458" t="s">
        <v>2613</v>
      </c>
    </row>
    <row r="2459" spans="1:6">
      <c r="A2459" t="s">
        <v>2257</v>
      </c>
      <c r="B2459" t="s">
        <v>529</v>
      </c>
      <c r="C2459" t="s">
        <v>530</v>
      </c>
      <c r="D2459" t="str">
        <f>HYPERLINK("http://service.sap.com/sap/support/notes/1427772","1427772")</f>
        <v>1427772</v>
      </c>
      <c r="F2459" t="s">
        <v>2614</v>
      </c>
    </row>
    <row r="2460" spans="1:6">
      <c r="A2460" t="s">
        <v>2257</v>
      </c>
      <c r="B2460" t="s">
        <v>529</v>
      </c>
      <c r="C2460" t="s">
        <v>530</v>
      </c>
      <c r="D2460" t="str">
        <f>HYPERLINK("http://service.sap.com/sap/support/notes/1431867","1431867")</f>
        <v>1431867</v>
      </c>
      <c r="F2460" t="s">
        <v>2615</v>
      </c>
    </row>
    <row r="2461" spans="1:6">
      <c r="A2461" t="s">
        <v>2257</v>
      </c>
      <c r="B2461" t="s">
        <v>529</v>
      </c>
      <c r="C2461" t="s">
        <v>530</v>
      </c>
      <c r="D2461" t="str">
        <f>HYPERLINK("http://service.sap.com/sap/support/notes/1432778","1432778")</f>
        <v>1432778</v>
      </c>
      <c r="F2461" t="s">
        <v>2616</v>
      </c>
    </row>
    <row r="2462" spans="1:6">
      <c r="A2462" t="s">
        <v>2257</v>
      </c>
      <c r="B2462" t="s">
        <v>533</v>
      </c>
      <c r="C2462" t="s">
        <v>534</v>
      </c>
      <c r="D2462" t="str">
        <f>HYPERLINK("http://service.sap.com/sap/support/notes/1424770","1424770")</f>
        <v>1424770</v>
      </c>
      <c r="F2462" t="s">
        <v>2617</v>
      </c>
    </row>
    <row r="2463" spans="1:6">
      <c r="A2463" t="s">
        <v>2257</v>
      </c>
      <c r="B2463" t="s">
        <v>537</v>
      </c>
      <c r="C2463" t="s">
        <v>538</v>
      </c>
      <c r="D2463" t="str">
        <f>HYPERLINK("http://service.sap.com/sap/support/notes/1387324","1387324")</f>
        <v>1387324</v>
      </c>
      <c r="F2463" t="s">
        <v>540</v>
      </c>
    </row>
    <row r="2464" spans="1:6">
      <c r="A2464" t="s">
        <v>2257</v>
      </c>
      <c r="B2464" t="s">
        <v>541</v>
      </c>
      <c r="C2464" t="s">
        <v>542</v>
      </c>
      <c r="D2464" t="str">
        <f>HYPERLINK("http://service.sap.com/sap/support/notes/1410616","1410616")</f>
        <v>1410616</v>
      </c>
      <c r="F2464" t="s">
        <v>1912</v>
      </c>
    </row>
    <row r="2465" spans="1:6">
      <c r="A2465" t="s">
        <v>2257</v>
      </c>
      <c r="B2465" t="s">
        <v>1914</v>
      </c>
      <c r="C2465" t="s">
        <v>1915</v>
      </c>
      <c r="D2465" t="str">
        <f>HYPERLINK("http://service.sap.com/sap/support/notes/1365878","1365878")</f>
        <v>1365878</v>
      </c>
      <c r="F2465" t="s">
        <v>2618</v>
      </c>
    </row>
    <row r="2466" spans="1:6">
      <c r="A2466" t="s">
        <v>2257</v>
      </c>
      <c r="B2466" t="s">
        <v>1914</v>
      </c>
      <c r="C2466" t="s">
        <v>1915</v>
      </c>
      <c r="D2466" t="str">
        <f>HYPERLINK("http://service.sap.com/sap/support/notes/1432730","1432730")</f>
        <v>1432730</v>
      </c>
      <c r="F2466" t="s">
        <v>2619</v>
      </c>
    </row>
    <row r="2467" spans="1:6">
      <c r="A2467" t="s">
        <v>2257</v>
      </c>
      <c r="B2467" t="s">
        <v>1914</v>
      </c>
      <c r="C2467" t="s">
        <v>1915</v>
      </c>
      <c r="D2467" t="str">
        <f>HYPERLINK("http://service.sap.com/sap/support/notes/1433075","1433075")</f>
        <v>1433075</v>
      </c>
      <c r="F2467" t="s">
        <v>2620</v>
      </c>
    </row>
    <row r="2468" spans="1:6">
      <c r="A2468" t="s">
        <v>2257</v>
      </c>
      <c r="B2468" t="s">
        <v>1914</v>
      </c>
      <c r="C2468" t="s">
        <v>1915</v>
      </c>
      <c r="D2468" t="str">
        <f>HYPERLINK("http://service.sap.com/sap/support/notes/1433139","1433139")</f>
        <v>1433139</v>
      </c>
      <c r="F2468" t="s">
        <v>2621</v>
      </c>
    </row>
    <row r="2469" spans="1:6">
      <c r="A2469" t="s">
        <v>2257</v>
      </c>
      <c r="B2469" t="s">
        <v>1914</v>
      </c>
      <c r="C2469" t="s">
        <v>1915</v>
      </c>
      <c r="D2469" t="str">
        <f>HYPERLINK("http://service.sap.com/sap/support/notes/1434570","1434570")</f>
        <v>1434570</v>
      </c>
      <c r="F2469" t="s">
        <v>2622</v>
      </c>
    </row>
    <row r="2470" spans="1:6">
      <c r="A2470" t="s">
        <v>2257</v>
      </c>
      <c r="B2470" t="s">
        <v>1914</v>
      </c>
      <c r="C2470" t="s">
        <v>1915</v>
      </c>
      <c r="D2470" t="str">
        <f>HYPERLINK("http://service.sap.com/sap/support/notes/1437792","1437792")</f>
        <v>1437792</v>
      </c>
      <c r="F2470" t="s">
        <v>2623</v>
      </c>
    </row>
    <row r="2471" spans="1:6">
      <c r="A2471" t="s">
        <v>2257</v>
      </c>
      <c r="B2471" t="s">
        <v>1914</v>
      </c>
      <c r="C2471" t="s">
        <v>1915</v>
      </c>
      <c r="D2471" t="str">
        <f>HYPERLINK("http://service.sap.com/sap/support/notes/1438186","1438186")</f>
        <v>1438186</v>
      </c>
      <c r="F2471" t="s">
        <v>2624</v>
      </c>
    </row>
    <row r="2472" spans="1:6">
      <c r="A2472" t="s">
        <v>2257</v>
      </c>
      <c r="B2472" t="s">
        <v>1914</v>
      </c>
      <c r="C2472" t="s">
        <v>1915</v>
      </c>
      <c r="D2472" t="str">
        <f>HYPERLINK("http://service.sap.com/sap/support/notes/1438637","1438637")</f>
        <v>1438637</v>
      </c>
      <c r="F2472" t="s">
        <v>2625</v>
      </c>
    </row>
    <row r="2473" spans="1:6">
      <c r="A2473" t="s">
        <v>2257</v>
      </c>
      <c r="B2473" t="s">
        <v>1914</v>
      </c>
      <c r="C2473" t="s">
        <v>1915</v>
      </c>
      <c r="D2473" t="str">
        <f>HYPERLINK("http://service.sap.com/sap/support/notes/1439224","1439224")</f>
        <v>1439224</v>
      </c>
      <c r="F2473" t="s">
        <v>2626</v>
      </c>
    </row>
    <row r="2474" spans="1:6">
      <c r="A2474" t="s">
        <v>2627</v>
      </c>
      <c r="B2474" t="s">
        <v>12</v>
      </c>
      <c r="C2474" t="s">
        <v>13</v>
      </c>
    </row>
    <row r="2475" spans="1:6">
      <c r="A2475" t="s">
        <v>2627</v>
      </c>
      <c r="B2475" t="s">
        <v>14</v>
      </c>
      <c r="C2475" t="s">
        <v>15</v>
      </c>
    </row>
    <row r="2476" spans="1:6">
      <c r="A2476" t="s">
        <v>2627</v>
      </c>
      <c r="B2476" t="s">
        <v>560</v>
      </c>
      <c r="C2476" t="s">
        <v>147</v>
      </c>
      <c r="D2476" t="str">
        <f>HYPERLINK("http://service.sap.com/sap/support/notes/1444700","1444700")</f>
        <v>1444700</v>
      </c>
      <c r="F2476" t="s">
        <v>2628</v>
      </c>
    </row>
    <row r="2477" spans="1:6">
      <c r="A2477" t="s">
        <v>2627</v>
      </c>
      <c r="B2477" t="s">
        <v>563</v>
      </c>
      <c r="C2477" t="s">
        <v>564</v>
      </c>
      <c r="D2477" t="str">
        <f>HYPERLINK("http://service.sap.com/sap/support/notes/1442345","1442345")</f>
        <v>1442345</v>
      </c>
      <c r="F2477" t="s">
        <v>2629</v>
      </c>
    </row>
    <row r="2478" spans="1:6">
      <c r="A2478" t="s">
        <v>2627</v>
      </c>
      <c r="B2478" t="s">
        <v>563</v>
      </c>
      <c r="C2478" t="s">
        <v>564</v>
      </c>
      <c r="D2478" t="str">
        <f>HYPERLINK("http://service.sap.com/sap/support/notes/1442825","1442825")</f>
        <v>1442825</v>
      </c>
      <c r="F2478" t="s">
        <v>2630</v>
      </c>
    </row>
    <row r="2479" spans="1:6">
      <c r="A2479" t="s">
        <v>2627</v>
      </c>
      <c r="B2479" t="s">
        <v>567</v>
      </c>
      <c r="C2479" t="s">
        <v>1919</v>
      </c>
    </row>
    <row r="2480" spans="1:6">
      <c r="A2480" t="s">
        <v>2627</v>
      </c>
      <c r="B2480" t="s">
        <v>2631</v>
      </c>
      <c r="C2480" t="s">
        <v>2632</v>
      </c>
    </row>
    <row r="2481" spans="1:6">
      <c r="A2481" t="s">
        <v>2627</v>
      </c>
      <c r="B2481" t="s">
        <v>2633</v>
      </c>
      <c r="C2481" t="s">
        <v>2634</v>
      </c>
      <c r="D2481" t="str">
        <f>HYPERLINK("http://service.sap.com/sap/support/notes/1411802","1411802")</f>
        <v>1411802</v>
      </c>
      <c r="F2481" t="s">
        <v>2635</v>
      </c>
    </row>
    <row r="2482" spans="1:6">
      <c r="A2482" t="s">
        <v>2627</v>
      </c>
      <c r="B2482" t="s">
        <v>29</v>
      </c>
      <c r="C2482" t="s">
        <v>30</v>
      </c>
    </row>
    <row r="2483" spans="1:6">
      <c r="A2483" t="s">
        <v>2627</v>
      </c>
      <c r="B2483" t="s">
        <v>31</v>
      </c>
      <c r="C2483" t="s">
        <v>32</v>
      </c>
      <c r="D2483" t="str">
        <f>HYPERLINK("http://service.sap.com/sap/support/notes/1420345","1420345")</f>
        <v>1420345</v>
      </c>
      <c r="F2483" t="s">
        <v>1480</v>
      </c>
    </row>
    <row r="2484" spans="1:6">
      <c r="A2484" t="s">
        <v>2627</v>
      </c>
      <c r="B2484" t="s">
        <v>33</v>
      </c>
      <c r="C2484" t="s">
        <v>34</v>
      </c>
      <c r="D2484" t="str">
        <f>HYPERLINK("http://service.sap.com/sap/support/notes/1391970","1391970")</f>
        <v>1391970</v>
      </c>
      <c r="F2484" t="s">
        <v>36</v>
      </c>
    </row>
    <row r="2485" spans="1:6">
      <c r="A2485" t="s">
        <v>2627</v>
      </c>
      <c r="B2485" t="s">
        <v>37</v>
      </c>
      <c r="C2485" t="s">
        <v>17</v>
      </c>
    </row>
    <row r="2486" spans="1:6">
      <c r="A2486" t="s">
        <v>2627</v>
      </c>
      <c r="B2486" t="s">
        <v>609</v>
      </c>
      <c r="C2486" t="s">
        <v>1483</v>
      </c>
      <c r="D2486" t="str">
        <f>HYPERLINK("http://service.sap.com/sap/support/notes/1309878","1309878")</f>
        <v>1309878</v>
      </c>
      <c r="F2486" t="s">
        <v>611</v>
      </c>
    </row>
    <row r="2487" spans="1:6">
      <c r="A2487" t="s">
        <v>2627</v>
      </c>
      <c r="B2487" t="s">
        <v>44</v>
      </c>
      <c r="C2487" t="s">
        <v>45</v>
      </c>
    </row>
    <row r="2488" spans="1:6">
      <c r="A2488" t="s">
        <v>2627</v>
      </c>
      <c r="B2488" t="s">
        <v>46</v>
      </c>
      <c r="C2488" t="s">
        <v>47</v>
      </c>
      <c r="D2488" t="str">
        <f>HYPERLINK("http://service.sap.com/sap/support/notes/1041427","1041427")</f>
        <v>1041427</v>
      </c>
      <c r="F2488" t="s">
        <v>48</v>
      </c>
    </row>
    <row r="2489" spans="1:6">
      <c r="A2489" t="s">
        <v>2627</v>
      </c>
      <c r="B2489" t="s">
        <v>59</v>
      </c>
      <c r="C2489" t="s">
        <v>60</v>
      </c>
      <c r="D2489" t="str">
        <f>HYPERLINK("http://service.sap.com/sap/support/notes/1438351","1438351")</f>
        <v>1438351</v>
      </c>
      <c r="F2489" t="s">
        <v>2636</v>
      </c>
    </row>
    <row r="2490" spans="1:6">
      <c r="A2490" t="s">
        <v>2627</v>
      </c>
      <c r="B2490" t="s">
        <v>59</v>
      </c>
      <c r="C2490" t="s">
        <v>60</v>
      </c>
      <c r="D2490" t="str">
        <f>HYPERLINK("http://service.sap.com/sap/support/notes/1443189","1443189")</f>
        <v>1443189</v>
      </c>
      <c r="F2490" t="s">
        <v>2637</v>
      </c>
    </row>
    <row r="2491" spans="1:6">
      <c r="A2491" t="s">
        <v>2627</v>
      </c>
      <c r="B2491" t="s">
        <v>2638</v>
      </c>
      <c r="C2491" t="s">
        <v>219</v>
      </c>
      <c r="D2491" t="str">
        <f>HYPERLINK("http://service.sap.com/sap/support/notes/1444894","1444894")</f>
        <v>1444894</v>
      </c>
      <c r="F2491" t="s">
        <v>701</v>
      </c>
    </row>
    <row r="2492" spans="1:6">
      <c r="A2492" t="s">
        <v>2627</v>
      </c>
      <c r="B2492" t="s">
        <v>75</v>
      </c>
      <c r="C2492" t="s">
        <v>76</v>
      </c>
      <c r="D2492" t="str">
        <f>HYPERLINK("http://service.sap.com/sap/support/notes/1443058","1443058")</f>
        <v>1443058</v>
      </c>
      <c r="F2492" t="s">
        <v>2639</v>
      </c>
    </row>
    <row r="2493" spans="1:6">
      <c r="A2493" t="s">
        <v>2627</v>
      </c>
      <c r="B2493" t="s">
        <v>79</v>
      </c>
      <c r="C2493" t="s">
        <v>80</v>
      </c>
      <c r="D2493" t="str">
        <f>HYPERLINK("http://service.sap.com/sap/support/notes/1333011","1333011")</f>
        <v>1333011</v>
      </c>
      <c r="F2493" t="s">
        <v>2640</v>
      </c>
    </row>
    <row r="2494" spans="1:6">
      <c r="A2494" t="s">
        <v>2627</v>
      </c>
      <c r="B2494" t="s">
        <v>79</v>
      </c>
      <c r="C2494" t="s">
        <v>80</v>
      </c>
      <c r="D2494" t="str">
        <f>HYPERLINK("http://service.sap.com/sap/support/notes/1405991","1405991")</f>
        <v>1405991</v>
      </c>
      <c r="F2494" t="s">
        <v>1493</v>
      </c>
    </row>
    <row r="2495" spans="1:6">
      <c r="A2495" t="s">
        <v>2627</v>
      </c>
      <c r="B2495" t="s">
        <v>79</v>
      </c>
      <c r="C2495" t="s">
        <v>80</v>
      </c>
      <c r="D2495" t="str">
        <f>HYPERLINK("http://service.sap.com/sap/support/notes/1414990","1414990")</f>
        <v>1414990</v>
      </c>
      <c r="F2495" t="s">
        <v>2641</v>
      </c>
    </row>
    <row r="2496" spans="1:6">
      <c r="A2496" t="s">
        <v>2627</v>
      </c>
      <c r="B2496" t="s">
        <v>79</v>
      </c>
      <c r="C2496" t="s">
        <v>80</v>
      </c>
      <c r="D2496" t="str">
        <f>HYPERLINK("http://service.sap.com/sap/support/notes/1438585","1438585")</f>
        <v>1438585</v>
      </c>
      <c r="F2496" t="s">
        <v>2642</v>
      </c>
    </row>
    <row r="2497" spans="1:6">
      <c r="A2497" t="s">
        <v>2627</v>
      </c>
      <c r="B2497" t="s">
        <v>79</v>
      </c>
      <c r="C2497" t="s">
        <v>80</v>
      </c>
      <c r="D2497" t="str">
        <f>HYPERLINK("http://service.sap.com/sap/support/notes/1440350","1440350")</f>
        <v>1440350</v>
      </c>
      <c r="F2497" t="s">
        <v>2643</v>
      </c>
    </row>
    <row r="2498" spans="1:6">
      <c r="A2498" t="s">
        <v>2627</v>
      </c>
      <c r="B2498" t="s">
        <v>79</v>
      </c>
      <c r="C2498" t="s">
        <v>80</v>
      </c>
      <c r="D2498" t="str">
        <f>HYPERLINK("http://service.sap.com/sap/support/notes/1440361","1440361")</f>
        <v>1440361</v>
      </c>
      <c r="F2498" t="s">
        <v>2644</v>
      </c>
    </row>
    <row r="2499" spans="1:6">
      <c r="A2499" t="s">
        <v>2627</v>
      </c>
      <c r="B2499" t="s">
        <v>79</v>
      </c>
      <c r="C2499" t="s">
        <v>80</v>
      </c>
      <c r="D2499" t="str">
        <f>HYPERLINK("http://service.sap.com/sap/support/notes/1441735","1441735")</f>
        <v>1441735</v>
      </c>
      <c r="F2499" t="s">
        <v>2645</v>
      </c>
    </row>
    <row r="2500" spans="1:6">
      <c r="A2500" t="s">
        <v>2627</v>
      </c>
      <c r="B2500" t="s">
        <v>79</v>
      </c>
      <c r="C2500" t="s">
        <v>80</v>
      </c>
      <c r="D2500" t="str">
        <f>HYPERLINK("http://service.sap.com/sap/support/notes/1442488","1442488")</f>
        <v>1442488</v>
      </c>
      <c r="F2500" t="s">
        <v>2646</v>
      </c>
    </row>
    <row r="2501" spans="1:6">
      <c r="A2501" t="s">
        <v>2627</v>
      </c>
      <c r="B2501" t="s">
        <v>79</v>
      </c>
      <c r="C2501" t="s">
        <v>80</v>
      </c>
      <c r="D2501" t="str">
        <f>HYPERLINK("http://service.sap.com/sap/support/notes/1443122","1443122")</f>
        <v>1443122</v>
      </c>
      <c r="F2501" t="s">
        <v>2647</v>
      </c>
    </row>
    <row r="2502" spans="1:6">
      <c r="A2502" t="s">
        <v>2627</v>
      </c>
      <c r="B2502" t="s">
        <v>662</v>
      </c>
      <c r="C2502" t="s">
        <v>411</v>
      </c>
      <c r="D2502" t="str">
        <f>HYPERLINK("http://service.sap.com/sap/support/notes/1447059","1447059")</f>
        <v>1447059</v>
      </c>
      <c r="F2502" t="s">
        <v>2648</v>
      </c>
    </row>
    <row r="2503" spans="1:6">
      <c r="A2503" t="s">
        <v>2627</v>
      </c>
      <c r="B2503" t="s">
        <v>665</v>
      </c>
      <c r="C2503" t="s">
        <v>425</v>
      </c>
      <c r="D2503" t="str">
        <f>HYPERLINK("http://service.sap.com/sap/support/notes/448307","448307")</f>
        <v>448307</v>
      </c>
      <c r="F2503" t="s">
        <v>666</v>
      </c>
    </row>
    <row r="2504" spans="1:6">
      <c r="A2504" t="s">
        <v>2627</v>
      </c>
      <c r="B2504" t="s">
        <v>667</v>
      </c>
      <c r="C2504" t="s">
        <v>442</v>
      </c>
      <c r="D2504" t="str">
        <f>HYPERLINK("http://service.sap.com/sap/support/notes/1435185","1435185")</f>
        <v>1435185</v>
      </c>
      <c r="F2504" t="s">
        <v>2649</v>
      </c>
    </row>
    <row r="2505" spans="1:6">
      <c r="A2505" t="s">
        <v>2627</v>
      </c>
      <c r="B2505" t="s">
        <v>667</v>
      </c>
      <c r="C2505" t="s">
        <v>442</v>
      </c>
      <c r="D2505" t="str">
        <f>HYPERLINK("http://service.sap.com/sap/support/notes/1440246","1440246")</f>
        <v>1440246</v>
      </c>
      <c r="F2505" t="s">
        <v>2650</v>
      </c>
    </row>
    <row r="2506" spans="1:6">
      <c r="A2506" t="s">
        <v>2627</v>
      </c>
      <c r="B2506" t="s">
        <v>667</v>
      </c>
      <c r="C2506" t="s">
        <v>442</v>
      </c>
      <c r="D2506" t="str">
        <f>HYPERLINK("http://service.sap.com/sap/support/notes/1440793","1440793")</f>
        <v>1440793</v>
      </c>
      <c r="F2506" t="s">
        <v>2651</v>
      </c>
    </row>
    <row r="2507" spans="1:6">
      <c r="A2507" t="s">
        <v>2627</v>
      </c>
      <c r="B2507" t="s">
        <v>667</v>
      </c>
      <c r="C2507" t="s">
        <v>442</v>
      </c>
      <c r="D2507" t="str">
        <f>HYPERLINK("http://service.sap.com/sap/support/notes/1442443","1442443")</f>
        <v>1442443</v>
      </c>
      <c r="F2507" t="s">
        <v>2652</v>
      </c>
    </row>
    <row r="2508" spans="1:6">
      <c r="A2508" t="s">
        <v>2627</v>
      </c>
      <c r="B2508" t="s">
        <v>667</v>
      </c>
      <c r="C2508" t="s">
        <v>442</v>
      </c>
      <c r="D2508" t="str">
        <f>HYPERLINK("http://service.sap.com/sap/support/notes/1442469","1442469")</f>
        <v>1442469</v>
      </c>
      <c r="F2508" t="s">
        <v>2653</v>
      </c>
    </row>
    <row r="2509" spans="1:6">
      <c r="A2509" t="s">
        <v>2627</v>
      </c>
      <c r="B2509" t="s">
        <v>667</v>
      </c>
      <c r="C2509" t="s">
        <v>442</v>
      </c>
      <c r="D2509" t="str">
        <f>HYPERLINK("http://service.sap.com/sap/support/notes/1442902","1442902")</f>
        <v>1442902</v>
      </c>
      <c r="F2509" t="s">
        <v>2654</v>
      </c>
    </row>
    <row r="2510" spans="1:6">
      <c r="A2510" t="s">
        <v>2627</v>
      </c>
      <c r="B2510" t="s">
        <v>667</v>
      </c>
      <c r="C2510" t="s">
        <v>442</v>
      </c>
      <c r="D2510" t="str">
        <f>HYPERLINK("http://service.sap.com/sap/support/notes/1443034","1443034")</f>
        <v>1443034</v>
      </c>
      <c r="F2510" t="s">
        <v>2655</v>
      </c>
    </row>
    <row r="2511" spans="1:6">
      <c r="A2511" t="s">
        <v>2627</v>
      </c>
      <c r="B2511" t="s">
        <v>667</v>
      </c>
      <c r="C2511" t="s">
        <v>442</v>
      </c>
      <c r="D2511" t="str">
        <f>HYPERLINK("http://service.sap.com/sap/support/notes/1448019","1448019")</f>
        <v>1448019</v>
      </c>
      <c r="F2511" t="s">
        <v>2656</v>
      </c>
    </row>
    <row r="2512" spans="1:6">
      <c r="A2512" t="s">
        <v>2627</v>
      </c>
      <c r="B2512" t="s">
        <v>667</v>
      </c>
      <c r="C2512" t="s">
        <v>442</v>
      </c>
      <c r="D2512" t="str">
        <f>HYPERLINK("http://service.sap.com/sap/support/notes/1448577","1448577")</f>
        <v>1448577</v>
      </c>
      <c r="F2512" t="s">
        <v>2657</v>
      </c>
    </row>
    <row r="2513" spans="1:6">
      <c r="A2513" t="s">
        <v>2627</v>
      </c>
      <c r="B2513" t="s">
        <v>92</v>
      </c>
      <c r="C2513" t="s">
        <v>93</v>
      </c>
      <c r="D2513" t="str">
        <f>HYPERLINK("http://service.sap.com/sap/support/notes/1434184","1434184")</f>
        <v>1434184</v>
      </c>
      <c r="F2513" t="s">
        <v>2658</v>
      </c>
    </row>
    <row r="2514" spans="1:6">
      <c r="A2514" t="s">
        <v>2627</v>
      </c>
      <c r="B2514" t="s">
        <v>92</v>
      </c>
      <c r="C2514" t="s">
        <v>93</v>
      </c>
      <c r="D2514" t="str">
        <f>HYPERLINK("http://service.sap.com/sap/support/notes/1437540","1437540")</f>
        <v>1437540</v>
      </c>
      <c r="F2514" t="s">
        <v>2659</v>
      </c>
    </row>
    <row r="2515" spans="1:6">
      <c r="A2515" t="s">
        <v>2627</v>
      </c>
      <c r="B2515" t="s">
        <v>92</v>
      </c>
      <c r="C2515" t="s">
        <v>93</v>
      </c>
      <c r="D2515" t="str">
        <f>HYPERLINK("http://service.sap.com/sap/support/notes/1437909","1437909")</f>
        <v>1437909</v>
      </c>
      <c r="F2515" t="s">
        <v>2660</v>
      </c>
    </row>
    <row r="2516" spans="1:6">
      <c r="A2516" t="s">
        <v>2627</v>
      </c>
      <c r="B2516" t="s">
        <v>92</v>
      </c>
      <c r="C2516" t="s">
        <v>93</v>
      </c>
      <c r="D2516" t="str">
        <f>HYPERLINK("http://service.sap.com/sap/support/notes/1440525","1440525")</f>
        <v>1440525</v>
      </c>
      <c r="F2516" t="s">
        <v>2661</v>
      </c>
    </row>
    <row r="2517" spans="1:6">
      <c r="A2517" t="s">
        <v>2627</v>
      </c>
      <c r="B2517" t="s">
        <v>681</v>
      </c>
      <c r="C2517" t="s">
        <v>486</v>
      </c>
      <c r="D2517" t="str">
        <f>HYPERLINK("http://service.sap.com/sap/support/notes/1414701","1414701")</f>
        <v>1414701</v>
      </c>
      <c r="F2517" t="s">
        <v>2662</v>
      </c>
    </row>
    <row r="2518" spans="1:6">
      <c r="A2518" t="s">
        <v>2627</v>
      </c>
      <c r="B2518" t="s">
        <v>681</v>
      </c>
      <c r="C2518" t="s">
        <v>486</v>
      </c>
      <c r="D2518" t="str">
        <f>HYPERLINK("http://service.sap.com/sap/support/notes/1419698","1419698")</f>
        <v>1419698</v>
      </c>
      <c r="F2518" t="s">
        <v>2663</v>
      </c>
    </row>
    <row r="2519" spans="1:6">
      <c r="A2519" t="s">
        <v>2627</v>
      </c>
      <c r="B2519" t="s">
        <v>99</v>
      </c>
      <c r="C2519" t="s">
        <v>100</v>
      </c>
      <c r="D2519" t="str">
        <f>HYPERLINK("http://service.sap.com/sap/support/notes/1406902","1406902")</f>
        <v>1406902</v>
      </c>
      <c r="F2519" t="s">
        <v>695</v>
      </c>
    </row>
    <row r="2520" spans="1:6">
      <c r="A2520" t="s">
        <v>2627</v>
      </c>
      <c r="B2520" t="s">
        <v>99</v>
      </c>
      <c r="C2520" t="s">
        <v>100</v>
      </c>
      <c r="D2520" t="str">
        <f>HYPERLINK("http://service.sap.com/sap/support/notes/1434735","1434735")</f>
        <v>1434735</v>
      </c>
      <c r="F2520" t="s">
        <v>2297</v>
      </c>
    </row>
    <row r="2521" spans="1:6">
      <c r="A2521" t="s">
        <v>2627</v>
      </c>
      <c r="B2521" t="s">
        <v>99</v>
      </c>
      <c r="C2521" t="s">
        <v>100</v>
      </c>
      <c r="D2521" t="str">
        <f>HYPERLINK("http://service.sap.com/sap/support/notes/1441415","1441415")</f>
        <v>1441415</v>
      </c>
      <c r="F2521" t="s">
        <v>2664</v>
      </c>
    </row>
    <row r="2522" spans="1:6">
      <c r="A2522" t="s">
        <v>2627</v>
      </c>
      <c r="B2522" t="s">
        <v>99</v>
      </c>
      <c r="C2522" t="s">
        <v>100</v>
      </c>
      <c r="D2522" t="str">
        <f>HYPERLINK("http://service.sap.com/sap/support/notes/1442973","1442973")</f>
        <v>1442973</v>
      </c>
      <c r="F2522" t="s">
        <v>2665</v>
      </c>
    </row>
    <row r="2523" spans="1:6">
      <c r="A2523" t="s">
        <v>2627</v>
      </c>
      <c r="B2523" t="s">
        <v>99</v>
      </c>
      <c r="C2523" t="s">
        <v>100</v>
      </c>
      <c r="D2523" t="str">
        <f>HYPERLINK("http://service.sap.com/sap/support/notes/1447489","1447489")</f>
        <v>1447489</v>
      </c>
      <c r="F2523" t="s">
        <v>2666</v>
      </c>
    </row>
    <row r="2524" spans="1:6">
      <c r="A2524" t="s">
        <v>2627</v>
      </c>
      <c r="B2524" t="s">
        <v>99</v>
      </c>
      <c r="C2524" t="s">
        <v>100</v>
      </c>
      <c r="D2524" t="str">
        <f>HYPERLINK("http://service.sap.com/sap/support/notes/1448293","1448293")</f>
        <v>1448293</v>
      </c>
      <c r="F2524" t="s">
        <v>1959</v>
      </c>
    </row>
    <row r="2525" spans="1:6">
      <c r="A2525" t="s">
        <v>2627</v>
      </c>
      <c r="B2525" t="s">
        <v>116</v>
      </c>
      <c r="C2525" t="s">
        <v>117</v>
      </c>
      <c r="D2525" t="str">
        <f>HYPERLINK("http://service.sap.com/sap/support/notes/1161674","1161674")</f>
        <v>1161674</v>
      </c>
      <c r="F2525" t="s">
        <v>2667</v>
      </c>
    </row>
    <row r="2526" spans="1:6">
      <c r="A2526" t="s">
        <v>2627</v>
      </c>
      <c r="B2526" t="s">
        <v>116</v>
      </c>
      <c r="C2526" t="s">
        <v>117</v>
      </c>
      <c r="D2526" t="str">
        <f>HYPERLINK("http://service.sap.com/sap/support/notes/1418418","1418418")</f>
        <v>1418418</v>
      </c>
      <c r="F2526" t="s">
        <v>2668</v>
      </c>
    </row>
    <row r="2527" spans="1:6">
      <c r="A2527" t="s">
        <v>2627</v>
      </c>
      <c r="B2527" t="s">
        <v>128</v>
      </c>
      <c r="C2527" t="s">
        <v>129</v>
      </c>
    </row>
    <row r="2528" spans="1:6">
      <c r="A2528" t="s">
        <v>2627</v>
      </c>
      <c r="B2528" t="s">
        <v>130</v>
      </c>
      <c r="C2528" t="s">
        <v>131</v>
      </c>
      <c r="D2528" t="str">
        <f>HYPERLINK("http://service.sap.com/sap/support/notes/1424847","1424847")</f>
        <v>1424847</v>
      </c>
      <c r="F2528" t="s">
        <v>2310</v>
      </c>
    </row>
    <row r="2529" spans="1:6">
      <c r="A2529" t="s">
        <v>2627</v>
      </c>
      <c r="B2529" t="s">
        <v>130</v>
      </c>
      <c r="C2529" t="s">
        <v>131</v>
      </c>
      <c r="D2529" t="str">
        <f>HYPERLINK("http://service.sap.com/sap/support/notes/1431674","1431674")</f>
        <v>1431674</v>
      </c>
      <c r="F2529" t="s">
        <v>2669</v>
      </c>
    </row>
    <row r="2530" spans="1:6">
      <c r="A2530" t="s">
        <v>2627</v>
      </c>
      <c r="B2530" t="s">
        <v>130</v>
      </c>
      <c r="C2530" t="s">
        <v>131</v>
      </c>
      <c r="D2530" t="str">
        <f>HYPERLINK("http://service.sap.com/sap/support/notes/1440958","1440958")</f>
        <v>1440958</v>
      </c>
      <c r="F2530" t="s">
        <v>2670</v>
      </c>
    </row>
    <row r="2531" spans="1:6">
      <c r="A2531" t="s">
        <v>2627</v>
      </c>
      <c r="B2531" t="s">
        <v>130</v>
      </c>
      <c r="C2531" t="s">
        <v>131</v>
      </c>
      <c r="D2531" t="str">
        <f>HYPERLINK("http://service.sap.com/sap/support/notes/1441719","1441719")</f>
        <v>1441719</v>
      </c>
      <c r="F2531" t="s">
        <v>2671</v>
      </c>
    </row>
    <row r="2532" spans="1:6">
      <c r="A2532" t="s">
        <v>2627</v>
      </c>
      <c r="B2532" t="s">
        <v>130</v>
      </c>
      <c r="C2532" t="s">
        <v>131</v>
      </c>
      <c r="D2532" t="str">
        <f>HYPERLINK("http://service.sap.com/sap/support/notes/1442356","1442356")</f>
        <v>1442356</v>
      </c>
      <c r="F2532" t="s">
        <v>2672</v>
      </c>
    </row>
    <row r="2533" spans="1:6">
      <c r="A2533" t="s">
        <v>2627</v>
      </c>
      <c r="B2533" t="s">
        <v>130</v>
      </c>
      <c r="C2533" t="s">
        <v>131</v>
      </c>
      <c r="D2533" t="str">
        <f>HYPERLINK("http://service.sap.com/sap/support/notes/1443647","1443647")</f>
        <v>1443647</v>
      </c>
      <c r="F2533" t="s">
        <v>2673</v>
      </c>
    </row>
    <row r="2534" spans="1:6">
      <c r="A2534" t="s">
        <v>2627</v>
      </c>
      <c r="B2534" t="s">
        <v>130</v>
      </c>
      <c r="C2534" t="s">
        <v>131</v>
      </c>
      <c r="D2534" t="str">
        <f>HYPERLINK("http://service.sap.com/sap/support/notes/1444135","1444135")</f>
        <v>1444135</v>
      </c>
      <c r="F2534" t="s">
        <v>2674</v>
      </c>
    </row>
    <row r="2535" spans="1:6">
      <c r="A2535" t="s">
        <v>2627</v>
      </c>
      <c r="B2535" t="s">
        <v>130</v>
      </c>
      <c r="C2535" t="s">
        <v>131</v>
      </c>
      <c r="D2535" t="str">
        <f>HYPERLINK("http://service.sap.com/sap/support/notes/1445954","1445954")</f>
        <v>1445954</v>
      </c>
      <c r="F2535" t="s">
        <v>2675</v>
      </c>
    </row>
    <row r="2536" spans="1:6">
      <c r="A2536" t="s">
        <v>2627</v>
      </c>
      <c r="B2536" t="s">
        <v>130</v>
      </c>
      <c r="C2536" t="s">
        <v>131</v>
      </c>
      <c r="D2536" t="str">
        <f>HYPERLINK("http://service.sap.com/sap/support/notes/1447898","1447898")</f>
        <v>1447898</v>
      </c>
      <c r="F2536" t="s">
        <v>2676</v>
      </c>
    </row>
    <row r="2537" spans="1:6">
      <c r="A2537" t="s">
        <v>2627</v>
      </c>
      <c r="B2537" t="s">
        <v>130</v>
      </c>
      <c r="C2537" t="s">
        <v>131</v>
      </c>
      <c r="D2537" t="str">
        <f>HYPERLINK("http://service.sap.com/sap/support/notes/1450037","1450037")</f>
        <v>1450037</v>
      </c>
      <c r="F2537" t="s">
        <v>2677</v>
      </c>
    </row>
    <row r="2538" spans="1:6">
      <c r="A2538" t="s">
        <v>2627</v>
      </c>
      <c r="B2538" t="s">
        <v>137</v>
      </c>
      <c r="C2538" t="s">
        <v>138</v>
      </c>
    </row>
    <row r="2539" spans="1:6">
      <c r="A2539" t="s">
        <v>2627</v>
      </c>
      <c r="B2539" t="s">
        <v>139</v>
      </c>
      <c r="C2539" t="s">
        <v>140</v>
      </c>
    </row>
    <row r="2540" spans="1:6">
      <c r="A2540" t="s">
        <v>2627</v>
      </c>
      <c r="B2540" t="s">
        <v>141</v>
      </c>
      <c r="C2540" t="s">
        <v>142</v>
      </c>
      <c r="D2540" t="str">
        <f>HYPERLINK("http://service.sap.com/sap/support/notes/1398640","1398640")</f>
        <v>1398640</v>
      </c>
      <c r="F2540" t="s">
        <v>2678</v>
      </c>
    </row>
    <row r="2541" spans="1:6">
      <c r="A2541" t="s">
        <v>2627</v>
      </c>
      <c r="B2541" t="s">
        <v>831</v>
      </c>
      <c r="C2541" t="s">
        <v>2679</v>
      </c>
      <c r="D2541" t="str">
        <f>HYPERLINK("http://service.sap.com/sap/support/notes/1420105","1420105")</f>
        <v>1420105</v>
      </c>
      <c r="F2541" t="s">
        <v>2680</v>
      </c>
    </row>
    <row r="2542" spans="1:6">
      <c r="A2542" t="s">
        <v>2627</v>
      </c>
      <c r="B2542" t="s">
        <v>146</v>
      </c>
      <c r="C2542" t="s">
        <v>147</v>
      </c>
    </row>
    <row r="2543" spans="1:6">
      <c r="A2543" t="s">
        <v>2627</v>
      </c>
      <c r="B2543" t="s">
        <v>148</v>
      </c>
      <c r="C2543" t="s">
        <v>149</v>
      </c>
      <c r="D2543" t="str">
        <f>HYPERLINK("http://service.sap.com/sap/support/notes/1447863","1447863")</f>
        <v>1447863</v>
      </c>
      <c r="F2543" t="s">
        <v>2681</v>
      </c>
    </row>
    <row r="2544" spans="1:6">
      <c r="A2544" t="s">
        <v>2627</v>
      </c>
      <c r="B2544" t="s">
        <v>148</v>
      </c>
      <c r="C2544" t="s">
        <v>149</v>
      </c>
      <c r="D2544" t="str">
        <f>HYPERLINK("http://service.sap.com/sap/support/notes/1449280","1449280")</f>
        <v>1449280</v>
      </c>
      <c r="F2544" t="s">
        <v>2682</v>
      </c>
    </row>
    <row r="2545" spans="1:6">
      <c r="A2545" t="s">
        <v>2627</v>
      </c>
      <c r="B2545" t="s">
        <v>158</v>
      </c>
      <c r="C2545" t="s">
        <v>159</v>
      </c>
    </row>
    <row r="2546" spans="1:6">
      <c r="A2546" t="s">
        <v>2627</v>
      </c>
      <c r="B2546" t="s">
        <v>160</v>
      </c>
      <c r="C2546" t="s">
        <v>47</v>
      </c>
      <c r="D2546" t="str">
        <f>HYPERLINK("http://service.sap.com/sap/support/notes/1320182","1320182")</f>
        <v>1320182</v>
      </c>
      <c r="F2546" t="s">
        <v>910</v>
      </c>
    </row>
    <row r="2547" spans="1:6">
      <c r="A2547" t="s">
        <v>2627</v>
      </c>
      <c r="B2547" t="s">
        <v>160</v>
      </c>
      <c r="C2547" t="s">
        <v>47</v>
      </c>
      <c r="D2547" t="str">
        <f>HYPERLINK("http://service.sap.com/sap/support/notes/1354348","1354348")</f>
        <v>1354348</v>
      </c>
      <c r="F2547" t="s">
        <v>2683</v>
      </c>
    </row>
    <row r="2548" spans="1:6">
      <c r="A2548" t="s">
        <v>2627</v>
      </c>
      <c r="B2548" t="s">
        <v>160</v>
      </c>
      <c r="C2548" t="s">
        <v>47</v>
      </c>
      <c r="D2548" t="str">
        <f>HYPERLINK("http://service.sap.com/sap/support/notes/1422275","1422275")</f>
        <v>1422275</v>
      </c>
      <c r="F2548" t="s">
        <v>2684</v>
      </c>
    </row>
    <row r="2549" spans="1:6">
      <c r="A2549" t="s">
        <v>2627</v>
      </c>
      <c r="B2549" t="s">
        <v>160</v>
      </c>
      <c r="C2549" t="s">
        <v>47</v>
      </c>
      <c r="D2549" t="str">
        <f>HYPERLINK("http://service.sap.com/sap/support/notes/1433325","1433325")</f>
        <v>1433325</v>
      </c>
      <c r="F2549" t="s">
        <v>2685</v>
      </c>
    </row>
    <row r="2550" spans="1:6">
      <c r="A2550" t="s">
        <v>2627</v>
      </c>
      <c r="B2550" t="s">
        <v>160</v>
      </c>
      <c r="C2550" t="s">
        <v>47</v>
      </c>
      <c r="D2550" t="str">
        <f>HYPERLINK("http://service.sap.com/sap/support/notes/1434171","1434171")</f>
        <v>1434171</v>
      </c>
      <c r="F2550" t="s">
        <v>2686</v>
      </c>
    </row>
    <row r="2551" spans="1:6">
      <c r="A2551" t="s">
        <v>2627</v>
      </c>
      <c r="B2551" t="s">
        <v>160</v>
      </c>
      <c r="C2551" t="s">
        <v>47</v>
      </c>
      <c r="D2551" t="str">
        <f>HYPERLINK("http://service.sap.com/sap/support/notes/1440003","1440003")</f>
        <v>1440003</v>
      </c>
      <c r="F2551" t="s">
        <v>2687</v>
      </c>
    </row>
    <row r="2552" spans="1:6">
      <c r="A2552" t="s">
        <v>2627</v>
      </c>
      <c r="B2552" t="s">
        <v>160</v>
      </c>
      <c r="C2552" t="s">
        <v>47</v>
      </c>
      <c r="D2552" t="str">
        <f>HYPERLINK("http://service.sap.com/sap/support/notes/1441283","1441283")</f>
        <v>1441283</v>
      </c>
      <c r="F2552" t="s">
        <v>2688</v>
      </c>
    </row>
    <row r="2553" spans="1:6">
      <c r="A2553" t="s">
        <v>2627</v>
      </c>
      <c r="B2553" t="s">
        <v>160</v>
      </c>
      <c r="C2553" t="s">
        <v>47</v>
      </c>
      <c r="D2553" t="str">
        <f>HYPERLINK("http://service.sap.com/sap/support/notes/1441618","1441618")</f>
        <v>1441618</v>
      </c>
      <c r="F2553" t="s">
        <v>2689</v>
      </c>
    </row>
    <row r="2554" spans="1:6">
      <c r="A2554" t="s">
        <v>2627</v>
      </c>
      <c r="B2554" t="s">
        <v>160</v>
      </c>
      <c r="C2554" t="s">
        <v>47</v>
      </c>
      <c r="D2554" t="str">
        <f>HYPERLINK("http://service.sap.com/sap/support/notes/1441693","1441693")</f>
        <v>1441693</v>
      </c>
      <c r="F2554" t="s">
        <v>2690</v>
      </c>
    </row>
    <row r="2555" spans="1:6">
      <c r="A2555" t="s">
        <v>2627</v>
      </c>
      <c r="B2555" t="s">
        <v>160</v>
      </c>
      <c r="C2555" t="s">
        <v>47</v>
      </c>
      <c r="D2555" t="str">
        <f>HYPERLINK("http://service.sap.com/sap/support/notes/1442706","1442706")</f>
        <v>1442706</v>
      </c>
      <c r="F2555" t="s">
        <v>2691</v>
      </c>
    </row>
    <row r="2556" spans="1:6">
      <c r="A2556" t="s">
        <v>2627</v>
      </c>
      <c r="B2556" t="s">
        <v>160</v>
      </c>
      <c r="C2556" t="s">
        <v>47</v>
      </c>
      <c r="D2556" t="str">
        <f>HYPERLINK("http://service.sap.com/sap/support/notes/1443341","1443341")</f>
        <v>1443341</v>
      </c>
      <c r="F2556" t="s">
        <v>2692</v>
      </c>
    </row>
    <row r="2557" spans="1:6">
      <c r="A2557" t="s">
        <v>2627</v>
      </c>
      <c r="B2557" t="s">
        <v>160</v>
      </c>
      <c r="C2557" t="s">
        <v>47</v>
      </c>
      <c r="D2557" t="str">
        <f>HYPERLINK("http://service.sap.com/sap/support/notes/1443951","1443951")</f>
        <v>1443951</v>
      </c>
      <c r="F2557" t="s">
        <v>2693</v>
      </c>
    </row>
    <row r="2558" spans="1:6">
      <c r="A2558" t="s">
        <v>2627</v>
      </c>
      <c r="B2558" t="s">
        <v>160</v>
      </c>
      <c r="C2558" t="s">
        <v>47</v>
      </c>
      <c r="D2558" t="str">
        <f>HYPERLINK("http://service.sap.com/sap/support/notes/1444477","1444477")</f>
        <v>1444477</v>
      </c>
      <c r="F2558" t="s">
        <v>2694</v>
      </c>
    </row>
    <row r="2559" spans="1:6">
      <c r="A2559" t="s">
        <v>2627</v>
      </c>
      <c r="B2559" t="s">
        <v>160</v>
      </c>
      <c r="C2559" t="s">
        <v>47</v>
      </c>
      <c r="D2559" t="str">
        <f>HYPERLINK("http://service.sap.com/sap/support/notes/1445977","1445977")</f>
        <v>1445977</v>
      </c>
      <c r="F2559" t="s">
        <v>2695</v>
      </c>
    </row>
    <row r="2560" spans="1:6">
      <c r="A2560" t="s">
        <v>2627</v>
      </c>
      <c r="B2560" t="s">
        <v>166</v>
      </c>
      <c r="C2560" t="s">
        <v>50</v>
      </c>
      <c r="D2560" t="str">
        <f>HYPERLINK("http://service.sap.com/sap/support/notes/1436914","1436914")</f>
        <v>1436914</v>
      </c>
      <c r="F2560" t="s">
        <v>2696</v>
      </c>
    </row>
    <row r="2561" spans="1:6">
      <c r="A2561" t="s">
        <v>2627</v>
      </c>
      <c r="B2561" t="s">
        <v>166</v>
      </c>
      <c r="C2561" t="s">
        <v>50</v>
      </c>
      <c r="D2561" t="str">
        <f>HYPERLINK("http://service.sap.com/sap/support/notes/1438989","1438989")</f>
        <v>1438989</v>
      </c>
      <c r="F2561" t="s">
        <v>2697</v>
      </c>
    </row>
    <row r="2562" spans="1:6">
      <c r="A2562" t="s">
        <v>2627</v>
      </c>
      <c r="B2562" t="s">
        <v>166</v>
      </c>
      <c r="C2562" t="s">
        <v>50</v>
      </c>
      <c r="D2562" t="str">
        <f>HYPERLINK("http://service.sap.com/sap/support/notes/1439532","1439532")</f>
        <v>1439532</v>
      </c>
      <c r="F2562" t="s">
        <v>2698</v>
      </c>
    </row>
    <row r="2563" spans="1:6">
      <c r="A2563" t="s">
        <v>2627</v>
      </c>
      <c r="B2563" t="s">
        <v>166</v>
      </c>
      <c r="C2563" t="s">
        <v>50</v>
      </c>
      <c r="D2563" t="str">
        <f>HYPERLINK("http://service.sap.com/sap/support/notes/1446444","1446444")</f>
        <v>1446444</v>
      </c>
      <c r="F2563" t="s">
        <v>2699</v>
      </c>
    </row>
    <row r="2564" spans="1:6">
      <c r="A2564" t="s">
        <v>2627</v>
      </c>
      <c r="B2564" t="s">
        <v>166</v>
      </c>
      <c r="C2564" t="s">
        <v>50</v>
      </c>
      <c r="D2564" t="str">
        <f>HYPERLINK("http://service.sap.com/sap/support/notes/1448699","1448699")</f>
        <v>1448699</v>
      </c>
      <c r="F2564" t="s">
        <v>2700</v>
      </c>
    </row>
    <row r="2565" spans="1:6">
      <c r="A2565" t="s">
        <v>2627</v>
      </c>
      <c r="B2565" t="s">
        <v>941</v>
      </c>
      <c r="C2565" t="s">
        <v>189</v>
      </c>
      <c r="D2565" t="str">
        <f>HYPERLINK("http://service.sap.com/sap/support/notes/1442571","1442571")</f>
        <v>1442571</v>
      </c>
      <c r="F2565" t="s">
        <v>2701</v>
      </c>
    </row>
    <row r="2566" spans="1:6">
      <c r="A2566" t="s">
        <v>2627</v>
      </c>
      <c r="B2566" t="s">
        <v>174</v>
      </c>
      <c r="C2566" t="s">
        <v>175</v>
      </c>
      <c r="D2566" t="str">
        <f>HYPERLINK("http://service.sap.com/sap/support/notes/1438686","1438686")</f>
        <v>1438686</v>
      </c>
      <c r="F2566" t="s">
        <v>959</v>
      </c>
    </row>
    <row r="2567" spans="1:6">
      <c r="A2567" t="s">
        <v>2627</v>
      </c>
      <c r="B2567" t="s">
        <v>174</v>
      </c>
      <c r="C2567" t="s">
        <v>175</v>
      </c>
      <c r="D2567" t="str">
        <f>HYPERLINK("http://service.sap.com/sap/support/notes/1441435","1441435")</f>
        <v>1441435</v>
      </c>
      <c r="F2567" t="s">
        <v>2702</v>
      </c>
    </row>
    <row r="2568" spans="1:6">
      <c r="A2568" t="s">
        <v>2627</v>
      </c>
      <c r="B2568" t="s">
        <v>174</v>
      </c>
      <c r="C2568" t="s">
        <v>175</v>
      </c>
      <c r="D2568" t="str">
        <f>HYPERLINK("http://service.sap.com/sap/support/notes/1441822","1441822")</f>
        <v>1441822</v>
      </c>
      <c r="F2568" t="s">
        <v>2703</v>
      </c>
    </row>
    <row r="2569" spans="1:6">
      <c r="A2569" t="s">
        <v>2627</v>
      </c>
      <c r="B2569" t="s">
        <v>174</v>
      </c>
      <c r="C2569" t="s">
        <v>175</v>
      </c>
      <c r="D2569" t="str">
        <f>HYPERLINK("http://service.sap.com/sap/support/notes/1442953","1442953")</f>
        <v>1442953</v>
      </c>
      <c r="F2569" t="s">
        <v>2704</v>
      </c>
    </row>
    <row r="2570" spans="1:6">
      <c r="A2570" t="s">
        <v>2627</v>
      </c>
      <c r="B2570" t="s">
        <v>174</v>
      </c>
      <c r="C2570" t="s">
        <v>175</v>
      </c>
      <c r="D2570" t="str">
        <f>HYPERLINK("http://service.sap.com/sap/support/notes/1446116","1446116")</f>
        <v>1446116</v>
      </c>
      <c r="F2570" t="s">
        <v>2705</v>
      </c>
    </row>
    <row r="2571" spans="1:6">
      <c r="A2571" t="s">
        <v>2627</v>
      </c>
      <c r="B2571" t="s">
        <v>174</v>
      </c>
      <c r="C2571" t="s">
        <v>175</v>
      </c>
      <c r="D2571" t="str">
        <f>HYPERLINK("http://service.sap.com/sap/support/notes/1448059","1448059")</f>
        <v>1448059</v>
      </c>
      <c r="F2571" t="s">
        <v>2706</v>
      </c>
    </row>
    <row r="2572" spans="1:6">
      <c r="A2572" t="s">
        <v>2627</v>
      </c>
      <c r="B2572" t="s">
        <v>174</v>
      </c>
      <c r="C2572" t="s">
        <v>175</v>
      </c>
      <c r="D2572" t="str">
        <f>HYPERLINK("http://service.sap.com/sap/support/notes/1449037","1449037")</f>
        <v>1449037</v>
      </c>
      <c r="F2572" t="s">
        <v>2707</v>
      </c>
    </row>
    <row r="2573" spans="1:6">
      <c r="A2573" t="s">
        <v>2627</v>
      </c>
      <c r="B2573" t="s">
        <v>192</v>
      </c>
      <c r="C2573" t="s">
        <v>60</v>
      </c>
      <c r="D2573" t="str">
        <f>HYPERLINK("http://service.sap.com/sap/support/notes/1332299","1332299")</f>
        <v>1332299</v>
      </c>
      <c r="F2573" t="s">
        <v>2345</v>
      </c>
    </row>
    <row r="2574" spans="1:6">
      <c r="A2574" t="s">
        <v>2627</v>
      </c>
      <c r="B2574" t="s">
        <v>192</v>
      </c>
      <c r="C2574" t="s">
        <v>60</v>
      </c>
      <c r="D2574" t="str">
        <f>HYPERLINK("http://service.sap.com/sap/support/notes/1376765","1376765")</f>
        <v>1376765</v>
      </c>
      <c r="F2574" t="s">
        <v>2708</v>
      </c>
    </row>
    <row r="2575" spans="1:6">
      <c r="A2575" t="s">
        <v>2627</v>
      </c>
      <c r="B2575" t="s">
        <v>192</v>
      </c>
      <c r="C2575" t="s">
        <v>60</v>
      </c>
      <c r="D2575" t="str">
        <f>HYPERLINK("http://service.sap.com/sap/support/notes/1438018","1438018")</f>
        <v>1438018</v>
      </c>
      <c r="F2575" t="s">
        <v>2709</v>
      </c>
    </row>
    <row r="2576" spans="1:6">
      <c r="A2576" t="s">
        <v>2627</v>
      </c>
      <c r="B2576" t="s">
        <v>192</v>
      </c>
      <c r="C2576" t="s">
        <v>60</v>
      </c>
      <c r="D2576" t="str">
        <f>HYPERLINK("http://service.sap.com/sap/support/notes/1440216","1440216")</f>
        <v>1440216</v>
      </c>
      <c r="F2576" t="s">
        <v>2710</v>
      </c>
    </row>
    <row r="2577" spans="1:6">
      <c r="A2577" t="s">
        <v>2627</v>
      </c>
      <c r="B2577" t="s">
        <v>192</v>
      </c>
      <c r="C2577" t="s">
        <v>60</v>
      </c>
      <c r="D2577" t="str">
        <f>HYPERLINK("http://service.sap.com/sap/support/notes/1440627","1440627")</f>
        <v>1440627</v>
      </c>
      <c r="F2577" t="s">
        <v>2711</v>
      </c>
    </row>
    <row r="2578" spans="1:6">
      <c r="A2578" t="s">
        <v>2627</v>
      </c>
      <c r="B2578" t="s">
        <v>192</v>
      </c>
      <c r="C2578" t="s">
        <v>60</v>
      </c>
      <c r="D2578" t="str">
        <f>HYPERLINK("http://service.sap.com/sap/support/notes/1440999","1440999")</f>
        <v>1440999</v>
      </c>
      <c r="F2578" t="s">
        <v>2712</v>
      </c>
    </row>
    <row r="2579" spans="1:6">
      <c r="A2579" t="s">
        <v>2627</v>
      </c>
      <c r="B2579" t="s">
        <v>192</v>
      </c>
      <c r="C2579" t="s">
        <v>60</v>
      </c>
      <c r="D2579" t="str">
        <f>HYPERLINK("http://service.sap.com/sap/support/notes/1441050","1441050")</f>
        <v>1441050</v>
      </c>
      <c r="F2579" t="s">
        <v>2713</v>
      </c>
    </row>
    <row r="2580" spans="1:6">
      <c r="A2580" t="s">
        <v>2627</v>
      </c>
      <c r="B2580" t="s">
        <v>192</v>
      </c>
      <c r="C2580" t="s">
        <v>60</v>
      </c>
      <c r="D2580" t="str">
        <f>HYPERLINK("http://service.sap.com/sap/support/notes/1441417","1441417")</f>
        <v>1441417</v>
      </c>
      <c r="F2580" t="s">
        <v>2714</v>
      </c>
    </row>
    <row r="2581" spans="1:6">
      <c r="A2581" t="s">
        <v>2627</v>
      </c>
      <c r="B2581" t="s">
        <v>192</v>
      </c>
      <c r="C2581" t="s">
        <v>60</v>
      </c>
      <c r="D2581" t="str">
        <f>HYPERLINK("http://service.sap.com/sap/support/notes/1441576","1441576")</f>
        <v>1441576</v>
      </c>
      <c r="F2581" t="s">
        <v>2715</v>
      </c>
    </row>
    <row r="2582" spans="1:6">
      <c r="A2582" t="s">
        <v>2627</v>
      </c>
      <c r="B2582" t="s">
        <v>192</v>
      </c>
      <c r="C2582" t="s">
        <v>60</v>
      </c>
      <c r="D2582" t="str">
        <f>HYPERLINK("http://service.sap.com/sap/support/notes/1442699","1442699")</f>
        <v>1442699</v>
      </c>
      <c r="F2582" t="s">
        <v>2716</v>
      </c>
    </row>
    <row r="2583" spans="1:6">
      <c r="A2583" t="s">
        <v>2627</v>
      </c>
      <c r="B2583" t="s">
        <v>192</v>
      </c>
      <c r="C2583" t="s">
        <v>60</v>
      </c>
      <c r="D2583" t="str">
        <f>HYPERLINK("http://service.sap.com/sap/support/notes/1443039","1443039")</f>
        <v>1443039</v>
      </c>
      <c r="F2583" t="s">
        <v>2717</v>
      </c>
    </row>
    <row r="2584" spans="1:6">
      <c r="A2584" t="s">
        <v>2627</v>
      </c>
      <c r="B2584" t="s">
        <v>192</v>
      </c>
      <c r="C2584" t="s">
        <v>60</v>
      </c>
      <c r="D2584" t="str">
        <f>HYPERLINK("http://service.sap.com/sap/support/notes/1443337","1443337")</f>
        <v>1443337</v>
      </c>
      <c r="F2584" t="s">
        <v>2718</v>
      </c>
    </row>
    <row r="2585" spans="1:6">
      <c r="A2585" t="s">
        <v>2627</v>
      </c>
      <c r="B2585" t="s">
        <v>192</v>
      </c>
      <c r="C2585" t="s">
        <v>60</v>
      </c>
      <c r="D2585" t="str">
        <f>HYPERLINK("http://service.sap.com/sap/support/notes/1446103","1446103")</f>
        <v>1446103</v>
      </c>
      <c r="F2585" t="s">
        <v>2719</v>
      </c>
    </row>
    <row r="2586" spans="1:6">
      <c r="A2586" t="s">
        <v>2627</v>
      </c>
      <c r="B2586" t="s">
        <v>192</v>
      </c>
      <c r="C2586" t="s">
        <v>60</v>
      </c>
      <c r="D2586" t="str">
        <f>HYPERLINK("http://service.sap.com/sap/support/notes/1446293","1446293")</f>
        <v>1446293</v>
      </c>
      <c r="F2586" t="s">
        <v>2720</v>
      </c>
    </row>
    <row r="2587" spans="1:6">
      <c r="A2587" t="s">
        <v>2627</v>
      </c>
      <c r="B2587" t="s">
        <v>192</v>
      </c>
      <c r="C2587" t="s">
        <v>60</v>
      </c>
      <c r="D2587" t="str">
        <f>HYPERLINK("http://service.sap.com/sap/support/notes/1446808","1446808")</f>
        <v>1446808</v>
      </c>
      <c r="F2587" t="s">
        <v>2721</v>
      </c>
    </row>
    <row r="2588" spans="1:6">
      <c r="A2588" t="s">
        <v>2627</v>
      </c>
      <c r="B2588" t="s">
        <v>197</v>
      </c>
      <c r="C2588" t="s">
        <v>63</v>
      </c>
      <c r="D2588" t="str">
        <f>HYPERLINK("http://service.sap.com/sap/support/notes/1423816","1423816")</f>
        <v>1423816</v>
      </c>
      <c r="F2588" t="s">
        <v>2722</v>
      </c>
    </row>
    <row r="2589" spans="1:6">
      <c r="A2589" t="s">
        <v>2627</v>
      </c>
      <c r="B2589" t="s">
        <v>197</v>
      </c>
      <c r="C2589" t="s">
        <v>63</v>
      </c>
      <c r="D2589" t="str">
        <f>HYPERLINK("http://service.sap.com/sap/support/notes/1427763","1427763")</f>
        <v>1427763</v>
      </c>
      <c r="F2589" t="s">
        <v>2723</v>
      </c>
    </row>
    <row r="2590" spans="1:6">
      <c r="A2590" t="s">
        <v>2627</v>
      </c>
      <c r="B2590" t="s">
        <v>197</v>
      </c>
      <c r="C2590" t="s">
        <v>63</v>
      </c>
      <c r="D2590" t="str">
        <f>HYPERLINK("http://service.sap.com/sap/support/notes/1428555","1428555")</f>
        <v>1428555</v>
      </c>
      <c r="F2590" t="s">
        <v>2724</v>
      </c>
    </row>
    <row r="2591" spans="1:6">
      <c r="A2591" t="s">
        <v>2627</v>
      </c>
      <c r="B2591" t="s">
        <v>197</v>
      </c>
      <c r="C2591" t="s">
        <v>63</v>
      </c>
      <c r="D2591" t="str">
        <f>HYPERLINK("http://service.sap.com/sap/support/notes/1445001","1445001")</f>
        <v>1445001</v>
      </c>
      <c r="F2591" t="s">
        <v>2725</v>
      </c>
    </row>
    <row r="2592" spans="1:6">
      <c r="A2592" t="s">
        <v>2627</v>
      </c>
      <c r="B2592" t="s">
        <v>204</v>
      </c>
      <c r="C2592" t="s">
        <v>205</v>
      </c>
    </row>
    <row r="2593" spans="1:6">
      <c r="A2593" t="s">
        <v>2627</v>
      </c>
      <c r="B2593" t="s">
        <v>207</v>
      </c>
      <c r="C2593" t="s">
        <v>208</v>
      </c>
      <c r="D2593" t="str">
        <f>HYPERLINK("http://service.sap.com/sap/support/notes/1438581","1438581")</f>
        <v>1438581</v>
      </c>
      <c r="F2593" t="s">
        <v>2726</v>
      </c>
    </row>
    <row r="2594" spans="1:6">
      <c r="A2594" t="s">
        <v>2627</v>
      </c>
      <c r="B2594" t="s">
        <v>207</v>
      </c>
      <c r="C2594" t="s">
        <v>208</v>
      </c>
      <c r="D2594" t="str">
        <f>HYPERLINK("http://service.sap.com/sap/support/notes/1438667","1438667")</f>
        <v>1438667</v>
      </c>
      <c r="F2594" t="s">
        <v>2727</v>
      </c>
    </row>
    <row r="2595" spans="1:6">
      <c r="A2595" t="s">
        <v>2627</v>
      </c>
      <c r="B2595" t="s">
        <v>207</v>
      </c>
      <c r="C2595" t="s">
        <v>208</v>
      </c>
      <c r="D2595" t="str">
        <f>HYPERLINK("http://service.sap.com/sap/support/notes/1439774","1439774")</f>
        <v>1439774</v>
      </c>
      <c r="F2595" t="s">
        <v>2728</v>
      </c>
    </row>
    <row r="2596" spans="1:6">
      <c r="A2596" t="s">
        <v>2627</v>
      </c>
      <c r="B2596" t="s">
        <v>207</v>
      </c>
      <c r="C2596" t="s">
        <v>208</v>
      </c>
      <c r="D2596" t="str">
        <f>HYPERLINK("http://service.sap.com/sap/support/notes/1441780","1441780")</f>
        <v>1441780</v>
      </c>
      <c r="F2596" t="s">
        <v>2729</v>
      </c>
    </row>
    <row r="2597" spans="1:6">
      <c r="A2597" t="s">
        <v>2627</v>
      </c>
      <c r="B2597" t="s">
        <v>211</v>
      </c>
      <c r="C2597" t="s">
        <v>212</v>
      </c>
      <c r="D2597" t="str">
        <f>HYPERLINK("http://service.sap.com/sap/support/notes/1384077","1384077")</f>
        <v>1384077</v>
      </c>
      <c r="F2597" t="s">
        <v>2730</v>
      </c>
    </row>
    <row r="2598" spans="1:6">
      <c r="A2598" t="s">
        <v>2627</v>
      </c>
      <c r="B2598" t="s">
        <v>211</v>
      </c>
      <c r="C2598" t="s">
        <v>212</v>
      </c>
      <c r="D2598" t="str">
        <f>HYPERLINK("http://service.sap.com/sap/support/notes/1427007","1427007")</f>
        <v>1427007</v>
      </c>
      <c r="F2598" t="s">
        <v>2731</v>
      </c>
    </row>
    <row r="2599" spans="1:6">
      <c r="A2599" t="s">
        <v>2627</v>
      </c>
      <c r="B2599" t="s">
        <v>211</v>
      </c>
      <c r="C2599" t="s">
        <v>212</v>
      </c>
      <c r="D2599" t="str">
        <f>HYPERLINK("http://service.sap.com/sap/support/notes/1434841","1434841")</f>
        <v>1434841</v>
      </c>
      <c r="F2599" t="s">
        <v>2732</v>
      </c>
    </row>
    <row r="2600" spans="1:6">
      <c r="A2600" t="s">
        <v>2627</v>
      </c>
      <c r="B2600" t="s">
        <v>211</v>
      </c>
      <c r="C2600" t="s">
        <v>212</v>
      </c>
      <c r="D2600" t="str">
        <f>HYPERLINK("http://service.sap.com/sap/support/notes/1439873","1439873")</f>
        <v>1439873</v>
      </c>
      <c r="F2600" t="s">
        <v>2733</v>
      </c>
    </row>
    <row r="2601" spans="1:6">
      <c r="A2601" t="s">
        <v>2627</v>
      </c>
      <c r="B2601" t="s">
        <v>211</v>
      </c>
      <c r="C2601" t="s">
        <v>212</v>
      </c>
      <c r="D2601" t="str">
        <f>HYPERLINK("http://service.sap.com/sap/support/notes/1440053","1440053")</f>
        <v>1440053</v>
      </c>
      <c r="F2601" t="s">
        <v>2734</v>
      </c>
    </row>
    <row r="2602" spans="1:6">
      <c r="A2602" t="s">
        <v>2627</v>
      </c>
      <c r="B2602" t="s">
        <v>211</v>
      </c>
      <c r="C2602" t="s">
        <v>212</v>
      </c>
      <c r="D2602" t="str">
        <f>HYPERLINK("http://service.sap.com/sap/support/notes/1440543","1440543")</f>
        <v>1440543</v>
      </c>
      <c r="F2602" t="s">
        <v>2735</v>
      </c>
    </row>
    <row r="2603" spans="1:6">
      <c r="A2603" t="s">
        <v>2627</v>
      </c>
      <c r="B2603" t="s">
        <v>211</v>
      </c>
      <c r="C2603" t="s">
        <v>212</v>
      </c>
      <c r="D2603" t="str">
        <f>HYPERLINK("http://service.sap.com/sap/support/notes/1440702","1440702")</f>
        <v>1440702</v>
      </c>
      <c r="F2603" t="s">
        <v>2736</v>
      </c>
    </row>
    <row r="2604" spans="1:6">
      <c r="A2604" t="s">
        <v>2627</v>
      </c>
      <c r="B2604" t="s">
        <v>211</v>
      </c>
      <c r="C2604" t="s">
        <v>212</v>
      </c>
      <c r="D2604" t="str">
        <f>HYPERLINK("http://service.sap.com/sap/support/notes/1440897","1440897")</f>
        <v>1440897</v>
      </c>
      <c r="F2604" t="s">
        <v>2737</v>
      </c>
    </row>
    <row r="2605" spans="1:6">
      <c r="A2605" t="s">
        <v>2627</v>
      </c>
      <c r="B2605" t="s">
        <v>211</v>
      </c>
      <c r="C2605" t="s">
        <v>212</v>
      </c>
      <c r="D2605" t="str">
        <f>HYPERLINK("http://service.sap.com/sap/support/notes/1442111","1442111")</f>
        <v>1442111</v>
      </c>
      <c r="F2605" t="s">
        <v>2738</v>
      </c>
    </row>
    <row r="2606" spans="1:6">
      <c r="A2606" t="s">
        <v>2627</v>
      </c>
      <c r="B2606" t="s">
        <v>211</v>
      </c>
      <c r="C2606" t="s">
        <v>212</v>
      </c>
      <c r="D2606" t="str">
        <f>HYPERLINK("http://service.sap.com/sap/support/notes/1442512","1442512")</f>
        <v>1442512</v>
      </c>
      <c r="F2606" t="s">
        <v>2739</v>
      </c>
    </row>
    <row r="2607" spans="1:6">
      <c r="A2607" t="s">
        <v>2627</v>
      </c>
      <c r="B2607" t="s">
        <v>211</v>
      </c>
      <c r="C2607" t="s">
        <v>212</v>
      </c>
      <c r="D2607" t="str">
        <f>HYPERLINK("http://service.sap.com/sap/support/notes/1443607","1443607")</f>
        <v>1443607</v>
      </c>
      <c r="F2607" t="s">
        <v>2740</v>
      </c>
    </row>
    <row r="2608" spans="1:6">
      <c r="A2608" t="s">
        <v>2627</v>
      </c>
      <c r="B2608" t="s">
        <v>211</v>
      </c>
      <c r="C2608" t="s">
        <v>212</v>
      </c>
      <c r="D2608" t="str">
        <f>HYPERLINK("http://service.sap.com/sap/support/notes/1443717","1443717")</f>
        <v>1443717</v>
      </c>
      <c r="F2608" t="s">
        <v>2741</v>
      </c>
    </row>
    <row r="2609" spans="1:6">
      <c r="A2609" t="s">
        <v>2627</v>
      </c>
      <c r="B2609" t="s">
        <v>211</v>
      </c>
      <c r="C2609" t="s">
        <v>212</v>
      </c>
      <c r="D2609" t="str">
        <f>HYPERLINK("http://service.sap.com/sap/support/notes/1444290","1444290")</f>
        <v>1444290</v>
      </c>
      <c r="F2609" t="s">
        <v>2742</v>
      </c>
    </row>
    <row r="2610" spans="1:6">
      <c r="A2610" t="s">
        <v>2627</v>
      </c>
      <c r="B2610" t="s">
        <v>211</v>
      </c>
      <c r="C2610" t="s">
        <v>212</v>
      </c>
      <c r="D2610" t="str">
        <f>HYPERLINK("http://service.sap.com/sap/support/notes/1444301","1444301")</f>
        <v>1444301</v>
      </c>
      <c r="F2610" t="s">
        <v>2743</v>
      </c>
    </row>
    <row r="2611" spans="1:6">
      <c r="A2611" t="s">
        <v>2627</v>
      </c>
      <c r="B2611" t="s">
        <v>211</v>
      </c>
      <c r="C2611" t="s">
        <v>212</v>
      </c>
      <c r="D2611" t="str">
        <f>HYPERLINK("http://service.sap.com/sap/support/notes/1446220","1446220")</f>
        <v>1446220</v>
      </c>
      <c r="F2611" t="s">
        <v>2744</v>
      </c>
    </row>
    <row r="2612" spans="1:6">
      <c r="A2612" t="s">
        <v>2627</v>
      </c>
      <c r="B2612" t="s">
        <v>211</v>
      </c>
      <c r="C2612" t="s">
        <v>212</v>
      </c>
      <c r="D2612" t="str">
        <f>HYPERLINK("http://service.sap.com/sap/support/notes/1448109","1448109")</f>
        <v>1448109</v>
      </c>
      <c r="F2612" t="s">
        <v>2745</v>
      </c>
    </row>
    <row r="2613" spans="1:6">
      <c r="A2613" t="s">
        <v>2627</v>
      </c>
      <c r="B2613" t="s">
        <v>211</v>
      </c>
      <c r="C2613" t="s">
        <v>212</v>
      </c>
      <c r="D2613" t="str">
        <f>HYPERLINK("http://service.sap.com/sap/support/notes/1449718","1449718")</f>
        <v>1449718</v>
      </c>
      <c r="F2613" t="s">
        <v>2746</v>
      </c>
    </row>
    <row r="2614" spans="1:6">
      <c r="A2614" t="s">
        <v>2627</v>
      </c>
      <c r="B2614" t="s">
        <v>218</v>
      </c>
      <c r="C2614" t="s">
        <v>219</v>
      </c>
      <c r="D2614" t="str">
        <f>HYPERLINK("http://service.sap.com/sap/support/notes/1434814","1434814")</f>
        <v>1434814</v>
      </c>
      <c r="F2614" t="s">
        <v>2387</v>
      </c>
    </row>
    <row r="2615" spans="1:6">
      <c r="A2615" t="s">
        <v>2627</v>
      </c>
      <c r="B2615" t="s">
        <v>225</v>
      </c>
      <c r="C2615" t="s">
        <v>66</v>
      </c>
      <c r="D2615" t="str">
        <f>HYPERLINK("http://service.sap.com/sap/support/notes/1441408","1441408")</f>
        <v>1441408</v>
      </c>
      <c r="F2615" t="s">
        <v>2747</v>
      </c>
    </row>
    <row r="2616" spans="1:6">
      <c r="A2616" t="s">
        <v>2627</v>
      </c>
      <c r="B2616" t="s">
        <v>228</v>
      </c>
      <c r="C2616" t="s">
        <v>69</v>
      </c>
      <c r="D2616" t="str">
        <f>HYPERLINK("http://service.sap.com/sap/support/notes/1445299","1445299")</f>
        <v>1445299</v>
      </c>
      <c r="F2616" t="s">
        <v>2748</v>
      </c>
    </row>
    <row r="2617" spans="1:6">
      <c r="A2617" t="s">
        <v>2627</v>
      </c>
      <c r="B2617" t="s">
        <v>1024</v>
      </c>
      <c r="C2617" t="s">
        <v>1458</v>
      </c>
      <c r="D2617" t="str">
        <f>HYPERLINK("http://service.sap.com/sap/support/notes/1449227","1449227")</f>
        <v>1449227</v>
      </c>
      <c r="F2617" t="s">
        <v>2749</v>
      </c>
    </row>
    <row r="2618" spans="1:6">
      <c r="A2618" t="s">
        <v>2627</v>
      </c>
      <c r="B2618" t="s">
        <v>230</v>
      </c>
      <c r="C2618" t="s">
        <v>231</v>
      </c>
      <c r="D2618" t="str">
        <f>HYPERLINK("http://service.sap.com/sap/support/notes/1437519","1437519")</f>
        <v>1437519</v>
      </c>
      <c r="F2618" t="s">
        <v>2750</v>
      </c>
    </row>
    <row r="2619" spans="1:6">
      <c r="A2619" t="s">
        <v>2627</v>
      </c>
      <c r="B2619" t="s">
        <v>233</v>
      </c>
      <c r="C2619" t="s">
        <v>234</v>
      </c>
    </row>
    <row r="2620" spans="1:6">
      <c r="A2620" t="s">
        <v>2627</v>
      </c>
      <c r="B2620" t="s">
        <v>235</v>
      </c>
      <c r="C2620" t="s">
        <v>236</v>
      </c>
      <c r="D2620" t="str">
        <f>HYPERLINK("http://service.sap.com/sap/support/notes/1438439","1438439")</f>
        <v>1438439</v>
      </c>
      <c r="F2620" t="s">
        <v>2751</v>
      </c>
    </row>
    <row r="2621" spans="1:6">
      <c r="A2621" t="s">
        <v>2627</v>
      </c>
      <c r="B2621" t="s">
        <v>235</v>
      </c>
      <c r="C2621" t="s">
        <v>236</v>
      </c>
      <c r="D2621" t="str">
        <f>HYPERLINK("http://service.sap.com/sap/support/notes/1440550","1440550")</f>
        <v>1440550</v>
      </c>
      <c r="F2621" t="s">
        <v>2752</v>
      </c>
    </row>
    <row r="2622" spans="1:6">
      <c r="A2622" t="s">
        <v>2627</v>
      </c>
      <c r="B2622" t="s">
        <v>235</v>
      </c>
      <c r="C2622" t="s">
        <v>236</v>
      </c>
      <c r="D2622" t="str">
        <f>HYPERLINK("http://service.sap.com/sap/support/notes/1440949","1440949")</f>
        <v>1440949</v>
      </c>
      <c r="F2622" t="s">
        <v>2753</v>
      </c>
    </row>
    <row r="2623" spans="1:6">
      <c r="A2623" t="s">
        <v>2627</v>
      </c>
      <c r="B2623" t="s">
        <v>1460</v>
      </c>
      <c r="C2623" t="s">
        <v>1461</v>
      </c>
      <c r="D2623" t="str">
        <f>HYPERLINK("http://service.sap.com/sap/support/notes/1440385","1440385")</f>
        <v>1440385</v>
      </c>
      <c r="F2623" t="s">
        <v>2754</v>
      </c>
    </row>
    <row r="2624" spans="1:6">
      <c r="A2624" t="s">
        <v>2627</v>
      </c>
      <c r="B2624" t="s">
        <v>1460</v>
      </c>
      <c r="C2624" t="s">
        <v>1461</v>
      </c>
      <c r="D2624" t="str">
        <f>HYPERLINK("http://service.sap.com/sap/support/notes/1442785","1442785")</f>
        <v>1442785</v>
      </c>
      <c r="F2624" t="s">
        <v>2755</v>
      </c>
    </row>
    <row r="2625" spans="1:6">
      <c r="A2625" t="s">
        <v>2627</v>
      </c>
      <c r="B2625" t="s">
        <v>1460</v>
      </c>
      <c r="C2625" t="s">
        <v>1461</v>
      </c>
      <c r="D2625" t="str">
        <f>HYPERLINK("http://service.sap.com/sap/support/notes/1446062","1446062")</f>
        <v>1446062</v>
      </c>
      <c r="F2625" t="s">
        <v>2756</v>
      </c>
    </row>
    <row r="2626" spans="1:6">
      <c r="A2626" t="s">
        <v>2627</v>
      </c>
      <c r="B2626" t="s">
        <v>1044</v>
      </c>
      <c r="C2626" t="s">
        <v>1645</v>
      </c>
      <c r="D2626" t="str">
        <f>HYPERLINK("http://service.sap.com/sap/support/notes/1440899","1440899")</f>
        <v>1440899</v>
      </c>
      <c r="F2626" t="s">
        <v>2757</v>
      </c>
    </row>
    <row r="2627" spans="1:6">
      <c r="A2627" t="s">
        <v>2627</v>
      </c>
      <c r="B2627" t="s">
        <v>238</v>
      </c>
      <c r="C2627" t="s">
        <v>239</v>
      </c>
      <c r="D2627" t="str">
        <f>HYPERLINK("http://service.sap.com/sap/support/notes/1447689","1447689")</f>
        <v>1447689</v>
      </c>
      <c r="F2627" t="s">
        <v>2758</v>
      </c>
    </row>
    <row r="2628" spans="1:6">
      <c r="A2628" t="s">
        <v>2627</v>
      </c>
      <c r="B2628" t="s">
        <v>240</v>
      </c>
      <c r="C2628" t="s">
        <v>241</v>
      </c>
      <c r="D2628" t="str">
        <f>HYPERLINK("http://service.sap.com/sap/support/notes/1423306","1423306")</f>
        <v>1423306</v>
      </c>
      <c r="F2628" t="s">
        <v>2759</v>
      </c>
    </row>
    <row r="2629" spans="1:6">
      <c r="A2629" t="s">
        <v>2627</v>
      </c>
      <c r="B2629" t="s">
        <v>240</v>
      </c>
      <c r="C2629" t="s">
        <v>241</v>
      </c>
      <c r="D2629" t="str">
        <f>HYPERLINK("http://service.sap.com/sap/support/notes/1433680","1433680")</f>
        <v>1433680</v>
      </c>
      <c r="F2629" t="s">
        <v>2760</v>
      </c>
    </row>
    <row r="2630" spans="1:6">
      <c r="A2630" t="s">
        <v>2627</v>
      </c>
      <c r="B2630" t="s">
        <v>240</v>
      </c>
      <c r="C2630" t="s">
        <v>241</v>
      </c>
      <c r="D2630" t="str">
        <f>HYPERLINK("http://service.sap.com/sap/support/notes/1439829","1439829")</f>
        <v>1439829</v>
      </c>
      <c r="F2630" t="s">
        <v>2761</v>
      </c>
    </row>
    <row r="2631" spans="1:6">
      <c r="A2631" t="s">
        <v>2627</v>
      </c>
      <c r="B2631" t="s">
        <v>244</v>
      </c>
      <c r="C2631" t="s">
        <v>245</v>
      </c>
      <c r="D2631" t="str">
        <f>HYPERLINK("http://service.sap.com/sap/support/notes/1440305","1440305")</f>
        <v>1440305</v>
      </c>
      <c r="F2631" t="s">
        <v>2762</v>
      </c>
    </row>
    <row r="2632" spans="1:6">
      <c r="A2632" t="s">
        <v>2627</v>
      </c>
      <c r="B2632" t="s">
        <v>244</v>
      </c>
      <c r="C2632" t="s">
        <v>245</v>
      </c>
      <c r="D2632" t="str">
        <f>HYPERLINK("http://service.sap.com/sap/support/notes/1440650","1440650")</f>
        <v>1440650</v>
      </c>
      <c r="F2632" t="s">
        <v>2763</v>
      </c>
    </row>
    <row r="2633" spans="1:6">
      <c r="A2633" t="s">
        <v>2627</v>
      </c>
      <c r="B2633" t="s">
        <v>244</v>
      </c>
      <c r="C2633" t="s">
        <v>245</v>
      </c>
      <c r="D2633" t="str">
        <f>HYPERLINK("http://service.sap.com/sap/support/notes/1443720","1443720")</f>
        <v>1443720</v>
      </c>
      <c r="F2633" t="s">
        <v>2764</v>
      </c>
    </row>
    <row r="2634" spans="1:6">
      <c r="A2634" t="s">
        <v>2627</v>
      </c>
      <c r="B2634" t="s">
        <v>249</v>
      </c>
      <c r="C2634" t="s">
        <v>250</v>
      </c>
      <c r="D2634" t="str">
        <f>HYPERLINK("http://service.sap.com/sap/support/notes/1430958","1430958")</f>
        <v>1430958</v>
      </c>
      <c r="F2634" t="s">
        <v>2765</v>
      </c>
    </row>
    <row r="2635" spans="1:6">
      <c r="A2635" t="s">
        <v>2627</v>
      </c>
      <c r="B2635" t="s">
        <v>249</v>
      </c>
      <c r="C2635" t="s">
        <v>250</v>
      </c>
      <c r="D2635" t="str">
        <f>HYPERLINK("http://service.sap.com/sap/support/notes/1443699","1443699")</f>
        <v>1443699</v>
      </c>
      <c r="F2635" t="s">
        <v>2766</v>
      </c>
    </row>
    <row r="2636" spans="1:6">
      <c r="A2636" t="s">
        <v>2627</v>
      </c>
      <c r="B2636" t="s">
        <v>1058</v>
      </c>
      <c r="C2636" t="s">
        <v>1655</v>
      </c>
      <c r="D2636" t="str">
        <f>HYPERLINK("http://service.sap.com/sap/support/notes/1434862","1434862")</f>
        <v>1434862</v>
      </c>
      <c r="F2636" t="s">
        <v>2767</v>
      </c>
    </row>
    <row r="2637" spans="1:6">
      <c r="A2637" t="s">
        <v>2627</v>
      </c>
      <c r="B2637" t="s">
        <v>254</v>
      </c>
      <c r="C2637" t="s">
        <v>255</v>
      </c>
      <c r="D2637" t="str">
        <f>HYPERLINK("http://service.sap.com/sap/support/notes/1439255","1439255")</f>
        <v>1439255</v>
      </c>
      <c r="F2637" t="s">
        <v>2768</v>
      </c>
    </row>
    <row r="2638" spans="1:6">
      <c r="A2638" t="s">
        <v>2627</v>
      </c>
      <c r="B2638" t="s">
        <v>254</v>
      </c>
      <c r="C2638" t="s">
        <v>255</v>
      </c>
      <c r="D2638" t="str">
        <f>HYPERLINK("http://service.sap.com/sap/support/notes/1441988","1441988")</f>
        <v>1441988</v>
      </c>
      <c r="F2638" t="s">
        <v>2769</v>
      </c>
    </row>
    <row r="2639" spans="1:6">
      <c r="A2639" t="s">
        <v>2627</v>
      </c>
      <c r="B2639" t="s">
        <v>254</v>
      </c>
      <c r="C2639" t="s">
        <v>255</v>
      </c>
      <c r="D2639" t="str">
        <f>HYPERLINK("http://service.sap.com/sap/support/notes/1443501","1443501")</f>
        <v>1443501</v>
      </c>
      <c r="F2639" t="s">
        <v>2770</v>
      </c>
    </row>
    <row r="2640" spans="1:6">
      <c r="A2640" t="s">
        <v>2627</v>
      </c>
      <c r="B2640" t="s">
        <v>254</v>
      </c>
      <c r="C2640" t="s">
        <v>255</v>
      </c>
      <c r="D2640" t="str">
        <f>HYPERLINK("http://service.sap.com/sap/support/notes/1444100","1444100")</f>
        <v>1444100</v>
      </c>
      <c r="F2640" t="s">
        <v>2771</v>
      </c>
    </row>
    <row r="2641" spans="1:6">
      <c r="A2641" t="s">
        <v>2627</v>
      </c>
      <c r="B2641" t="s">
        <v>254</v>
      </c>
      <c r="C2641" t="s">
        <v>255</v>
      </c>
      <c r="D2641" t="str">
        <f>HYPERLINK("http://service.sap.com/sap/support/notes/1447598","1447598")</f>
        <v>1447598</v>
      </c>
      <c r="F2641" t="s">
        <v>2772</v>
      </c>
    </row>
    <row r="2642" spans="1:6">
      <c r="A2642" t="s">
        <v>2627</v>
      </c>
      <c r="B2642" t="s">
        <v>254</v>
      </c>
      <c r="C2642" t="s">
        <v>255</v>
      </c>
      <c r="D2642" t="str">
        <f>HYPERLINK("http://service.sap.com/sap/support/notes/1448818","1448818")</f>
        <v>1448818</v>
      </c>
      <c r="F2642" t="s">
        <v>2773</v>
      </c>
    </row>
    <row r="2643" spans="1:6">
      <c r="A2643" t="s">
        <v>2627</v>
      </c>
      <c r="B2643" t="s">
        <v>258</v>
      </c>
      <c r="C2643" t="s">
        <v>189</v>
      </c>
      <c r="D2643" t="str">
        <f>HYPERLINK("http://service.sap.com/sap/support/notes/1409551","1409551")</f>
        <v>1409551</v>
      </c>
      <c r="F2643" t="s">
        <v>2774</v>
      </c>
    </row>
    <row r="2644" spans="1:6">
      <c r="A2644" t="s">
        <v>2627</v>
      </c>
      <c r="B2644" t="s">
        <v>258</v>
      </c>
      <c r="C2644" t="s">
        <v>189</v>
      </c>
      <c r="D2644" t="str">
        <f>HYPERLINK("http://service.sap.com/sap/support/notes/1435514","1435514")</f>
        <v>1435514</v>
      </c>
      <c r="F2644" t="s">
        <v>2775</v>
      </c>
    </row>
    <row r="2645" spans="1:6">
      <c r="A2645" t="s">
        <v>2627</v>
      </c>
      <c r="B2645" t="s">
        <v>258</v>
      </c>
      <c r="C2645" t="s">
        <v>189</v>
      </c>
      <c r="D2645" t="str">
        <f>HYPERLINK("http://service.sap.com/sap/support/notes/1436795","1436795")</f>
        <v>1436795</v>
      </c>
      <c r="F2645" t="s">
        <v>2776</v>
      </c>
    </row>
    <row r="2646" spans="1:6">
      <c r="A2646" t="s">
        <v>2627</v>
      </c>
      <c r="B2646" t="s">
        <v>258</v>
      </c>
      <c r="C2646" t="s">
        <v>189</v>
      </c>
      <c r="D2646" t="str">
        <f>HYPERLINK("http://service.sap.com/sap/support/notes/1437016","1437016")</f>
        <v>1437016</v>
      </c>
      <c r="F2646" t="s">
        <v>2777</v>
      </c>
    </row>
    <row r="2647" spans="1:6">
      <c r="A2647" t="s">
        <v>2627</v>
      </c>
      <c r="B2647" t="s">
        <v>258</v>
      </c>
      <c r="C2647" t="s">
        <v>189</v>
      </c>
      <c r="D2647" t="str">
        <f>HYPERLINK("http://service.sap.com/sap/support/notes/1440221","1440221")</f>
        <v>1440221</v>
      </c>
      <c r="F2647" t="s">
        <v>2778</v>
      </c>
    </row>
    <row r="2648" spans="1:6">
      <c r="A2648" t="s">
        <v>2627</v>
      </c>
      <c r="B2648" t="s">
        <v>258</v>
      </c>
      <c r="C2648" t="s">
        <v>189</v>
      </c>
      <c r="D2648" t="str">
        <f>HYPERLINK("http://service.sap.com/sap/support/notes/1442249","1442249")</f>
        <v>1442249</v>
      </c>
      <c r="F2648" t="s">
        <v>2779</v>
      </c>
    </row>
    <row r="2649" spans="1:6">
      <c r="A2649" t="s">
        <v>2627</v>
      </c>
      <c r="B2649" t="s">
        <v>258</v>
      </c>
      <c r="C2649" t="s">
        <v>189</v>
      </c>
      <c r="D2649" t="str">
        <f>HYPERLINK("http://service.sap.com/sap/support/notes/1444076","1444076")</f>
        <v>1444076</v>
      </c>
      <c r="F2649" t="s">
        <v>2780</v>
      </c>
    </row>
    <row r="2650" spans="1:6">
      <c r="A2650" t="s">
        <v>2627</v>
      </c>
      <c r="B2650" t="s">
        <v>258</v>
      </c>
      <c r="C2650" t="s">
        <v>189</v>
      </c>
      <c r="D2650" t="str">
        <f>HYPERLINK("http://service.sap.com/sap/support/notes/1444878","1444878")</f>
        <v>1444878</v>
      </c>
      <c r="F2650" t="s">
        <v>2781</v>
      </c>
    </row>
    <row r="2651" spans="1:6">
      <c r="A2651" t="s">
        <v>2627</v>
      </c>
      <c r="B2651" t="s">
        <v>258</v>
      </c>
      <c r="C2651" t="s">
        <v>189</v>
      </c>
      <c r="D2651" t="str">
        <f>HYPERLINK("http://service.sap.com/sap/support/notes/1445796","1445796")</f>
        <v>1445796</v>
      </c>
      <c r="F2651" t="s">
        <v>2782</v>
      </c>
    </row>
    <row r="2652" spans="1:6">
      <c r="A2652" t="s">
        <v>2627</v>
      </c>
      <c r="B2652" t="s">
        <v>258</v>
      </c>
      <c r="C2652" t="s">
        <v>189</v>
      </c>
      <c r="D2652" t="str">
        <f>HYPERLINK("http://service.sap.com/sap/support/notes/1448771","1448771")</f>
        <v>1448771</v>
      </c>
      <c r="F2652" t="s">
        <v>2783</v>
      </c>
    </row>
    <row r="2653" spans="1:6">
      <c r="A2653" t="s">
        <v>2627</v>
      </c>
      <c r="B2653" t="s">
        <v>258</v>
      </c>
      <c r="C2653" t="s">
        <v>189</v>
      </c>
      <c r="D2653" t="str">
        <f>HYPERLINK("http://service.sap.com/sap/support/notes/1450036","1450036")</f>
        <v>1450036</v>
      </c>
      <c r="F2653" t="s">
        <v>2784</v>
      </c>
    </row>
    <row r="2654" spans="1:6">
      <c r="A2654" t="s">
        <v>2627</v>
      </c>
      <c r="B2654" t="s">
        <v>258</v>
      </c>
      <c r="C2654" t="s">
        <v>189</v>
      </c>
      <c r="D2654" t="str">
        <f>HYPERLINK("http://service.sap.com/sap/support/notes/1450144","1450144")</f>
        <v>1450144</v>
      </c>
      <c r="F2654" t="s">
        <v>2785</v>
      </c>
    </row>
    <row r="2655" spans="1:6">
      <c r="A2655" t="s">
        <v>2627</v>
      </c>
      <c r="B2655" t="s">
        <v>258</v>
      </c>
      <c r="C2655" t="s">
        <v>189</v>
      </c>
      <c r="D2655" t="str">
        <f>HYPERLINK("http://service.sap.com/sap/support/notes/1450555","1450555")</f>
        <v>1450555</v>
      </c>
      <c r="F2655" t="s">
        <v>2786</v>
      </c>
    </row>
    <row r="2656" spans="1:6">
      <c r="A2656" t="s">
        <v>2627</v>
      </c>
      <c r="B2656" t="s">
        <v>273</v>
      </c>
      <c r="C2656" t="s">
        <v>274</v>
      </c>
      <c r="D2656" t="str">
        <f>HYPERLINK("http://service.sap.com/sap/support/notes/1442048","1442048")</f>
        <v>1442048</v>
      </c>
      <c r="F2656" t="s">
        <v>2787</v>
      </c>
    </row>
    <row r="2657" spans="1:6">
      <c r="A2657" t="s">
        <v>2627</v>
      </c>
      <c r="B2657" t="s">
        <v>273</v>
      </c>
      <c r="C2657" t="s">
        <v>274</v>
      </c>
      <c r="D2657" t="str">
        <f>HYPERLINK("http://service.sap.com/sap/support/notes/1448081","1448081")</f>
        <v>1448081</v>
      </c>
      <c r="F2657" t="s">
        <v>2788</v>
      </c>
    </row>
    <row r="2658" spans="1:6">
      <c r="A2658" t="s">
        <v>2627</v>
      </c>
      <c r="B2658" t="s">
        <v>279</v>
      </c>
      <c r="C2658" t="s">
        <v>280</v>
      </c>
      <c r="D2658" t="str">
        <f>HYPERLINK("http://service.sap.com/sap/support/notes/1383652","1383652")</f>
        <v>1383652</v>
      </c>
      <c r="F2658" t="s">
        <v>2789</v>
      </c>
    </row>
    <row r="2659" spans="1:6">
      <c r="A2659" t="s">
        <v>2627</v>
      </c>
      <c r="B2659" t="s">
        <v>279</v>
      </c>
      <c r="C2659" t="s">
        <v>280</v>
      </c>
      <c r="D2659" t="str">
        <f>HYPERLINK("http://service.sap.com/sap/support/notes/1442616","1442616")</f>
        <v>1442616</v>
      </c>
      <c r="F2659" t="s">
        <v>2790</v>
      </c>
    </row>
    <row r="2660" spans="1:6">
      <c r="A2660" t="s">
        <v>2627</v>
      </c>
      <c r="B2660" t="s">
        <v>279</v>
      </c>
      <c r="C2660" t="s">
        <v>280</v>
      </c>
      <c r="D2660" t="str">
        <f>HYPERLINK("http://service.sap.com/sap/support/notes/1443106","1443106")</f>
        <v>1443106</v>
      </c>
      <c r="F2660" t="s">
        <v>2791</v>
      </c>
    </row>
    <row r="2661" spans="1:6">
      <c r="A2661" t="s">
        <v>2627</v>
      </c>
      <c r="B2661" t="s">
        <v>295</v>
      </c>
      <c r="C2661" t="s">
        <v>208</v>
      </c>
    </row>
    <row r="2662" spans="1:6">
      <c r="A2662" t="s">
        <v>2627</v>
      </c>
      <c r="B2662" t="s">
        <v>296</v>
      </c>
      <c r="C2662" t="s">
        <v>297</v>
      </c>
      <c r="D2662" t="str">
        <f>HYPERLINK("http://service.sap.com/sap/support/notes/1449015","1449015")</f>
        <v>1449015</v>
      </c>
      <c r="F2662" t="s">
        <v>2792</v>
      </c>
    </row>
    <row r="2663" spans="1:6">
      <c r="A2663" t="s">
        <v>2627</v>
      </c>
      <c r="B2663" t="s">
        <v>299</v>
      </c>
      <c r="C2663" t="s">
        <v>300</v>
      </c>
      <c r="D2663" t="str">
        <f>HYPERLINK("http://service.sap.com/sap/support/notes/1435332","1435332")</f>
        <v>1435332</v>
      </c>
      <c r="F2663" t="s">
        <v>2793</v>
      </c>
    </row>
    <row r="2664" spans="1:6">
      <c r="A2664" t="s">
        <v>2627</v>
      </c>
      <c r="B2664" t="s">
        <v>299</v>
      </c>
      <c r="C2664" t="s">
        <v>300</v>
      </c>
      <c r="D2664" t="str">
        <f>HYPERLINK("http://service.sap.com/sap/support/notes/1443271","1443271")</f>
        <v>1443271</v>
      </c>
      <c r="F2664" t="s">
        <v>2794</v>
      </c>
    </row>
    <row r="2665" spans="1:6">
      <c r="A2665" t="s">
        <v>2627</v>
      </c>
      <c r="B2665" t="s">
        <v>305</v>
      </c>
      <c r="C2665" t="s">
        <v>306</v>
      </c>
      <c r="D2665" t="str">
        <f>HYPERLINK("http://service.sap.com/sap/support/notes/1017716","1017716")</f>
        <v>1017716</v>
      </c>
      <c r="F2665" t="s">
        <v>307</v>
      </c>
    </row>
    <row r="2666" spans="1:6">
      <c r="A2666" t="s">
        <v>2627</v>
      </c>
      <c r="B2666" t="s">
        <v>305</v>
      </c>
      <c r="C2666" t="s">
        <v>306</v>
      </c>
      <c r="D2666" t="str">
        <f>HYPERLINK("http://service.sap.com/sap/support/notes/1413107","1413107")</f>
        <v>1413107</v>
      </c>
      <c r="F2666" t="s">
        <v>2795</v>
      </c>
    </row>
    <row r="2667" spans="1:6">
      <c r="A2667" t="s">
        <v>2627</v>
      </c>
      <c r="B2667" t="s">
        <v>305</v>
      </c>
      <c r="C2667" t="s">
        <v>306</v>
      </c>
      <c r="D2667" t="str">
        <f>HYPERLINK("http://service.sap.com/sap/support/notes/1420575","1420575")</f>
        <v>1420575</v>
      </c>
      <c r="F2667" t="s">
        <v>2796</v>
      </c>
    </row>
    <row r="2668" spans="1:6">
      <c r="A2668" t="s">
        <v>2627</v>
      </c>
      <c r="B2668" t="s">
        <v>305</v>
      </c>
      <c r="C2668" t="s">
        <v>306</v>
      </c>
      <c r="D2668" t="str">
        <f>HYPERLINK("http://service.sap.com/sap/support/notes/1421037","1421037")</f>
        <v>1421037</v>
      </c>
      <c r="F2668" t="s">
        <v>2797</v>
      </c>
    </row>
    <row r="2669" spans="1:6">
      <c r="A2669" t="s">
        <v>2627</v>
      </c>
      <c r="B2669" t="s">
        <v>305</v>
      </c>
      <c r="C2669" t="s">
        <v>306</v>
      </c>
      <c r="D2669" t="str">
        <f>HYPERLINK("http://service.sap.com/sap/support/notes/1424339","1424339")</f>
        <v>1424339</v>
      </c>
      <c r="F2669" t="s">
        <v>2798</v>
      </c>
    </row>
    <row r="2670" spans="1:6">
      <c r="A2670" t="s">
        <v>2627</v>
      </c>
      <c r="B2670" t="s">
        <v>305</v>
      </c>
      <c r="C2670" t="s">
        <v>306</v>
      </c>
      <c r="D2670" t="str">
        <f>HYPERLINK("http://service.sap.com/sap/support/notes/1424460","1424460")</f>
        <v>1424460</v>
      </c>
      <c r="F2670" t="s">
        <v>2799</v>
      </c>
    </row>
    <row r="2671" spans="1:6">
      <c r="A2671" t="s">
        <v>2627</v>
      </c>
      <c r="B2671" t="s">
        <v>305</v>
      </c>
      <c r="C2671" t="s">
        <v>306</v>
      </c>
      <c r="D2671" t="str">
        <f>HYPERLINK("http://service.sap.com/sap/support/notes/1425233","1425233")</f>
        <v>1425233</v>
      </c>
      <c r="F2671" t="s">
        <v>2800</v>
      </c>
    </row>
    <row r="2672" spans="1:6">
      <c r="A2672" t="s">
        <v>2627</v>
      </c>
      <c r="B2672" t="s">
        <v>305</v>
      </c>
      <c r="C2672" t="s">
        <v>306</v>
      </c>
      <c r="D2672" t="str">
        <f>HYPERLINK("http://service.sap.com/sap/support/notes/1425562","1425562")</f>
        <v>1425562</v>
      </c>
      <c r="F2672" t="s">
        <v>2801</v>
      </c>
    </row>
    <row r="2673" spans="1:6">
      <c r="A2673" t="s">
        <v>2627</v>
      </c>
      <c r="B2673" t="s">
        <v>305</v>
      </c>
      <c r="C2673" t="s">
        <v>306</v>
      </c>
      <c r="D2673" t="str">
        <f>HYPERLINK("http://service.sap.com/sap/support/notes/1427626","1427626")</f>
        <v>1427626</v>
      </c>
      <c r="F2673" t="s">
        <v>2802</v>
      </c>
    </row>
    <row r="2674" spans="1:6">
      <c r="A2674" t="s">
        <v>2627</v>
      </c>
      <c r="B2674" t="s">
        <v>305</v>
      </c>
      <c r="C2674" t="s">
        <v>306</v>
      </c>
      <c r="D2674" t="str">
        <f>HYPERLINK("http://service.sap.com/sap/support/notes/1427765","1427765")</f>
        <v>1427765</v>
      </c>
      <c r="F2674" t="s">
        <v>2803</v>
      </c>
    </row>
    <row r="2675" spans="1:6">
      <c r="A2675" t="s">
        <v>2627</v>
      </c>
      <c r="B2675" t="s">
        <v>305</v>
      </c>
      <c r="C2675" t="s">
        <v>306</v>
      </c>
      <c r="D2675" t="str">
        <f>HYPERLINK("http://service.sap.com/sap/support/notes/1427980","1427980")</f>
        <v>1427980</v>
      </c>
      <c r="F2675" t="s">
        <v>2804</v>
      </c>
    </row>
    <row r="2676" spans="1:6">
      <c r="A2676" t="s">
        <v>2627</v>
      </c>
      <c r="B2676" t="s">
        <v>305</v>
      </c>
      <c r="C2676" t="s">
        <v>306</v>
      </c>
      <c r="D2676" t="str">
        <f>HYPERLINK("http://service.sap.com/sap/support/notes/1428137","1428137")</f>
        <v>1428137</v>
      </c>
      <c r="F2676" t="s">
        <v>2805</v>
      </c>
    </row>
    <row r="2677" spans="1:6">
      <c r="A2677" t="s">
        <v>2627</v>
      </c>
      <c r="B2677" t="s">
        <v>305</v>
      </c>
      <c r="C2677" t="s">
        <v>306</v>
      </c>
      <c r="D2677" t="str">
        <f>HYPERLINK("http://service.sap.com/sap/support/notes/1428205","1428205")</f>
        <v>1428205</v>
      </c>
      <c r="F2677" t="s">
        <v>2806</v>
      </c>
    </row>
    <row r="2678" spans="1:6">
      <c r="A2678" t="s">
        <v>2627</v>
      </c>
      <c r="B2678" t="s">
        <v>305</v>
      </c>
      <c r="C2678" t="s">
        <v>306</v>
      </c>
      <c r="D2678" t="str">
        <f>HYPERLINK("http://service.sap.com/sap/support/notes/1429280","1429280")</f>
        <v>1429280</v>
      </c>
      <c r="F2678" t="s">
        <v>2807</v>
      </c>
    </row>
    <row r="2679" spans="1:6">
      <c r="A2679" t="s">
        <v>2627</v>
      </c>
      <c r="B2679" t="s">
        <v>305</v>
      </c>
      <c r="C2679" t="s">
        <v>306</v>
      </c>
      <c r="D2679" t="str">
        <f>HYPERLINK("http://service.sap.com/sap/support/notes/1429296","1429296")</f>
        <v>1429296</v>
      </c>
      <c r="F2679" t="s">
        <v>2808</v>
      </c>
    </row>
    <row r="2680" spans="1:6">
      <c r="A2680" t="s">
        <v>2627</v>
      </c>
      <c r="B2680" t="s">
        <v>305</v>
      </c>
      <c r="C2680" t="s">
        <v>306</v>
      </c>
      <c r="D2680" t="str">
        <f>HYPERLINK("http://service.sap.com/sap/support/notes/1429675","1429675")</f>
        <v>1429675</v>
      </c>
      <c r="F2680" t="s">
        <v>2809</v>
      </c>
    </row>
    <row r="2681" spans="1:6">
      <c r="A2681" t="s">
        <v>2627</v>
      </c>
      <c r="B2681" t="s">
        <v>305</v>
      </c>
      <c r="C2681" t="s">
        <v>306</v>
      </c>
      <c r="D2681" t="str">
        <f>HYPERLINK("http://service.sap.com/sap/support/notes/1430542","1430542")</f>
        <v>1430542</v>
      </c>
      <c r="F2681" t="s">
        <v>2810</v>
      </c>
    </row>
    <row r="2682" spans="1:6">
      <c r="A2682" t="s">
        <v>2627</v>
      </c>
      <c r="B2682" t="s">
        <v>305</v>
      </c>
      <c r="C2682" t="s">
        <v>306</v>
      </c>
      <c r="D2682" t="str">
        <f>HYPERLINK("http://service.sap.com/sap/support/notes/1430595","1430595")</f>
        <v>1430595</v>
      </c>
      <c r="F2682" t="s">
        <v>2811</v>
      </c>
    </row>
    <row r="2683" spans="1:6">
      <c r="A2683" t="s">
        <v>2627</v>
      </c>
      <c r="B2683" t="s">
        <v>305</v>
      </c>
      <c r="C2683" t="s">
        <v>306</v>
      </c>
      <c r="D2683" t="str">
        <f>HYPERLINK("http://service.sap.com/sap/support/notes/1431731","1431731")</f>
        <v>1431731</v>
      </c>
      <c r="F2683" t="s">
        <v>2812</v>
      </c>
    </row>
    <row r="2684" spans="1:6">
      <c r="A2684" t="s">
        <v>2627</v>
      </c>
      <c r="B2684" t="s">
        <v>305</v>
      </c>
      <c r="C2684" t="s">
        <v>306</v>
      </c>
      <c r="D2684" t="str">
        <f>HYPERLINK("http://service.sap.com/sap/support/notes/1431801","1431801")</f>
        <v>1431801</v>
      </c>
      <c r="F2684" t="s">
        <v>2813</v>
      </c>
    </row>
    <row r="2685" spans="1:6">
      <c r="A2685" t="s">
        <v>2627</v>
      </c>
      <c r="B2685" t="s">
        <v>305</v>
      </c>
      <c r="C2685" t="s">
        <v>306</v>
      </c>
      <c r="D2685" t="str">
        <f>HYPERLINK("http://service.sap.com/sap/support/notes/1432784","1432784")</f>
        <v>1432784</v>
      </c>
      <c r="F2685" t="s">
        <v>2814</v>
      </c>
    </row>
    <row r="2686" spans="1:6">
      <c r="A2686" t="s">
        <v>2627</v>
      </c>
      <c r="B2686" t="s">
        <v>305</v>
      </c>
      <c r="C2686" t="s">
        <v>306</v>
      </c>
      <c r="D2686" t="str">
        <f>HYPERLINK("http://service.sap.com/sap/support/notes/1432829","1432829")</f>
        <v>1432829</v>
      </c>
      <c r="F2686" t="s">
        <v>2815</v>
      </c>
    </row>
    <row r="2687" spans="1:6">
      <c r="A2687" t="s">
        <v>2627</v>
      </c>
      <c r="B2687" t="s">
        <v>305</v>
      </c>
      <c r="C2687" t="s">
        <v>306</v>
      </c>
      <c r="D2687" t="str">
        <f>HYPERLINK("http://service.sap.com/sap/support/notes/1433368","1433368")</f>
        <v>1433368</v>
      </c>
      <c r="F2687" t="s">
        <v>2816</v>
      </c>
    </row>
    <row r="2688" spans="1:6">
      <c r="A2688" t="s">
        <v>2627</v>
      </c>
      <c r="B2688" t="s">
        <v>305</v>
      </c>
      <c r="C2688" t="s">
        <v>306</v>
      </c>
      <c r="D2688" t="str">
        <f>HYPERLINK("http://service.sap.com/sap/support/notes/1433922","1433922")</f>
        <v>1433922</v>
      </c>
      <c r="F2688" t="s">
        <v>2817</v>
      </c>
    </row>
    <row r="2689" spans="1:6">
      <c r="A2689" t="s">
        <v>2627</v>
      </c>
      <c r="B2689" t="s">
        <v>305</v>
      </c>
      <c r="C2689" t="s">
        <v>306</v>
      </c>
      <c r="D2689" t="str">
        <f>HYPERLINK("http://service.sap.com/sap/support/notes/1434471","1434471")</f>
        <v>1434471</v>
      </c>
      <c r="F2689" t="s">
        <v>2818</v>
      </c>
    </row>
    <row r="2690" spans="1:6">
      <c r="A2690" t="s">
        <v>2627</v>
      </c>
      <c r="B2690" t="s">
        <v>305</v>
      </c>
      <c r="C2690" t="s">
        <v>306</v>
      </c>
      <c r="D2690" t="str">
        <f>HYPERLINK("http://service.sap.com/sap/support/notes/1434526","1434526")</f>
        <v>1434526</v>
      </c>
      <c r="F2690" t="s">
        <v>2819</v>
      </c>
    </row>
    <row r="2691" spans="1:6">
      <c r="A2691" t="s">
        <v>2627</v>
      </c>
      <c r="B2691" t="s">
        <v>305</v>
      </c>
      <c r="C2691" t="s">
        <v>306</v>
      </c>
      <c r="D2691" t="str">
        <f>HYPERLINK("http://service.sap.com/sap/support/notes/1434758","1434758")</f>
        <v>1434758</v>
      </c>
      <c r="F2691" t="s">
        <v>2820</v>
      </c>
    </row>
    <row r="2692" spans="1:6">
      <c r="A2692" t="s">
        <v>2627</v>
      </c>
      <c r="B2692" t="s">
        <v>305</v>
      </c>
      <c r="C2692" t="s">
        <v>306</v>
      </c>
      <c r="D2692" t="str">
        <f>HYPERLINK("http://service.sap.com/sap/support/notes/1434937","1434937")</f>
        <v>1434937</v>
      </c>
      <c r="F2692" t="s">
        <v>2821</v>
      </c>
    </row>
    <row r="2693" spans="1:6">
      <c r="A2693" t="s">
        <v>2627</v>
      </c>
      <c r="B2693" t="s">
        <v>305</v>
      </c>
      <c r="C2693" t="s">
        <v>306</v>
      </c>
      <c r="D2693" t="str">
        <f>HYPERLINK("http://service.sap.com/sap/support/notes/1434950","1434950")</f>
        <v>1434950</v>
      </c>
      <c r="F2693" t="s">
        <v>2822</v>
      </c>
    </row>
    <row r="2694" spans="1:6">
      <c r="A2694" t="s">
        <v>2627</v>
      </c>
      <c r="B2694" t="s">
        <v>305</v>
      </c>
      <c r="C2694" t="s">
        <v>306</v>
      </c>
      <c r="D2694" t="str">
        <f>HYPERLINK("http://service.sap.com/sap/support/notes/1435259","1435259")</f>
        <v>1435259</v>
      </c>
      <c r="F2694" t="s">
        <v>2823</v>
      </c>
    </row>
    <row r="2695" spans="1:6">
      <c r="A2695" t="s">
        <v>2627</v>
      </c>
      <c r="B2695" t="s">
        <v>305</v>
      </c>
      <c r="C2695" t="s">
        <v>306</v>
      </c>
      <c r="D2695" t="str">
        <f>HYPERLINK("http://service.sap.com/sap/support/notes/1435421","1435421")</f>
        <v>1435421</v>
      </c>
      <c r="F2695" t="s">
        <v>2824</v>
      </c>
    </row>
    <row r="2696" spans="1:6">
      <c r="A2696" t="s">
        <v>2627</v>
      </c>
      <c r="B2696" t="s">
        <v>305</v>
      </c>
      <c r="C2696" t="s">
        <v>306</v>
      </c>
      <c r="D2696" t="str">
        <f>HYPERLINK("http://service.sap.com/sap/support/notes/1435965","1435965")</f>
        <v>1435965</v>
      </c>
      <c r="F2696" t="s">
        <v>2825</v>
      </c>
    </row>
    <row r="2697" spans="1:6">
      <c r="A2697" t="s">
        <v>2627</v>
      </c>
      <c r="B2697" t="s">
        <v>305</v>
      </c>
      <c r="C2697" t="s">
        <v>306</v>
      </c>
      <c r="D2697" t="str">
        <f>HYPERLINK("http://service.sap.com/sap/support/notes/1436034","1436034")</f>
        <v>1436034</v>
      </c>
      <c r="F2697" t="s">
        <v>2826</v>
      </c>
    </row>
    <row r="2698" spans="1:6">
      <c r="A2698" t="s">
        <v>2627</v>
      </c>
      <c r="B2698" t="s">
        <v>305</v>
      </c>
      <c r="C2698" t="s">
        <v>306</v>
      </c>
      <c r="D2698" t="str">
        <f>HYPERLINK("http://service.sap.com/sap/support/notes/1436898","1436898")</f>
        <v>1436898</v>
      </c>
      <c r="F2698" t="s">
        <v>2827</v>
      </c>
    </row>
    <row r="2699" spans="1:6">
      <c r="A2699" t="s">
        <v>2627</v>
      </c>
      <c r="B2699" t="s">
        <v>305</v>
      </c>
      <c r="C2699" t="s">
        <v>306</v>
      </c>
      <c r="D2699" t="str">
        <f>HYPERLINK("http://service.sap.com/sap/support/notes/1437331","1437331")</f>
        <v>1437331</v>
      </c>
      <c r="F2699" t="s">
        <v>2828</v>
      </c>
    </row>
    <row r="2700" spans="1:6">
      <c r="A2700" t="s">
        <v>2627</v>
      </c>
      <c r="B2700" t="s">
        <v>305</v>
      </c>
      <c r="C2700" t="s">
        <v>306</v>
      </c>
      <c r="D2700" t="str">
        <f>HYPERLINK("http://service.sap.com/sap/support/notes/1437576","1437576")</f>
        <v>1437576</v>
      </c>
      <c r="F2700" t="s">
        <v>2829</v>
      </c>
    </row>
    <row r="2701" spans="1:6">
      <c r="A2701" t="s">
        <v>2627</v>
      </c>
      <c r="B2701" t="s">
        <v>305</v>
      </c>
      <c r="C2701" t="s">
        <v>306</v>
      </c>
      <c r="D2701" t="str">
        <f>HYPERLINK("http://service.sap.com/sap/support/notes/1439428","1439428")</f>
        <v>1439428</v>
      </c>
      <c r="F2701" t="s">
        <v>2830</v>
      </c>
    </row>
    <row r="2702" spans="1:6">
      <c r="A2702" t="s">
        <v>2627</v>
      </c>
      <c r="B2702" t="s">
        <v>305</v>
      </c>
      <c r="C2702" t="s">
        <v>306</v>
      </c>
      <c r="D2702" t="str">
        <f>HYPERLINK("http://service.sap.com/sap/support/notes/1440116","1440116")</f>
        <v>1440116</v>
      </c>
      <c r="F2702" t="s">
        <v>2831</v>
      </c>
    </row>
    <row r="2703" spans="1:6">
      <c r="A2703" t="s">
        <v>2627</v>
      </c>
      <c r="B2703" t="s">
        <v>305</v>
      </c>
      <c r="C2703" t="s">
        <v>306</v>
      </c>
      <c r="D2703" t="str">
        <f>HYPERLINK("http://service.sap.com/sap/support/notes/1440442","1440442")</f>
        <v>1440442</v>
      </c>
      <c r="F2703" t="s">
        <v>2832</v>
      </c>
    </row>
    <row r="2704" spans="1:6">
      <c r="A2704" t="s">
        <v>2627</v>
      </c>
      <c r="B2704" t="s">
        <v>305</v>
      </c>
      <c r="C2704" t="s">
        <v>306</v>
      </c>
      <c r="D2704" t="str">
        <f>HYPERLINK("http://service.sap.com/sap/support/notes/1440541","1440541")</f>
        <v>1440541</v>
      </c>
      <c r="F2704" t="s">
        <v>2833</v>
      </c>
    </row>
    <row r="2705" spans="1:6">
      <c r="A2705" t="s">
        <v>2627</v>
      </c>
      <c r="B2705" t="s">
        <v>305</v>
      </c>
      <c r="C2705" t="s">
        <v>306</v>
      </c>
      <c r="D2705" t="str">
        <f>HYPERLINK("http://service.sap.com/sap/support/notes/1440694","1440694")</f>
        <v>1440694</v>
      </c>
      <c r="F2705" t="s">
        <v>2834</v>
      </c>
    </row>
    <row r="2706" spans="1:6">
      <c r="A2706" t="s">
        <v>2627</v>
      </c>
      <c r="B2706" t="s">
        <v>305</v>
      </c>
      <c r="C2706" t="s">
        <v>306</v>
      </c>
      <c r="D2706" t="str">
        <f>HYPERLINK("http://service.sap.com/sap/support/notes/1440734","1440734")</f>
        <v>1440734</v>
      </c>
      <c r="F2706" t="s">
        <v>2835</v>
      </c>
    </row>
    <row r="2707" spans="1:6">
      <c r="A2707" t="s">
        <v>2627</v>
      </c>
      <c r="B2707" t="s">
        <v>305</v>
      </c>
      <c r="C2707" t="s">
        <v>306</v>
      </c>
      <c r="D2707" t="str">
        <f>HYPERLINK("http://service.sap.com/sap/support/notes/1441096","1441096")</f>
        <v>1441096</v>
      </c>
      <c r="F2707" t="s">
        <v>2836</v>
      </c>
    </row>
    <row r="2708" spans="1:6">
      <c r="A2708" t="s">
        <v>2627</v>
      </c>
      <c r="B2708" t="s">
        <v>305</v>
      </c>
      <c r="C2708" t="s">
        <v>306</v>
      </c>
      <c r="D2708" t="str">
        <f>HYPERLINK("http://service.sap.com/sap/support/notes/1441172","1441172")</f>
        <v>1441172</v>
      </c>
      <c r="F2708" t="s">
        <v>2837</v>
      </c>
    </row>
    <row r="2709" spans="1:6">
      <c r="A2709" t="s">
        <v>2627</v>
      </c>
      <c r="B2709" t="s">
        <v>305</v>
      </c>
      <c r="C2709" t="s">
        <v>306</v>
      </c>
      <c r="D2709" t="str">
        <f>HYPERLINK("http://service.sap.com/sap/support/notes/1441251","1441251")</f>
        <v>1441251</v>
      </c>
      <c r="F2709" t="s">
        <v>2838</v>
      </c>
    </row>
    <row r="2710" spans="1:6">
      <c r="A2710" t="s">
        <v>2627</v>
      </c>
      <c r="B2710" t="s">
        <v>305</v>
      </c>
      <c r="C2710" t="s">
        <v>306</v>
      </c>
      <c r="D2710" t="str">
        <f>HYPERLINK("http://service.sap.com/sap/support/notes/1441825","1441825")</f>
        <v>1441825</v>
      </c>
      <c r="F2710" t="s">
        <v>2839</v>
      </c>
    </row>
    <row r="2711" spans="1:6">
      <c r="A2711" t="s">
        <v>2627</v>
      </c>
      <c r="B2711" t="s">
        <v>305</v>
      </c>
      <c r="C2711" t="s">
        <v>306</v>
      </c>
      <c r="D2711" t="str">
        <f>HYPERLINK("http://service.sap.com/sap/support/notes/1442178","1442178")</f>
        <v>1442178</v>
      </c>
      <c r="F2711" t="s">
        <v>2840</v>
      </c>
    </row>
    <row r="2712" spans="1:6">
      <c r="A2712" t="s">
        <v>2627</v>
      </c>
      <c r="B2712" t="s">
        <v>305</v>
      </c>
      <c r="C2712" t="s">
        <v>306</v>
      </c>
      <c r="D2712" t="str">
        <f>HYPERLINK("http://service.sap.com/sap/support/notes/1442310","1442310")</f>
        <v>1442310</v>
      </c>
      <c r="F2712" t="s">
        <v>2841</v>
      </c>
    </row>
    <row r="2713" spans="1:6">
      <c r="A2713" t="s">
        <v>2627</v>
      </c>
      <c r="B2713" t="s">
        <v>305</v>
      </c>
      <c r="C2713" t="s">
        <v>306</v>
      </c>
      <c r="D2713" t="str">
        <f>HYPERLINK("http://service.sap.com/sap/support/notes/1442325","1442325")</f>
        <v>1442325</v>
      </c>
      <c r="F2713" t="s">
        <v>2842</v>
      </c>
    </row>
    <row r="2714" spans="1:6">
      <c r="A2714" t="s">
        <v>2627</v>
      </c>
      <c r="B2714" t="s">
        <v>305</v>
      </c>
      <c r="C2714" t="s">
        <v>306</v>
      </c>
      <c r="D2714" t="str">
        <f>HYPERLINK("http://service.sap.com/sap/support/notes/1442350","1442350")</f>
        <v>1442350</v>
      </c>
      <c r="F2714" t="s">
        <v>2843</v>
      </c>
    </row>
    <row r="2715" spans="1:6">
      <c r="A2715" t="s">
        <v>2627</v>
      </c>
      <c r="B2715" t="s">
        <v>305</v>
      </c>
      <c r="C2715" t="s">
        <v>306</v>
      </c>
      <c r="D2715" t="str">
        <f>HYPERLINK("http://service.sap.com/sap/support/notes/1442376","1442376")</f>
        <v>1442376</v>
      </c>
      <c r="F2715" t="s">
        <v>2844</v>
      </c>
    </row>
    <row r="2716" spans="1:6">
      <c r="A2716" t="s">
        <v>2627</v>
      </c>
      <c r="B2716" t="s">
        <v>305</v>
      </c>
      <c r="C2716" t="s">
        <v>306</v>
      </c>
      <c r="D2716" t="str">
        <f>HYPERLINK("http://service.sap.com/sap/support/notes/1442832","1442832")</f>
        <v>1442832</v>
      </c>
      <c r="F2716" t="s">
        <v>2845</v>
      </c>
    </row>
    <row r="2717" spans="1:6">
      <c r="A2717" t="s">
        <v>2627</v>
      </c>
      <c r="B2717" t="s">
        <v>305</v>
      </c>
      <c r="C2717" t="s">
        <v>306</v>
      </c>
      <c r="D2717" t="str">
        <f>HYPERLINK("http://service.sap.com/sap/support/notes/1443182","1443182")</f>
        <v>1443182</v>
      </c>
      <c r="F2717" t="s">
        <v>2846</v>
      </c>
    </row>
    <row r="2718" spans="1:6">
      <c r="A2718" t="s">
        <v>2627</v>
      </c>
      <c r="B2718" t="s">
        <v>305</v>
      </c>
      <c r="C2718" t="s">
        <v>306</v>
      </c>
      <c r="D2718" t="str">
        <f>HYPERLINK("http://service.sap.com/sap/support/notes/1443342","1443342")</f>
        <v>1443342</v>
      </c>
      <c r="F2718" t="s">
        <v>2847</v>
      </c>
    </row>
    <row r="2719" spans="1:6">
      <c r="A2719" t="s">
        <v>2627</v>
      </c>
      <c r="B2719" t="s">
        <v>305</v>
      </c>
      <c r="C2719" t="s">
        <v>306</v>
      </c>
      <c r="D2719" t="str">
        <f>HYPERLINK("http://service.sap.com/sap/support/notes/1444005","1444005")</f>
        <v>1444005</v>
      </c>
      <c r="F2719" t="s">
        <v>2848</v>
      </c>
    </row>
    <row r="2720" spans="1:6">
      <c r="A2720" t="s">
        <v>2627</v>
      </c>
      <c r="B2720" t="s">
        <v>305</v>
      </c>
      <c r="C2720" t="s">
        <v>306</v>
      </c>
      <c r="D2720" t="str">
        <f>HYPERLINK("http://service.sap.com/sap/support/notes/1444960","1444960")</f>
        <v>1444960</v>
      </c>
      <c r="F2720" t="s">
        <v>2849</v>
      </c>
    </row>
    <row r="2721" spans="1:6">
      <c r="A2721" t="s">
        <v>2627</v>
      </c>
      <c r="B2721" t="s">
        <v>305</v>
      </c>
      <c r="C2721" t="s">
        <v>306</v>
      </c>
      <c r="D2721" t="str">
        <f>HYPERLINK("http://service.sap.com/sap/support/notes/1445912","1445912")</f>
        <v>1445912</v>
      </c>
      <c r="F2721" t="s">
        <v>2850</v>
      </c>
    </row>
    <row r="2722" spans="1:6">
      <c r="A2722" t="s">
        <v>2627</v>
      </c>
      <c r="B2722" t="s">
        <v>305</v>
      </c>
      <c r="C2722" t="s">
        <v>306</v>
      </c>
      <c r="D2722" t="str">
        <f>HYPERLINK("http://service.sap.com/sap/support/notes/1446523","1446523")</f>
        <v>1446523</v>
      </c>
      <c r="F2722" t="s">
        <v>2851</v>
      </c>
    </row>
    <row r="2723" spans="1:6">
      <c r="A2723" t="s">
        <v>2627</v>
      </c>
      <c r="B2723" t="s">
        <v>305</v>
      </c>
      <c r="C2723" t="s">
        <v>306</v>
      </c>
      <c r="D2723" t="str">
        <f>HYPERLINK("http://service.sap.com/sap/support/notes/1446629","1446629")</f>
        <v>1446629</v>
      </c>
      <c r="F2723" t="s">
        <v>2852</v>
      </c>
    </row>
    <row r="2724" spans="1:6">
      <c r="A2724" t="s">
        <v>2627</v>
      </c>
      <c r="B2724" t="s">
        <v>305</v>
      </c>
      <c r="C2724" t="s">
        <v>306</v>
      </c>
      <c r="D2724" t="str">
        <f>HYPERLINK("http://service.sap.com/sap/support/notes/1446650","1446650")</f>
        <v>1446650</v>
      </c>
      <c r="F2724" t="s">
        <v>2853</v>
      </c>
    </row>
    <row r="2725" spans="1:6">
      <c r="A2725" t="s">
        <v>2627</v>
      </c>
      <c r="B2725" t="s">
        <v>305</v>
      </c>
      <c r="C2725" t="s">
        <v>306</v>
      </c>
      <c r="D2725" t="str">
        <f>HYPERLINK("http://service.sap.com/sap/support/notes/1447478","1447478")</f>
        <v>1447478</v>
      </c>
      <c r="F2725" t="s">
        <v>2854</v>
      </c>
    </row>
    <row r="2726" spans="1:6">
      <c r="A2726" t="s">
        <v>2627</v>
      </c>
      <c r="B2726" t="s">
        <v>305</v>
      </c>
      <c r="C2726" t="s">
        <v>306</v>
      </c>
      <c r="D2726" t="str">
        <f>HYPERLINK("http://service.sap.com/sap/support/notes/1447519","1447519")</f>
        <v>1447519</v>
      </c>
      <c r="F2726" t="s">
        <v>2855</v>
      </c>
    </row>
    <row r="2727" spans="1:6">
      <c r="A2727" t="s">
        <v>2627</v>
      </c>
      <c r="B2727" t="s">
        <v>305</v>
      </c>
      <c r="C2727" t="s">
        <v>306</v>
      </c>
      <c r="D2727" t="str">
        <f>HYPERLINK("http://service.sap.com/sap/support/notes/1448890","1448890")</f>
        <v>1448890</v>
      </c>
      <c r="F2727" t="s">
        <v>2856</v>
      </c>
    </row>
    <row r="2728" spans="1:6">
      <c r="A2728" t="s">
        <v>2627</v>
      </c>
      <c r="B2728" t="s">
        <v>305</v>
      </c>
      <c r="C2728" t="s">
        <v>306</v>
      </c>
      <c r="D2728" t="str">
        <f>HYPERLINK("http://service.sap.com/sap/support/notes/1449293","1449293")</f>
        <v>1449293</v>
      </c>
      <c r="F2728" t="s">
        <v>2857</v>
      </c>
    </row>
    <row r="2729" spans="1:6">
      <c r="A2729" t="s">
        <v>2627</v>
      </c>
      <c r="B2729" t="s">
        <v>305</v>
      </c>
      <c r="C2729" t="s">
        <v>306</v>
      </c>
      <c r="D2729" t="str">
        <f>HYPERLINK("http://service.sap.com/sap/support/notes/1449387","1449387")</f>
        <v>1449387</v>
      </c>
      <c r="F2729" t="s">
        <v>2858</v>
      </c>
    </row>
    <row r="2730" spans="1:6">
      <c r="A2730" t="s">
        <v>2627</v>
      </c>
      <c r="B2730" t="s">
        <v>352</v>
      </c>
      <c r="C2730" t="s">
        <v>353</v>
      </c>
      <c r="D2730" t="str">
        <f>HYPERLINK("http://service.sap.com/sap/support/notes/1377253","1377253")</f>
        <v>1377253</v>
      </c>
      <c r="F2730" t="s">
        <v>2456</v>
      </c>
    </row>
    <row r="2731" spans="1:6">
      <c r="A2731" t="s">
        <v>2627</v>
      </c>
      <c r="B2731" t="s">
        <v>352</v>
      </c>
      <c r="C2731" t="s">
        <v>353</v>
      </c>
      <c r="D2731" t="str">
        <f>HYPERLINK("http://service.sap.com/sap/support/notes/1439338","1439338")</f>
        <v>1439338</v>
      </c>
      <c r="F2731" t="s">
        <v>2859</v>
      </c>
    </row>
    <row r="2732" spans="1:6">
      <c r="A2732" t="s">
        <v>2627</v>
      </c>
      <c r="B2732" t="s">
        <v>357</v>
      </c>
      <c r="C2732" t="s">
        <v>76</v>
      </c>
      <c r="D2732" t="str">
        <f>HYPERLINK("http://service.sap.com/sap/support/notes/1427527","1427527")</f>
        <v>1427527</v>
      </c>
      <c r="F2732" t="s">
        <v>2860</v>
      </c>
    </row>
    <row r="2733" spans="1:6">
      <c r="A2733" t="s">
        <v>2627</v>
      </c>
      <c r="B2733" t="s">
        <v>357</v>
      </c>
      <c r="C2733" t="s">
        <v>76</v>
      </c>
      <c r="D2733" t="str">
        <f>HYPERLINK("http://service.sap.com/sap/support/notes/1438967","1438967")</f>
        <v>1438967</v>
      </c>
      <c r="F2733" t="s">
        <v>2861</v>
      </c>
    </row>
    <row r="2734" spans="1:6">
      <c r="A2734" t="s">
        <v>2627</v>
      </c>
      <c r="B2734" t="s">
        <v>357</v>
      </c>
      <c r="C2734" t="s">
        <v>76</v>
      </c>
      <c r="D2734" t="str">
        <f>HYPERLINK("http://service.sap.com/sap/support/notes/1441682","1441682")</f>
        <v>1441682</v>
      </c>
      <c r="F2734" t="s">
        <v>2862</v>
      </c>
    </row>
    <row r="2735" spans="1:6">
      <c r="A2735" t="s">
        <v>2627</v>
      </c>
      <c r="B2735" t="s">
        <v>357</v>
      </c>
      <c r="C2735" t="s">
        <v>76</v>
      </c>
      <c r="D2735" t="str">
        <f>HYPERLINK("http://service.sap.com/sap/support/notes/1443350","1443350")</f>
        <v>1443350</v>
      </c>
      <c r="F2735" t="s">
        <v>2863</v>
      </c>
    </row>
    <row r="2736" spans="1:6">
      <c r="A2736" t="s">
        <v>2627</v>
      </c>
      <c r="B2736" t="s">
        <v>357</v>
      </c>
      <c r="C2736" t="s">
        <v>76</v>
      </c>
      <c r="D2736" t="str">
        <f>HYPERLINK("http://service.sap.com/sap/support/notes/1444496","1444496")</f>
        <v>1444496</v>
      </c>
      <c r="F2736" t="s">
        <v>2864</v>
      </c>
    </row>
    <row r="2737" spans="1:6">
      <c r="A2737" t="s">
        <v>2627</v>
      </c>
      <c r="B2737" t="s">
        <v>367</v>
      </c>
      <c r="C2737" t="s">
        <v>189</v>
      </c>
      <c r="D2737" t="str">
        <f>HYPERLINK("http://service.sap.com/sap/support/notes/1445189","1445189")</f>
        <v>1445189</v>
      </c>
      <c r="F2737" t="s">
        <v>2865</v>
      </c>
    </row>
    <row r="2738" spans="1:6">
      <c r="A2738" t="s">
        <v>2627</v>
      </c>
      <c r="B2738" t="s">
        <v>369</v>
      </c>
      <c r="C2738" t="s">
        <v>370</v>
      </c>
      <c r="D2738" t="str">
        <f>HYPERLINK("http://service.sap.com/sap/support/notes/1129168","1129168")</f>
        <v>1129168</v>
      </c>
      <c r="F2738" t="s">
        <v>371</v>
      </c>
    </row>
    <row r="2739" spans="1:6">
      <c r="A2739" t="s">
        <v>2627</v>
      </c>
      <c r="B2739" t="s">
        <v>369</v>
      </c>
      <c r="C2739" t="s">
        <v>370</v>
      </c>
      <c r="D2739" t="str">
        <f>HYPERLINK("http://service.sap.com/sap/support/notes/1412207","1412207")</f>
        <v>1412207</v>
      </c>
      <c r="F2739" t="s">
        <v>2866</v>
      </c>
    </row>
    <row r="2740" spans="1:6">
      <c r="A2740" t="s">
        <v>2627</v>
      </c>
      <c r="B2740" t="s">
        <v>369</v>
      </c>
      <c r="C2740" t="s">
        <v>370</v>
      </c>
      <c r="D2740" t="str">
        <f>HYPERLINK("http://service.sap.com/sap/support/notes/1441895","1441895")</f>
        <v>1441895</v>
      </c>
      <c r="F2740" t="s">
        <v>2867</v>
      </c>
    </row>
    <row r="2741" spans="1:6">
      <c r="A2741" t="s">
        <v>2627</v>
      </c>
      <c r="B2741" t="s">
        <v>1166</v>
      </c>
      <c r="C2741" t="s">
        <v>1756</v>
      </c>
    </row>
    <row r="2742" spans="1:6">
      <c r="A2742" t="s">
        <v>2627</v>
      </c>
      <c r="B2742" t="s">
        <v>1167</v>
      </c>
      <c r="C2742" t="s">
        <v>1757</v>
      </c>
      <c r="D2742" t="str">
        <f>HYPERLINK("http://service.sap.com/sap/support/notes/1448010","1448010")</f>
        <v>1448010</v>
      </c>
      <c r="F2742" t="s">
        <v>2868</v>
      </c>
    </row>
    <row r="2743" spans="1:6">
      <c r="A2743" t="s">
        <v>2627</v>
      </c>
      <c r="B2743" t="s">
        <v>385</v>
      </c>
      <c r="C2743" t="s">
        <v>208</v>
      </c>
    </row>
    <row r="2744" spans="1:6">
      <c r="A2744" t="s">
        <v>2627</v>
      </c>
      <c r="B2744" t="s">
        <v>386</v>
      </c>
      <c r="C2744" t="s">
        <v>387</v>
      </c>
      <c r="D2744" t="str">
        <f>HYPERLINK("http://service.sap.com/sap/support/notes/1415309","1415309")</f>
        <v>1415309</v>
      </c>
      <c r="F2744" t="s">
        <v>2869</v>
      </c>
    </row>
    <row r="2745" spans="1:6">
      <c r="A2745" t="s">
        <v>2627</v>
      </c>
      <c r="B2745" t="s">
        <v>386</v>
      </c>
      <c r="C2745" t="s">
        <v>387</v>
      </c>
      <c r="D2745" t="str">
        <f>HYPERLINK("http://service.sap.com/sap/support/notes/1426052","1426052")</f>
        <v>1426052</v>
      </c>
      <c r="F2745" t="s">
        <v>2870</v>
      </c>
    </row>
    <row r="2746" spans="1:6">
      <c r="A2746" t="s">
        <v>2627</v>
      </c>
      <c r="B2746" t="s">
        <v>386</v>
      </c>
      <c r="C2746" t="s">
        <v>387</v>
      </c>
      <c r="D2746" t="str">
        <f>HYPERLINK("http://service.sap.com/sap/support/notes/1434623","1434623")</f>
        <v>1434623</v>
      </c>
      <c r="F2746" t="s">
        <v>2871</v>
      </c>
    </row>
    <row r="2747" spans="1:6">
      <c r="A2747" t="s">
        <v>2627</v>
      </c>
      <c r="B2747" t="s">
        <v>386</v>
      </c>
      <c r="C2747" t="s">
        <v>387</v>
      </c>
      <c r="D2747" t="str">
        <f>HYPERLINK("http://service.sap.com/sap/support/notes/1436664","1436664")</f>
        <v>1436664</v>
      </c>
      <c r="F2747" t="s">
        <v>2872</v>
      </c>
    </row>
    <row r="2748" spans="1:6">
      <c r="A2748" t="s">
        <v>2627</v>
      </c>
      <c r="B2748" t="s">
        <v>386</v>
      </c>
      <c r="C2748" t="s">
        <v>387</v>
      </c>
      <c r="D2748" t="str">
        <f>HYPERLINK("http://service.sap.com/sap/support/notes/1439072","1439072")</f>
        <v>1439072</v>
      </c>
      <c r="F2748" t="s">
        <v>2873</v>
      </c>
    </row>
    <row r="2749" spans="1:6">
      <c r="A2749" t="s">
        <v>2627</v>
      </c>
      <c r="B2749" t="s">
        <v>386</v>
      </c>
      <c r="C2749" t="s">
        <v>387</v>
      </c>
      <c r="D2749" t="str">
        <f>HYPERLINK("http://service.sap.com/sap/support/notes/1440273","1440273")</f>
        <v>1440273</v>
      </c>
      <c r="F2749" t="s">
        <v>2874</v>
      </c>
    </row>
    <row r="2750" spans="1:6">
      <c r="A2750" t="s">
        <v>2627</v>
      </c>
      <c r="B2750" t="s">
        <v>386</v>
      </c>
      <c r="C2750" t="s">
        <v>387</v>
      </c>
      <c r="D2750" t="str">
        <f>HYPERLINK("http://service.sap.com/sap/support/notes/1440279","1440279")</f>
        <v>1440279</v>
      </c>
      <c r="F2750" t="s">
        <v>2875</v>
      </c>
    </row>
    <row r="2751" spans="1:6">
      <c r="A2751" t="s">
        <v>2627</v>
      </c>
      <c r="B2751" t="s">
        <v>386</v>
      </c>
      <c r="C2751" t="s">
        <v>387</v>
      </c>
      <c r="D2751" t="str">
        <f>HYPERLINK("http://service.sap.com/sap/support/notes/1441114","1441114")</f>
        <v>1441114</v>
      </c>
      <c r="F2751" t="s">
        <v>2876</v>
      </c>
    </row>
    <row r="2752" spans="1:6">
      <c r="A2752" t="s">
        <v>2627</v>
      </c>
      <c r="B2752" t="s">
        <v>386</v>
      </c>
      <c r="C2752" t="s">
        <v>387</v>
      </c>
      <c r="D2752" t="str">
        <f>HYPERLINK("http://service.sap.com/sap/support/notes/1441609","1441609")</f>
        <v>1441609</v>
      </c>
      <c r="F2752" t="s">
        <v>2877</v>
      </c>
    </row>
    <row r="2753" spans="1:6">
      <c r="A2753" t="s">
        <v>2627</v>
      </c>
      <c r="B2753" t="s">
        <v>386</v>
      </c>
      <c r="C2753" t="s">
        <v>387</v>
      </c>
      <c r="D2753" t="str">
        <f>HYPERLINK("http://service.sap.com/sap/support/notes/1447043","1447043")</f>
        <v>1447043</v>
      </c>
      <c r="F2753" t="s">
        <v>2878</v>
      </c>
    </row>
    <row r="2754" spans="1:6">
      <c r="A2754" t="s">
        <v>2627</v>
      </c>
      <c r="B2754" t="s">
        <v>386</v>
      </c>
      <c r="C2754" t="s">
        <v>387</v>
      </c>
      <c r="D2754" t="str">
        <f>HYPERLINK("http://service.sap.com/sap/support/notes/1447548","1447548")</f>
        <v>1447548</v>
      </c>
      <c r="F2754" t="s">
        <v>2879</v>
      </c>
    </row>
    <row r="2755" spans="1:6">
      <c r="A2755" t="s">
        <v>2627</v>
      </c>
      <c r="B2755" t="s">
        <v>391</v>
      </c>
      <c r="C2755" t="s">
        <v>392</v>
      </c>
      <c r="D2755" t="str">
        <f>HYPERLINK("http://service.sap.com/sap/support/notes/1449501","1449501")</f>
        <v>1449501</v>
      </c>
      <c r="F2755" t="s">
        <v>2880</v>
      </c>
    </row>
    <row r="2756" spans="1:6">
      <c r="A2756" t="s">
        <v>2627</v>
      </c>
      <c r="B2756" t="s">
        <v>391</v>
      </c>
      <c r="C2756" t="s">
        <v>392</v>
      </c>
      <c r="D2756" t="str">
        <f>HYPERLINK("http://service.sap.com/sap/support/notes/1450028","1450028")</f>
        <v>1450028</v>
      </c>
      <c r="F2756" t="s">
        <v>2881</v>
      </c>
    </row>
    <row r="2757" spans="1:6">
      <c r="A2757" t="s">
        <v>2627</v>
      </c>
      <c r="B2757" t="s">
        <v>401</v>
      </c>
      <c r="C2757" t="s">
        <v>402</v>
      </c>
      <c r="D2757" t="str">
        <f>HYPERLINK("http://service.sap.com/sap/support/notes/1444070","1444070")</f>
        <v>1444070</v>
      </c>
      <c r="F2757" t="s">
        <v>2882</v>
      </c>
    </row>
    <row r="2758" spans="1:6">
      <c r="A2758" t="s">
        <v>2627</v>
      </c>
      <c r="B2758" t="s">
        <v>410</v>
      </c>
      <c r="C2758" t="s">
        <v>411</v>
      </c>
      <c r="D2758" t="str">
        <f>HYPERLINK("http://service.sap.com/sap/support/notes/1363989","1363989")</f>
        <v>1363989</v>
      </c>
      <c r="F2758" t="s">
        <v>2883</v>
      </c>
    </row>
    <row r="2759" spans="1:6">
      <c r="A2759" t="s">
        <v>2627</v>
      </c>
      <c r="B2759" t="s">
        <v>410</v>
      </c>
      <c r="C2759" t="s">
        <v>411</v>
      </c>
      <c r="D2759" t="str">
        <f>HYPERLINK("http://service.sap.com/sap/support/notes/1379621","1379621")</f>
        <v>1379621</v>
      </c>
      <c r="F2759" t="s">
        <v>1218</v>
      </c>
    </row>
    <row r="2760" spans="1:6">
      <c r="A2760" t="s">
        <v>2627</v>
      </c>
      <c r="B2760" t="s">
        <v>410</v>
      </c>
      <c r="C2760" t="s">
        <v>411</v>
      </c>
      <c r="D2760" t="str">
        <f>HYPERLINK("http://service.sap.com/sap/support/notes/1385408","1385408")</f>
        <v>1385408</v>
      </c>
      <c r="F2760" t="s">
        <v>2156</v>
      </c>
    </row>
    <row r="2761" spans="1:6">
      <c r="A2761" t="s">
        <v>2627</v>
      </c>
      <c r="B2761" t="s">
        <v>410</v>
      </c>
      <c r="C2761" t="s">
        <v>411</v>
      </c>
      <c r="D2761" t="str">
        <f>HYPERLINK("http://service.sap.com/sap/support/notes/1393895","1393895")</f>
        <v>1393895</v>
      </c>
      <c r="F2761" t="s">
        <v>2884</v>
      </c>
    </row>
    <row r="2762" spans="1:6">
      <c r="A2762" t="s">
        <v>2627</v>
      </c>
      <c r="B2762" t="s">
        <v>410</v>
      </c>
      <c r="C2762" t="s">
        <v>411</v>
      </c>
      <c r="D2762" t="str">
        <f>HYPERLINK("http://service.sap.com/sap/support/notes/1393999","1393999")</f>
        <v>1393999</v>
      </c>
      <c r="F2762" t="s">
        <v>1791</v>
      </c>
    </row>
    <row r="2763" spans="1:6">
      <c r="A2763" t="s">
        <v>2627</v>
      </c>
      <c r="B2763" t="s">
        <v>410</v>
      </c>
      <c r="C2763" t="s">
        <v>411</v>
      </c>
      <c r="D2763" t="str">
        <f>HYPERLINK("http://service.sap.com/sap/support/notes/1434037","1434037")</f>
        <v>1434037</v>
      </c>
      <c r="F2763" t="s">
        <v>2885</v>
      </c>
    </row>
    <row r="2764" spans="1:6">
      <c r="A2764" t="s">
        <v>2627</v>
      </c>
      <c r="B2764" t="s">
        <v>410</v>
      </c>
      <c r="C2764" t="s">
        <v>411</v>
      </c>
      <c r="D2764" t="str">
        <f>HYPERLINK("http://service.sap.com/sap/support/notes/1436002","1436002")</f>
        <v>1436002</v>
      </c>
      <c r="F2764" t="s">
        <v>2886</v>
      </c>
    </row>
    <row r="2765" spans="1:6">
      <c r="A2765" t="s">
        <v>2627</v>
      </c>
      <c r="B2765" t="s">
        <v>410</v>
      </c>
      <c r="C2765" t="s">
        <v>411</v>
      </c>
      <c r="D2765" t="str">
        <f>HYPERLINK("http://service.sap.com/sap/support/notes/1438171","1438171")</f>
        <v>1438171</v>
      </c>
      <c r="F2765" t="s">
        <v>2887</v>
      </c>
    </row>
    <row r="2766" spans="1:6">
      <c r="A2766" t="s">
        <v>2627</v>
      </c>
      <c r="B2766" t="s">
        <v>410</v>
      </c>
      <c r="C2766" t="s">
        <v>411</v>
      </c>
      <c r="D2766" t="str">
        <f>HYPERLINK("http://service.sap.com/sap/support/notes/1440411","1440411")</f>
        <v>1440411</v>
      </c>
      <c r="F2766" t="s">
        <v>2888</v>
      </c>
    </row>
    <row r="2767" spans="1:6">
      <c r="A2767" t="s">
        <v>2627</v>
      </c>
      <c r="B2767" t="s">
        <v>410</v>
      </c>
      <c r="C2767" t="s">
        <v>411</v>
      </c>
      <c r="D2767" t="str">
        <f>HYPERLINK("http://service.sap.com/sap/support/notes/1440773","1440773")</f>
        <v>1440773</v>
      </c>
      <c r="F2767" t="s">
        <v>2889</v>
      </c>
    </row>
    <row r="2768" spans="1:6">
      <c r="A2768" t="s">
        <v>2627</v>
      </c>
      <c r="B2768" t="s">
        <v>410</v>
      </c>
      <c r="C2768" t="s">
        <v>411</v>
      </c>
      <c r="D2768" t="str">
        <f>HYPERLINK("http://service.sap.com/sap/support/notes/1441299","1441299")</f>
        <v>1441299</v>
      </c>
      <c r="F2768" t="s">
        <v>2890</v>
      </c>
    </row>
    <row r="2769" spans="1:6">
      <c r="A2769" t="s">
        <v>2627</v>
      </c>
      <c r="B2769" t="s">
        <v>410</v>
      </c>
      <c r="C2769" t="s">
        <v>411</v>
      </c>
      <c r="D2769" t="str">
        <f>HYPERLINK("http://service.sap.com/sap/support/notes/1441625","1441625")</f>
        <v>1441625</v>
      </c>
      <c r="F2769" t="s">
        <v>2891</v>
      </c>
    </row>
    <row r="2770" spans="1:6">
      <c r="A2770" t="s">
        <v>2627</v>
      </c>
      <c r="B2770" t="s">
        <v>410</v>
      </c>
      <c r="C2770" t="s">
        <v>411</v>
      </c>
      <c r="D2770" t="str">
        <f>HYPERLINK("http://service.sap.com/sap/support/notes/1442579","1442579")</f>
        <v>1442579</v>
      </c>
      <c r="F2770" t="s">
        <v>2892</v>
      </c>
    </row>
    <row r="2771" spans="1:6">
      <c r="A2771" t="s">
        <v>2627</v>
      </c>
      <c r="B2771" t="s">
        <v>410</v>
      </c>
      <c r="C2771" t="s">
        <v>411</v>
      </c>
      <c r="D2771" t="str">
        <f>HYPERLINK("http://service.sap.com/sap/support/notes/1445324","1445324")</f>
        <v>1445324</v>
      </c>
      <c r="F2771" t="s">
        <v>2893</v>
      </c>
    </row>
    <row r="2772" spans="1:6">
      <c r="A2772" t="s">
        <v>2627</v>
      </c>
      <c r="B2772" t="s">
        <v>410</v>
      </c>
      <c r="C2772" t="s">
        <v>411</v>
      </c>
      <c r="D2772" t="str">
        <f>HYPERLINK("http://service.sap.com/sap/support/notes/1446799","1446799")</f>
        <v>1446799</v>
      </c>
      <c r="F2772" t="s">
        <v>2894</v>
      </c>
    </row>
    <row r="2773" spans="1:6">
      <c r="A2773" t="s">
        <v>2627</v>
      </c>
      <c r="B2773" t="s">
        <v>410</v>
      </c>
      <c r="C2773" t="s">
        <v>411</v>
      </c>
      <c r="D2773" t="str">
        <f>HYPERLINK("http://service.sap.com/sap/support/notes/1446929","1446929")</f>
        <v>1446929</v>
      </c>
      <c r="F2773" t="s">
        <v>2895</v>
      </c>
    </row>
    <row r="2774" spans="1:6">
      <c r="A2774" t="s">
        <v>2627</v>
      </c>
      <c r="B2774" t="s">
        <v>410</v>
      </c>
      <c r="C2774" t="s">
        <v>411</v>
      </c>
      <c r="D2774" t="str">
        <f>HYPERLINK("http://service.sap.com/sap/support/notes/1447617","1447617")</f>
        <v>1447617</v>
      </c>
      <c r="F2774" t="s">
        <v>2896</v>
      </c>
    </row>
    <row r="2775" spans="1:6">
      <c r="A2775" t="s">
        <v>2627</v>
      </c>
      <c r="B2775" t="s">
        <v>410</v>
      </c>
      <c r="C2775" t="s">
        <v>411</v>
      </c>
      <c r="D2775" t="str">
        <f>HYPERLINK("http://service.sap.com/sap/support/notes/1448576","1448576")</f>
        <v>1448576</v>
      </c>
      <c r="F2775" t="s">
        <v>2897</v>
      </c>
    </row>
    <row r="2776" spans="1:6">
      <c r="A2776" t="s">
        <v>2627</v>
      </c>
      <c r="B2776" t="s">
        <v>410</v>
      </c>
      <c r="C2776" t="s">
        <v>411</v>
      </c>
      <c r="D2776" t="str">
        <f>HYPERLINK("http://service.sap.com/sap/support/notes/1450274","1450274")</f>
        <v>1450274</v>
      </c>
      <c r="F2776" t="s">
        <v>2898</v>
      </c>
    </row>
    <row r="2777" spans="1:6">
      <c r="A2777" t="s">
        <v>2627</v>
      </c>
      <c r="B2777" t="s">
        <v>410</v>
      </c>
      <c r="C2777" t="s">
        <v>411</v>
      </c>
      <c r="D2777" t="str">
        <f>HYPERLINK("http://service.sap.com/sap/support/notes/1450487","1450487")</f>
        <v>1450487</v>
      </c>
      <c r="F2777" t="s">
        <v>2899</v>
      </c>
    </row>
    <row r="2778" spans="1:6">
      <c r="A2778" t="s">
        <v>2627</v>
      </c>
      <c r="B2778" t="s">
        <v>410</v>
      </c>
      <c r="C2778" t="s">
        <v>411</v>
      </c>
      <c r="D2778" t="str">
        <f>HYPERLINK("http://service.sap.com/sap/support/notes/1450513","1450513")</f>
        <v>1450513</v>
      </c>
      <c r="F2778" t="s">
        <v>2900</v>
      </c>
    </row>
    <row r="2779" spans="1:6">
      <c r="A2779" t="s">
        <v>2627</v>
      </c>
      <c r="B2779" t="s">
        <v>424</v>
      </c>
      <c r="C2779" t="s">
        <v>425</v>
      </c>
      <c r="D2779" t="str">
        <f>HYPERLINK("http://service.sap.com/sap/support/notes/1275953","1275953")</f>
        <v>1275953</v>
      </c>
      <c r="F2779" t="s">
        <v>2901</v>
      </c>
    </row>
    <row r="2780" spans="1:6">
      <c r="A2780" t="s">
        <v>2627</v>
      </c>
      <c r="B2780" t="s">
        <v>424</v>
      </c>
      <c r="C2780" t="s">
        <v>425</v>
      </c>
      <c r="D2780" t="str">
        <f>HYPERLINK("http://service.sap.com/sap/support/notes/1286005","1286005")</f>
        <v>1286005</v>
      </c>
      <c r="F2780" t="s">
        <v>427</v>
      </c>
    </row>
    <row r="2781" spans="1:6">
      <c r="A2781" t="s">
        <v>2627</v>
      </c>
      <c r="B2781" t="s">
        <v>424</v>
      </c>
      <c r="C2781" t="s">
        <v>425</v>
      </c>
      <c r="D2781" t="str">
        <f>HYPERLINK("http://service.sap.com/sap/support/notes/1293443","1293443")</f>
        <v>1293443</v>
      </c>
      <c r="F2781" t="s">
        <v>428</v>
      </c>
    </row>
    <row r="2782" spans="1:6">
      <c r="A2782" t="s">
        <v>2627</v>
      </c>
      <c r="B2782" t="s">
        <v>424</v>
      </c>
      <c r="C2782" t="s">
        <v>425</v>
      </c>
      <c r="D2782" t="str">
        <f>HYPERLINK("http://service.sap.com/sap/support/notes/1330526","1330526")</f>
        <v>1330526</v>
      </c>
      <c r="F2782" t="s">
        <v>2902</v>
      </c>
    </row>
    <row r="2783" spans="1:6">
      <c r="A2783" t="s">
        <v>2627</v>
      </c>
      <c r="B2783" t="s">
        <v>424</v>
      </c>
      <c r="C2783" t="s">
        <v>425</v>
      </c>
      <c r="D2783" t="str">
        <f>HYPERLINK("http://service.sap.com/sap/support/notes/1422182","1422182")</f>
        <v>1422182</v>
      </c>
      <c r="F2783" t="s">
        <v>2170</v>
      </c>
    </row>
    <row r="2784" spans="1:6">
      <c r="A2784" t="s">
        <v>2627</v>
      </c>
      <c r="B2784" t="s">
        <v>424</v>
      </c>
      <c r="C2784" t="s">
        <v>425</v>
      </c>
      <c r="D2784" t="str">
        <f>HYPERLINK("http://service.sap.com/sap/support/notes/1434472","1434472")</f>
        <v>1434472</v>
      </c>
      <c r="F2784" t="s">
        <v>2903</v>
      </c>
    </row>
    <row r="2785" spans="1:6">
      <c r="A2785" t="s">
        <v>2627</v>
      </c>
      <c r="B2785" t="s">
        <v>424</v>
      </c>
      <c r="C2785" t="s">
        <v>425</v>
      </c>
      <c r="D2785" t="str">
        <f>HYPERLINK("http://service.sap.com/sap/support/notes/1435995","1435995")</f>
        <v>1435995</v>
      </c>
      <c r="F2785" t="s">
        <v>2904</v>
      </c>
    </row>
    <row r="2786" spans="1:6">
      <c r="A2786" t="s">
        <v>2627</v>
      </c>
      <c r="B2786" t="s">
        <v>424</v>
      </c>
      <c r="C2786" t="s">
        <v>425</v>
      </c>
      <c r="D2786" t="str">
        <f>HYPERLINK("http://service.sap.com/sap/support/notes/1437019","1437019")</f>
        <v>1437019</v>
      </c>
      <c r="F2786" t="s">
        <v>2905</v>
      </c>
    </row>
    <row r="2787" spans="1:6">
      <c r="A2787" t="s">
        <v>2627</v>
      </c>
      <c r="B2787" t="s">
        <v>424</v>
      </c>
      <c r="C2787" t="s">
        <v>425</v>
      </c>
      <c r="D2787" t="str">
        <f>HYPERLINK("http://service.sap.com/sap/support/notes/1441222","1441222")</f>
        <v>1441222</v>
      </c>
      <c r="F2787" t="s">
        <v>2906</v>
      </c>
    </row>
    <row r="2788" spans="1:6">
      <c r="A2788" t="s">
        <v>2627</v>
      </c>
      <c r="B2788" t="s">
        <v>424</v>
      </c>
      <c r="C2788" t="s">
        <v>425</v>
      </c>
      <c r="D2788" t="str">
        <f>HYPERLINK("http://service.sap.com/sap/support/notes/1441241","1441241")</f>
        <v>1441241</v>
      </c>
      <c r="F2788" t="s">
        <v>2907</v>
      </c>
    </row>
    <row r="2789" spans="1:6">
      <c r="A2789" t="s">
        <v>2627</v>
      </c>
      <c r="B2789" t="s">
        <v>424</v>
      </c>
      <c r="C2789" t="s">
        <v>425</v>
      </c>
      <c r="D2789" t="str">
        <f>HYPERLINK("http://service.sap.com/sap/support/notes/1450384","1450384")</f>
        <v>1450384</v>
      </c>
      <c r="F2789" t="s">
        <v>2908</v>
      </c>
    </row>
    <row r="2790" spans="1:6">
      <c r="A2790" t="s">
        <v>2627</v>
      </c>
      <c r="B2790" t="s">
        <v>441</v>
      </c>
      <c r="C2790" t="s">
        <v>442</v>
      </c>
      <c r="D2790" t="str">
        <f>HYPERLINK("http://service.sap.com/sap/support/notes/1440828","1440828")</f>
        <v>1440828</v>
      </c>
      <c r="F2790" t="s">
        <v>2909</v>
      </c>
    </row>
    <row r="2791" spans="1:6">
      <c r="A2791" t="s">
        <v>2627</v>
      </c>
      <c r="B2791" t="s">
        <v>441</v>
      </c>
      <c r="C2791" t="s">
        <v>442</v>
      </c>
      <c r="D2791" t="str">
        <f>HYPERLINK("http://service.sap.com/sap/support/notes/1445075","1445075")</f>
        <v>1445075</v>
      </c>
      <c r="F2791" t="s">
        <v>2910</v>
      </c>
    </row>
    <row r="2792" spans="1:6">
      <c r="A2792" t="s">
        <v>2627</v>
      </c>
      <c r="B2792" t="s">
        <v>441</v>
      </c>
      <c r="C2792" t="s">
        <v>442</v>
      </c>
      <c r="D2792" t="str">
        <f>HYPERLINK("http://service.sap.com/sap/support/notes/1446215","1446215")</f>
        <v>1446215</v>
      </c>
      <c r="F2792" t="s">
        <v>2911</v>
      </c>
    </row>
    <row r="2793" spans="1:6">
      <c r="A2793" t="s">
        <v>2627</v>
      </c>
      <c r="B2793" t="s">
        <v>441</v>
      </c>
      <c r="C2793" t="s">
        <v>442</v>
      </c>
      <c r="D2793" t="str">
        <f>HYPERLINK("http://service.sap.com/sap/support/notes/1452211","1452211")</f>
        <v>1452211</v>
      </c>
      <c r="F2793" t="s">
        <v>2912</v>
      </c>
    </row>
    <row r="2794" spans="1:6">
      <c r="A2794" t="s">
        <v>2627</v>
      </c>
      <c r="B2794" t="s">
        <v>1247</v>
      </c>
      <c r="C2794" t="s">
        <v>87</v>
      </c>
      <c r="D2794" t="str">
        <f>HYPERLINK("http://service.sap.com/sap/support/notes/1440239","1440239")</f>
        <v>1440239</v>
      </c>
      <c r="F2794" t="s">
        <v>2913</v>
      </c>
    </row>
    <row r="2795" spans="1:6">
      <c r="A2795" t="s">
        <v>2627</v>
      </c>
      <c r="B2795" t="s">
        <v>1247</v>
      </c>
      <c r="C2795" t="s">
        <v>87</v>
      </c>
      <c r="D2795" t="str">
        <f>HYPERLINK("http://service.sap.com/sap/support/notes/1440323","1440323")</f>
        <v>1440323</v>
      </c>
      <c r="F2795" t="s">
        <v>2914</v>
      </c>
    </row>
    <row r="2796" spans="1:6">
      <c r="A2796" t="s">
        <v>2627</v>
      </c>
      <c r="B2796" t="s">
        <v>1247</v>
      </c>
      <c r="C2796" t="s">
        <v>87</v>
      </c>
      <c r="D2796" t="str">
        <f>HYPERLINK("http://service.sap.com/sap/support/notes/1440781","1440781")</f>
        <v>1440781</v>
      </c>
      <c r="F2796" t="s">
        <v>2915</v>
      </c>
    </row>
    <row r="2797" spans="1:6">
      <c r="A2797" t="s">
        <v>2627</v>
      </c>
      <c r="B2797" t="s">
        <v>1247</v>
      </c>
      <c r="C2797" t="s">
        <v>87</v>
      </c>
      <c r="D2797" t="str">
        <f>HYPERLINK("http://service.sap.com/sap/support/notes/1440794","1440794")</f>
        <v>1440794</v>
      </c>
      <c r="F2797" t="s">
        <v>2916</v>
      </c>
    </row>
    <row r="2798" spans="1:6">
      <c r="A2798" t="s">
        <v>2627</v>
      </c>
      <c r="B2798" t="s">
        <v>1247</v>
      </c>
      <c r="C2798" t="s">
        <v>87</v>
      </c>
      <c r="D2798" t="str">
        <f>HYPERLINK("http://service.sap.com/sap/support/notes/1441260","1441260")</f>
        <v>1441260</v>
      </c>
      <c r="F2798" t="s">
        <v>2917</v>
      </c>
    </row>
    <row r="2799" spans="1:6">
      <c r="A2799" t="s">
        <v>2627</v>
      </c>
      <c r="B2799" t="s">
        <v>1247</v>
      </c>
      <c r="C2799" t="s">
        <v>87</v>
      </c>
      <c r="D2799" t="str">
        <f>HYPERLINK("http://service.sap.com/sap/support/notes/1442872","1442872")</f>
        <v>1442872</v>
      </c>
      <c r="F2799" t="s">
        <v>2918</v>
      </c>
    </row>
    <row r="2800" spans="1:6">
      <c r="A2800" t="s">
        <v>2627</v>
      </c>
      <c r="B2800" t="s">
        <v>1247</v>
      </c>
      <c r="C2800" t="s">
        <v>87</v>
      </c>
      <c r="D2800" t="str">
        <f>HYPERLINK("http://service.sap.com/sap/support/notes/1444018","1444018")</f>
        <v>1444018</v>
      </c>
      <c r="F2800" t="s">
        <v>2919</v>
      </c>
    </row>
    <row r="2801" spans="1:6">
      <c r="A2801" t="s">
        <v>2627</v>
      </c>
      <c r="B2801" t="s">
        <v>1247</v>
      </c>
      <c r="C2801" t="s">
        <v>87</v>
      </c>
      <c r="D2801" t="str">
        <f>HYPERLINK("http://service.sap.com/sap/support/notes/1446205","1446205")</f>
        <v>1446205</v>
      </c>
      <c r="F2801" t="s">
        <v>2920</v>
      </c>
    </row>
    <row r="2802" spans="1:6">
      <c r="A2802" t="s">
        <v>2627</v>
      </c>
      <c r="B2802" t="s">
        <v>1247</v>
      </c>
      <c r="C2802" t="s">
        <v>87</v>
      </c>
      <c r="D2802" t="str">
        <f>HYPERLINK("http://service.sap.com/sap/support/notes/1446804","1446804")</f>
        <v>1446804</v>
      </c>
      <c r="F2802" t="s">
        <v>2921</v>
      </c>
    </row>
    <row r="2803" spans="1:6">
      <c r="A2803" t="s">
        <v>2627</v>
      </c>
      <c r="B2803" t="s">
        <v>1247</v>
      </c>
      <c r="C2803" t="s">
        <v>87</v>
      </c>
      <c r="D2803" t="str">
        <f>HYPERLINK("http://service.sap.com/sap/support/notes/1448559","1448559")</f>
        <v>1448559</v>
      </c>
      <c r="F2803" t="s">
        <v>2922</v>
      </c>
    </row>
    <row r="2804" spans="1:6">
      <c r="A2804" t="s">
        <v>2627</v>
      </c>
      <c r="B2804" t="s">
        <v>450</v>
      </c>
      <c r="C2804" t="s">
        <v>451</v>
      </c>
      <c r="D2804" t="str">
        <f>HYPERLINK("http://service.sap.com/sap/support/notes/1346548","1346548")</f>
        <v>1346548</v>
      </c>
      <c r="F2804" t="s">
        <v>452</v>
      </c>
    </row>
    <row r="2805" spans="1:6">
      <c r="A2805" t="s">
        <v>2627</v>
      </c>
      <c r="B2805" t="s">
        <v>450</v>
      </c>
      <c r="C2805" t="s">
        <v>451</v>
      </c>
      <c r="D2805" t="str">
        <f>HYPERLINK("http://service.sap.com/sap/support/notes/1430041","1430041")</f>
        <v>1430041</v>
      </c>
      <c r="F2805" t="s">
        <v>2923</v>
      </c>
    </row>
    <row r="2806" spans="1:6">
      <c r="A2806" t="s">
        <v>2627</v>
      </c>
      <c r="B2806" t="s">
        <v>450</v>
      </c>
      <c r="C2806" t="s">
        <v>451</v>
      </c>
      <c r="D2806" t="str">
        <f>HYPERLINK("http://service.sap.com/sap/support/notes/1430657","1430657")</f>
        <v>1430657</v>
      </c>
      <c r="F2806" t="s">
        <v>2191</v>
      </c>
    </row>
    <row r="2807" spans="1:6">
      <c r="A2807" t="s">
        <v>2627</v>
      </c>
      <c r="B2807" t="s">
        <v>450</v>
      </c>
      <c r="C2807" t="s">
        <v>451</v>
      </c>
      <c r="D2807" t="str">
        <f>HYPERLINK("http://service.sap.com/sap/support/notes/1435769","1435769")</f>
        <v>1435769</v>
      </c>
      <c r="F2807" t="s">
        <v>2924</v>
      </c>
    </row>
    <row r="2808" spans="1:6">
      <c r="A2808" t="s">
        <v>2627</v>
      </c>
      <c r="B2808" t="s">
        <v>450</v>
      </c>
      <c r="C2808" t="s">
        <v>451</v>
      </c>
      <c r="D2808" t="str">
        <f>HYPERLINK("http://service.sap.com/sap/support/notes/1436861","1436861")</f>
        <v>1436861</v>
      </c>
      <c r="F2808" t="s">
        <v>2925</v>
      </c>
    </row>
    <row r="2809" spans="1:6">
      <c r="A2809" t="s">
        <v>2627</v>
      </c>
      <c r="B2809" t="s">
        <v>450</v>
      </c>
      <c r="C2809" t="s">
        <v>451</v>
      </c>
      <c r="D2809" t="str">
        <f>HYPERLINK("http://service.sap.com/sap/support/notes/1437085","1437085")</f>
        <v>1437085</v>
      </c>
      <c r="F2809" t="s">
        <v>2926</v>
      </c>
    </row>
    <row r="2810" spans="1:6">
      <c r="A2810" t="s">
        <v>2627</v>
      </c>
      <c r="B2810" t="s">
        <v>450</v>
      </c>
      <c r="C2810" t="s">
        <v>451</v>
      </c>
      <c r="D2810" t="str">
        <f>HYPERLINK("http://service.sap.com/sap/support/notes/1440183","1440183")</f>
        <v>1440183</v>
      </c>
      <c r="F2810" t="s">
        <v>2927</v>
      </c>
    </row>
    <row r="2811" spans="1:6">
      <c r="A2811" t="s">
        <v>2627</v>
      </c>
      <c r="B2811" t="s">
        <v>450</v>
      </c>
      <c r="C2811" t="s">
        <v>451</v>
      </c>
      <c r="D2811" t="str">
        <f>HYPERLINK("http://service.sap.com/sap/support/notes/1443417","1443417")</f>
        <v>1443417</v>
      </c>
      <c r="F2811" t="s">
        <v>2928</v>
      </c>
    </row>
    <row r="2812" spans="1:6">
      <c r="A2812" t="s">
        <v>2627</v>
      </c>
      <c r="B2812" t="s">
        <v>450</v>
      </c>
      <c r="C2812" t="s">
        <v>451</v>
      </c>
      <c r="D2812" t="str">
        <f>HYPERLINK("http://service.sap.com/sap/support/notes/1445397","1445397")</f>
        <v>1445397</v>
      </c>
      <c r="F2812" t="s">
        <v>2929</v>
      </c>
    </row>
    <row r="2813" spans="1:6">
      <c r="A2813" t="s">
        <v>2627</v>
      </c>
      <c r="B2813" t="s">
        <v>455</v>
      </c>
      <c r="C2813" t="s">
        <v>456</v>
      </c>
      <c r="D2813" t="str">
        <f>HYPERLINK("http://service.sap.com/sap/support/notes/1425376","1425376")</f>
        <v>1425376</v>
      </c>
      <c r="F2813" t="s">
        <v>2930</v>
      </c>
    </row>
    <row r="2814" spans="1:6">
      <c r="A2814" t="s">
        <v>2627</v>
      </c>
      <c r="B2814" t="s">
        <v>455</v>
      </c>
      <c r="C2814" t="s">
        <v>456</v>
      </c>
      <c r="D2814" t="str">
        <f>HYPERLINK("http://service.sap.com/sap/support/notes/1440115","1440115")</f>
        <v>1440115</v>
      </c>
      <c r="F2814" t="s">
        <v>2931</v>
      </c>
    </row>
    <row r="2815" spans="1:6">
      <c r="A2815" t="s">
        <v>2627</v>
      </c>
      <c r="B2815" t="s">
        <v>455</v>
      </c>
      <c r="C2815" t="s">
        <v>456</v>
      </c>
      <c r="D2815" t="str">
        <f>HYPERLINK("http://service.sap.com/sap/support/notes/1440575","1440575")</f>
        <v>1440575</v>
      </c>
      <c r="F2815" t="s">
        <v>2932</v>
      </c>
    </row>
    <row r="2816" spans="1:6">
      <c r="A2816" t="s">
        <v>2627</v>
      </c>
      <c r="B2816" t="s">
        <v>455</v>
      </c>
      <c r="C2816" t="s">
        <v>456</v>
      </c>
      <c r="D2816" t="str">
        <f>HYPERLINK("http://service.sap.com/sap/support/notes/1443729","1443729")</f>
        <v>1443729</v>
      </c>
      <c r="F2816" t="s">
        <v>2933</v>
      </c>
    </row>
    <row r="2817" spans="1:6">
      <c r="A2817" t="s">
        <v>2627</v>
      </c>
      <c r="B2817" t="s">
        <v>458</v>
      </c>
      <c r="C2817" t="s">
        <v>90</v>
      </c>
      <c r="D2817" t="str">
        <f>HYPERLINK("http://service.sap.com/sap/support/notes/1438153","1438153")</f>
        <v>1438153</v>
      </c>
      <c r="F2817" t="s">
        <v>2934</v>
      </c>
    </row>
    <row r="2818" spans="1:6">
      <c r="A2818" t="s">
        <v>2627</v>
      </c>
      <c r="B2818" t="s">
        <v>458</v>
      </c>
      <c r="C2818" t="s">
        <v>90</v>
      </c>
      <c r="D2818" t="str">
        <f>HYPERLINK("http://service.sap.com/sap/support/notes/1438327","1438327")</f>
        <v>1438327</v>
      </c>
      <c r="F2818" t="s">
        <v>2935</v>
      </c>
    </row>
    <row r="2819" spans="1:6">
      <c r="A2819" t="s">
        <v>2627</v>
      </c>
      <c r="B2819" t="s">
        <v>458</v>
      </c>
      <c r="C2819" t="s">
        <v>90</v>
      </c>
      <c r="D2819" t="str">
        <f>HYPERLINK("http://service.sap.com/sap/support/notes/1439689","1439689")</f>
        <v>1439689</v>
      </c>
      <c r="F2819" t="s">
        <v>2936</v>
      </c>
    </row>
    <row r="2820" spans="1:6">
      <c r="A2820" t="s">
        <v>2627</v>
      </c>
      <c r="B2820" t="s">
        <v>458</v>
      </c>
      <c r="C2820" t="s">
        <v>90</v>
      </c>
      <c r="D2820" t="str">
        <f>HYPERLINK("http://service.sap.com/sap/support/notes/1440181","1440181")</f>
        <v>1440181</v>
      </c>
      <c r="F2820" t="s">
        <v>2937</v>
      </c>
    </row>
    <row r="2821" spans="1:6">
      <c r="A2821" t="s">
        <v>2627</v>
      </c>
      <c r="B2821" t="s">
        <v>458</v>
      </c>
      <c r="C2821" t="s">
        <v>90</v>
      </c>
      <c r="D2821" t="str">
        <f>HYPERLINK("http://service.sap.com/sap/support/notes/1441899","1441899")</f>
        <v>1441899</v>
      </c>
      <c r="F2821" t="s">
        <v>2938</v>
      </c>
    </row>
    <row r="2822" spans="1:6">
      <c r="A2822" t="s">
        <v>2627</v>
      </c>
      <c r="B2822" t="s">
        <v>458</v>
      </c>
      <c r="C2822" t="s">
        <v>90</v>
      </c>
      <c r="D2822" t="str">
        <f>HYPERLINK("http://service.sap.com/sap/support/notes/1442402","1442402")</f>
        <v>1442402</v>
      </c>
      <c r="F2822" t="s">
        <v>2939</v>
      </c>
    </row>
    <row r="2823" spans="1:6">
      <c r="A2823" t="s">
        <v>2627</v>
      </c>
      <c r="B2823" t="s">
        <v>458</v>
      </c>
      <c r="C2823" t="s">
        <v>90</v>
      </c>
      <c r="D2823" t="str">
        <f>HYPERLINK("http://service.sap.com/sap/support/notes/1444093","1444093")</f>
        <v>1444093</v>
      </c>
      <c r="F2823" t="s">
        <v>2940</v>
      </c>
    </row>
    <row r="2824" spans="1:6">
      <c r="A2824" t="s">
        <v>2627</v>
      </c>
      <c r="B2824" t="s">
        <v>458</v>
      </c>
      <c r="C2824" t="s">
        <v>90</v>
      </c>
      <c r="D2824" t="str">
        <f>HYPERLINK("http://service.sap.com/sap/support/notes/1445278","1445278")</f>
        <v>1445278</v>
      </c>
      <c r="F2824" t="s">
        <v>2941</v>
      </c>
    </row>
    <row r="2825" spans="1:6">
      <c r="A2825" t="s">
        <v>2627</v>
      </c>
      <c r="B2825" t="s">
        <v>463</v>
      </c>
      <c r="C2825" t="s">
        <v>93</v>
      </c>
      <c r="D2825" t="str">
        <f>HYPERLINK("http://service.sap.com/sap/support/notes/1438301","1438301")</f>
        <v>1438301</v>
      </c>
      <c r="F2825" t="s">
        <v>2942</v>
      </c>
    </row>
    <row r="2826" spans="1:6">
      <c r="A2826" t="s">
        <v>2627</v>
      </c>
      <c r="B2826" t="s">
        <v>463</v>
      </c>
      <c r="C2826" t="s">
        <v>93</v>
      </c>
      <c r="D2826" t="str">
        <f>HYPERLINK("http://service.sap.com/sap/support/notes/1443781","1443781")</f>
        <v>1443781</v>
      </c>
      <c r="F2826" t="s">
        <v>2943</v>
      </c>
    </row>
    <row r="2827" spans="1:6">
      <c r="A2827" t="s">
        <v>2627</v>
      </c>
      <c r="B2827" t="s">
        <v>463</v>
      </c>
      <c r="C2827" t="s">
        <v>93</v>
      </c>
      <c r="D2827" t="str">
        <f>HYPERLINK("http://service.sap.com/sap/support/notes/1444827","1444827")</f>
        <v>1444827</v>
      </c>
      <c r="F2827" t="s">
        <v>2944</v>
      </c>
    </row>
    <row r="2828" spans="1:6">
      <c r="A2828" t="s">
        <v>2627</v>
      </c>
      <c r="B2828" t="s">
        <v>463</v>
      </c>
      <c r="C2828" t="s">
        <v>93</v>
      </c>
      <c r="D2828" t="str">
        <f>HYPERLINK("http://service.sap.com/sap/support/notes/1446496","1446496")</f>
        <v>1446496</v>
      </c>
      <c r="F2828" t="s">
        <v>2945</v>
      </c>
    </row>
    <row r="2829" spans="1:6">
      <c r="A2829" t="s">
        <v>2627</v>
      </c>
      <c r="B2829" t="s">
        <v>463</v>
      </c>
      <c r="C2829" t="s">
        <v>93</v>
      </c>
      <c r="D2829" t="str">
        <f>HYPERLINK("http://service.sap.com/sap/support/notes/1447113","1447113")</f>
        <v>1447113</v>
      </c>
      <c r="F2829" t="s">
        <v>2946</v>
      </c>
    </row>
    <row r="2830" spans="1:6">
      <c r="A2830" t="s">
        <v>2627</v>
      </c>
      <c r="B2830" t="s">
        <v>463</v>
      </c>
      <c r="C2830" t="s">
        <v>93</v>
      </c>
      <c r="D2830" t="str">
        <f>HYPERLINK("http://service.sap.com/sap/support/notes/1450375","1450375")</f>
        <v>1450375</v>
      </c>
      <c r="F2830" t="s">
        <v>2947</v>
      </c>
    </row>
    <row r="2831" spans="1:6">
      <c r="A2831" t="s">
        <v>2627</v>
      </c>
      <c r="B2831" t="s">
        <v>475</v>
      </c>
      <c r="C2831" t="s">
        <v>476</v>
      </c>
      <c r="D2831" t="str">
        <f>HYPERLINK("http://service.sap.com/sap/support/notes/1374311","1374311")</f>
        <v>1374311</v>
      </c>
      <c r="F2831" t="s">
        <v>477</v>
      </c>
    </row>
    <row r="2832" spans="1:6">
      <c r="A2832" t="s">
        <v>2627</v>
      </c>
      <c r="B2832" t="s">
        <v>475</v>
      </c>
      <c r="C2832" t="s">
        <v>476</v>
      </c>
      <c r="D2832" t="str">
        <f>HYPERLINK("http://service.sap.com/sap/support/notes/1380575","1380575")</f>
        <v>1380575</v>
      </c>
      <c r="F2832" t="s">
        <v>2948</v>
      </c>
    </row>
    <row r="2833" spans="1:6">
      <c r="A2833" t="s">
        <v>2627</v>
      </c>
      <c r="B2833" t="s">
        <v>475</v>
      </c>
      <c r="C2833" t="s">
        <v>476</v>
      </c>
      <c r="D2833" t="str">
        <f>HYPERLINK("http://service.sap.com/sap/support/notes/1435109","1435109")</f>
        <v>1435109</v>
      </c>
      <c r="F2833" t="s">
        <v>2949</v>
      </c>
    </row>
    <row r="2834" spans="1:6">
      <c r="A2834" t="s">
        <v>2627</v>
      </c>
      <c r="B2834" t="s">
        <v>475</v>
      </c>
      <c r="C2834" t="s">
        <v>476</v>
      </c>
      <c r="D2834" t="str">
        <f>HYPERLINK("http://service.sap.com/sap/support/notes/1440211","1440211")</f>
        <v>1440211</v>
      </c>
      <c r="F2834" t="s">
        <v>2950</v>
      </c>
    </row>
    <row r="2835" spans="1:6">
      <c r="A2835" t="s">
        <v>2627</v>
      </c>
      <c r="B2835" t="s">
        <v>475</v>
      </c>
      <c r="C2835" t="s">
        <v>476</v>
      </c>
      <c r="D2835" t="str">
        <f>HYPERLINK("http://service.sap.com/sap/support/notes/1445200","1445200")</f>
        <v>1445200</v>
      </c>
      <c r="F2835" t="s">
        <v>2951</v>
      </c>
    </row>
    <row r="2836" spans="1:6">
      <c r="A2836" t="s">
        <v>2627</v>
      </c>
      <c r="B2836" t="s">
        <v>475</v>
      </c>
      <c r="C2836" t="s">
        <v>476</v>
      </c>
      <c r="D2836" t="str">
        <f>HYPERLINK("http://service.sap.com/sap/support/notes/1446820","1446820")</f>
        <v>1446820</v>
      </c>
      <c r="F2836" t="s">
        <v>2952</v>
      </c>
    </row>
    <row r="2837" spans="1:6">
      <c r="A2837" t="s">
        <v>2627</v>
      </c>
      <c r="B2837" t="s">
        <v>475</v>
      </c>
      <c r="C2837" t="s">
        <v>476</v>
      </c>
      <c r="D2837" t="str">
        <f>HYPERLINK("http://service.sap.com/sap/support/notes/1447555","1447555")</f>
        <v>1447555</v>
      </c>
      <c r="F2837" t="s">
        <v>2953</v>
      </c>
    </row>
    <row r="2838" spans="1:6">
      <c r="A2838" t="s">
        <v>2627</v>
      </c>
      <c r="B2838" t="s">
        <v>1272</v>
      </c>
      <c r="C2838" t="s">
        <v>2221</v>
      </c>
      <c r="D2838" t="str">
        <f>HYPERLINK("http://service.sap.com/sap/support/notes/1379665","1379665")</f>
        <v>1379665</v>
      </c>
      <c r="F2838" t="s">
        <v>2954</v>
      </c>
    </row>
    <row r="2839" spans="1:6">
      <c r="A2839" t="s">
        <v>2627</v>
      </c>
      <c r="B2839" t="s">
        <v>479</v>
      </c>
      <c r="C2839" t="s">
        <v>480</v>
      </c>
      <c r="D2839" t="str">
        <f>HYPERLINK("http://service.sap.com/sap/support/notes/1387130","1387130")</f>
        <v>1387130</v>
      </c>
      <c r="F2839" t="s">
        <v>481</v>
      </c>
    </row>
    <row r="2840" spans="1:6">
      <c r="A2840" t="s">
        <v>2627</v>
      </c>
      <c r="B2840" t="s">
        <v>479</v>
      </c>
      <c r="C2840" t="s">
        <v>480</v>
      </c>
      <c r="D2840" t="str">
        <f>HYPERLINK("http://service.sap.com/sap/support/notes/1439214","1439214")</f>
        <v>1439214</v>
      </c>
      <c r="F2840" t="s">
        <v>2955</v>
      </c>
    </row>
    <row r="2841" spans="1:6">
      <c r="A2841" t="s">
        <v>2627</v>
      </c>
      <c r="B2841" t="s">
        <v>482</v>
      </c>
      <c r="C2841" t="s">
        <v>483</v>
      </c>
      <c r="D2841" t="str">
        <f>HYPERLINK("http://service.sap.com/sap/support/notes/808408","808408")</f>
        <v>808408</v>
      </c>
      <c r="F2841" t="s">
        <v>1857</v>
      </c>
    </row>
    <row r="2842" spans="1:6">
      <c r="A2842" t="s">
        <v>2627</v>
      </c>
      <c r="B2842" t="s">
        <v>482</v>
      </c>
      <c r="C2842" t="s">
        <v>483</v>
      </c>
      <c r="D2842" t="str">
        <f>HYPERLINK("http://service.sap.com/sap/support/notes/1433510","1433510")</f>
        <v>1433510</v>
      </c>
      <c r="F2842" t="s">
        <v>2956</v>
      </c>
    </row>
    <row r="2843" spans="1:6">
      <c r="A2843" t="s">
        <v>2627</v>
      </c>
      <c r="B2843" t="s">
        <v>2227</v>
      </c>
      <c r="C2843" t="s">
        <v>2228</v>
      </c>
      <c r="D2843" t="str">
        <f>HYPERLINK("http://service.sap.com/sap/support/notes/1441339","1441339")</f>
        <v>1441339</v>
      </c>
      <c r="F2843" t="s">
        <v>2957</v>
      </c>
    </row>
    <row r="2844" spans="1:6">
      <c r="A2844" t="s">
        <v>2627</v>
      </c>
      <c r="B2844" t="s">
        <v>492</v>
      </c>
      <c r="C2844" t="s">
        <v>493</v>
      </c>
      <c r="D2844" t="str">
        <f>HYPERLINK("http://service.sap.com/sap/support/notes/1442023","1442023")</f>
        <v>1442023</v>
      </c>
      <c r="F2844" t="s">
        <v>2958</v>
      </c>
    </row>
    <row r="2845" spans="1:6">
      <c r="A2845" t="s">
        <v>2627</v>
      </c>
      <c r="B2845" t="s">
        <v>492</v>
      </c>
      <c r="C2845" t="s">
        <v>493</v>
      </c>
      <c r="D2845" t="str">
        <f>HYPERLINK("http://service.sap.com/sap/support/notes/1442134","1442134")</f>
        <v>1442134</v>
      </c>
      <c r="F2845" t="s">
        <v>2959</v>
      </c>
    </row>
    <row r="2846" spans="1:6">
      <c r="A2846" t="s">
        <v>2627</v>
      </c>
      <c r="B2846" t="s">
        <v>492</v>
      </c>
      <c r="C2846" t="s">
        <v>493</v>
      </c>
      <c r="D2846" t="str">
        <f>HYPERLINK("http://service.sap.com/sap/support/notes/1442217","1442217")</f>
        <v>1442217</v>
      </c>
      <c r="F2846" t="s">
        <v>2960</v>
      </c>
    </row>
    <row r="2847" spans="1:6">
      <c r="A2847" t="s">
        <v>2627</v>
      </c>
      <c r="B2847" t="s">
        <v>492</v>
      </c>
      <c r="C2847" t="s">
        <v>493</v>
      </c>
      <c r="D2847" t="str">
        <f>HYPERLINK("http://service.sap.com/sap/support/notes/1443537","1443537")</f>
        <v>1443537</v>
      </c>
      <c r="F2847" t="s">
        <v>2961</v>
      </c>
    </row>
    <row r="2848" spans="1:6">
      <c r="A2848" t="s">
        <v>2627</v>
      </c>
      <c r="B2848" t="s">
        <v>492</v>
      </c>
      <c r="C2848" t="s">
        <v>493</v>
      </c>
      <c r="D2848" t="str">
        <f>HYPERLINK("http://service.sap.com/sap/support/notes/1443634","1443634")</f>
        <v>1443634</v>
      </c>
      <c r="F2848" t="s">
        <v>2962</v>
      </c>
    </row>
    <row r="2849" spans="1:6">
      <c r="A2849" t="s">
        <v>2627</v>
      </c>
      <c r="B2849" t="s">
        <v>492</v>
      </c>
      <c r="C2849" t="s">
        <v>493</v>
      </c>
      <c r="D2849" t="str">
        <f>HYPERLINK("http://service.sap.com/sap/support/notes/1443638","1443638")</f>
        <v>1443638</v>
      </c>
      <c r="F2849" t="s">
        <v>2963</v>
      </c>
    </row>
    <row r="2850" spans="1:6">
      <c r="A2850" t="s">
        <v>2627</v>
      </c>
      <c r="B2850" t="s">
        <v>492</v>
      </c>
      <c r="C2850" t="s">
        <v>493</v>
      </c>
      <c r="D2850" t="str">
        <f>HYPERLINK("http://service.sap.com/sap/support/notes/1445404","1445404")</f>
        <v>1445404</v>
      </c>
      <c r="F2850" t="s">
        <v>2964</v>
      </c>
    </row>
    <row r="2851" spans="1:6">
      <c r="A2851" t="s">
        <v>2627</v>
      </c>
      <c r="B2851" t="s">
        <v>492</v>
      </c>
      <c r="C2851" t="s">
        <v>493</v>
      </c>
      <c r="D2851" t="str">
        <f>HYPERLINK("http://service.sap.com/sap/support/notes/1448213","1448213")</f>
        <v>1448213</v>
      </c>
      <c r="F2851" t="s">
        <v>2965</v>
      </c>
    </row>
    <row r="2852" spans="1:6">
      <c r="A2852" t="s">
        <v>2627</v>
      </c>
      <c r="B2852" t="s">
        <v>492</v>
      </c>
      <c r="C2852" t="s">
        <v>493</v>
      </c>
      <c r="D2852" t="str">
        <f>HYPERLINK("http://service.sap.com/sap/support/notes/1448549","1448549")</f>
        <v>1448549</v>
      </c>
      <c r="F2852" t="s">
        <v>2966</v>
      </c>
    </row>
    <row r="2853" spans="1:6">
      <c r="A2853" t="s">
        <v>2627</v>
      </c>
      <c r="B2853" t="s">
        <v>492</v>
      </c>
      <c r="C2853" t="s">
        <v>493</v>
      </c>
      <c r="D2853" t="str">
        <f>HYPERLINK("http://service.sap.com/sap/support/notes/1448785","1448785")</f>
        <v>1448785</v>
      </c>
      <c r="F2853" t="s">
        <v>2967</v>
      </c>
    </row>
    <row r="2854" spans="1:6">
      <c r="A2854" t="s">
        <v>2627</v>
      </c>
      <c r="B2854" t="s">
        <v>492</v>
      </c>
      <c r="C2854" t="s">
        <v>493</v>
      </c>
      <c r="D2854" t="str">
        <f>HYPERLINK("http://service.sap.com/sap/support/notes/1450186","1450186")</f>
        <v>1450186</v>
      </c>
      <c r="F2854" t="s">
        <v>2968</v>
      </c>
    </row>
    <row r="2855" spans="1:6">
      <c r="A2855" t="s">
        <v>2627</v>
      </c>
      <c r="B2855" t="s">
        <v>492</v>
      </c>
      <c r="C2855" t="s">
        <v>493</v>
      </c>
      <c r="D2855" t="str">
        <f>HYPERLINK("http://service.sap.com/sap/support/notes/1450190","1450190")</f>
        <v>1450190</v>
      </c>
      <c r="F2855" t="s">
        <v>2969</v>
      </c>
    </row>
    <row r="2856" spans="1:6">
      <c r="A2856" t="s">
        <v>2627</v>
      </c>
      <c r="B2856" t="s">
        <v>492</v>
      </c>
      <c r="C2856" t="s">
        <v>493</v>
      </c>
      <c r="D2856" t="str">
        <f>HYPERLINK("http://service.sap.com/sap/support/notes/1450414","1450414")</f>
        <v>1450414</v>
      </c>
      <c r="F2856" t="s">
        <v>2970</v>
      </c>
    </row>
    <row r="2857" spans="1:6">
      <c r="A2857" t="s">
        <v>2627</v>
      </c>
      <c r="B2857" t="s">
        <v>492</v>
      </c>
      <c r="C2857" t="s">
        <v>493</v>
      </c>
      <c r="D2857" t="str">
        <f>HYPERLINK("http://service.sap.com/sap/support/notes/1450496","1450496")</f>
        <v>1450496</v>
      </c>
      <c r="F2857" t="s">
        <v>2971</v>
      </c>
    </row>
    <row r="2858" spans="1:6">
      <c r="A2858" t="s">
        <v>2627</v>
      </c>
      <c r="B2858" t="s">
        <v>500</v>
      </c>
      <c r="C2858" t="s">
        <v>501</v>
      </c>
      <c r="D2858" t="str">
        <f>HYPERLINK("http://service.sap.com/sap/support/notes/1380574","1380574")</f>
        <v>1380574</v>
      </c>
      <c r="F2858" t="s">
        <v>2972</v>
      </c>
    </row>
    <row r="2859" spans="1:6">
      <c r="A2859" t="s">
        <v>2627</v>
      </c>
      <c r="B2859" t="s">
        <v>500</v>
      </c>
      <c r="C2859" t="s">
        <v>501</v>
      </c>
      <c r="D2859" t="str">
        <f>HYPERLINK("http://service.sap.com/sap/support/notes/1439162","1439162")</f>
        <v>1439162</v>
      </c>
      <c r="F2859" t="s">
        <v>2973</v>
      </c>
    </row>
    <row r="2860" spans="1:6">
      <c r="A2860" t="s">
        <v>2627</v>
      </c>
      <c r="B2860" t="s">
        <v>500</v>
      </c>
      <c r="C2860" t="s">
        <v>501</v>
      </c>
      <c r="D2860" t="str">
        <f>HYPERLINK("http://service.sap.com/sap/support/notes/1447537","1447537")</f>
        <v>1447537</v>
      </c>
      <c r="F2860" t="s">
        <v>2974</v>
      </c>
    </row>
    <row r="2861" spans="1:6">
      <c r="A2861" t="s">
        <v>2627</v>
      </c>
      <c r="B2861" t="s">
        <v>504</v>
      </c>
      <c r="C2861" t="s">
        <v>110</v>
      </c>
      <c r="D2861" t="str">
        <f>HYPERLINK("http://service.sap.com/sap/support/notes/1432348","1432348")</f>
        <v>1432348</v>
      </c>
      <c r="F2861" t="s">
        <v>2975</v>
      </c>
    </row>
    <row r="2862" spans="1:6">
      <c r="A2862" t="s">
        <v>2627</v>
      </c>
      <c r="B2862" t="s">
        <v>504</v>
      </c>
      <c r="C2862" t="s">
        <v>110</v>
      </c>
      <c r="D2862" t="str">
        <f>HYPERLINK("http://service.sap.com/sap/support/notes/1438144","1438144")</f>
        <v>1438144</v>
      </c>
      <c r="F2862" t="s">
        <v>2976</v>
      </c>
    </row>
    <row r="2863" spans="1:6">
      <c r="A2863" t="s">
        <v>2627</v>
      </c>
      <c r="B2863" t="s">
        <v>504</v>
      </c>
      <c r="C2863" t="s">
        <v>110</v>
      </c>
      <c r="D2863" t="str">
        <f>HYPERLINK("http://service.sap.com/sap/support/notes/1439769","1439769")</f>
        <v>1439769</v>
      </c>
      <c r="F2863" t="s">
        <v>2977</v>
      </c>
    </row>
    <row r="2864" spans="1:6">
      <c r="A2864" t="s">
        <v>2627</v>
      </c>
      <c r="B2864" t="s">
        <v>504</v>
      </c>
      <c r="C2864" t="s">
        <v>110</v>
      </c>
      <c r="D2864" t="str">
        <f>HYPERLINK("http://service.sap.com/sap/support/notes/1450488","1450488")</f>
        <v>1450488</v>
      </c>
      <c r="F2864" t="s">
        <v>1892</v>
      </c>
    </row>
    <row r="2865" spans="1:6">
      <c r="A2865" t="s">
        <v>2627</v>
      </c>
      <c r="B2865" t="s">
        <v>1311</v>
      </c>
      <c r="C2865" t="s">
        <v>189</v>
      </c>
      <c r="D2865" t="str">
        <f>HYPERLINK("http://service.sap.com/sap/support/notes/1440370","1440370")</f>
        <v>1440370</v>
      </c>
      <c r="F2865" t="s">
        <v>2978</v>
      </c>
    </row>
    <row r="2866" spans="1:6">
      <c r="A2866" t="s">
        <v>2627</v>
      </c>
      <c r="B2866" t="s">
        <v>1311</v>
      </c>
      <c r="C2866" t="s">
        <v>189</v>
      </c>
      <c r="D2866" t="str">
        <f>HYPERLINK("http://service.sap.com/sap/support/notes/1448200","1448200")</f>
        <v>1448200</v>
      </c>
      <c r="F2866" t="s">
        <v>2979</v>
      </c>
    </row>
    <row r="2867" spans="1:6">
      <c r="A2867" t="s">
        <v>2627</v>
      </c>
      <c r="B2867" t="s">
        <v>510</v>
      </c>
      <c r="C2867" t="s">
        <v>114</v>
      </c>
      <c r="D2867" t="str">
        <f>HYPERLINK("http://service.sap.com/sap/support/notes/1437444","1437444")</f>
        <v>1437444</v>
      </c>
      <c r="F2867" t="s">
        <v>2980</v>
      </c>
    </row>
    <row r="2868" spans="1:6">
      <c r="A2868" t="s">
        <v>2627</v>
      </c>
      <c r="B2868" t="s">
        <v>510</v>
      </c>
      <c r="C2868" t="s">
        <v>114</v>
      </c>
      <c r="D2868" t="str">
        <f>HYPERLINK("http://service.sap.com/sap/support/notes/1438671","1438671")</f>
        <v>1438671</v>
      </c>
      <c r="F2868" t="s">
        <v>2981</v>
      </c>
    </row>
    <row r="2869" spans="1:6">
      <c r="A2869" t="s">
        <v>2627</v>
      </c>
      <c r="B2869" t="s">
        <v>510</v>
      </c>
      <c r="C2869" t="s">
        <v>114</v>
      </c>
      <c r="D2869" t="str">
        <f>HYPERLINK("http://service.sap.com/sap/support/notes/1442167","1442167")</f>
        <v>1442167</v>
      </c>
      <c r="F2869" t="s">
        <v>2982</v>
      </c>
    </row>
    <row r="2870" spans="1:6">
      <c r="A2870" t="s">
        <v>2627</v>
      </c>
      <c r="B2870" t="s">
        <v>510</v>
      </c>
      <c r="C2870" t="s">
        <v>114</v>
      </c>
      <c r="D2870" t="str">
        <f>HYPERLINK("http://service.sap.com/sap/support/notes/1443167","1443167")</f>
        <v>1443167</v>
      </c>
      <c r="F2870" t="s">
        <v>2983</v>
      </c>
    </row>
    <row r="2871" spans="1:6">
      <c r="A2871" t="s">
        <v>2627</v>
      </c>
      <c r="B2871" t="s">
        <v>519</v>
      </c>
      <c r="C2871" t="s">
        <v>117</v>
      </c>
      <c r="D2871" t="str">
        <f>HYPERLINK("http://service.sap.com/sap/support/notes/1439703","1439703")</f>
        <v>1439703</v>
      </c>
      <c r="F2871" t="s">
        <v>2984</v>
      </c>
    </row>
    <row r="2872" spans="1:6">
      <c r="A2872" t="s">
        <v>2627</v>
      </c>
      <c r="B2872" t="s">
        <v>519</v>
      </c>
      <c r="C2872" t="s">
        <v>117</v>
      </c>
      <c r="D2872" t="str">
        <f>HYPERLINK("http://service.sap.com/sap/support/notes/1441986","1441986")</f>
        <v>1441986</v>
      </c>
      <c r="F2872" t="s">
        <v>2985</v>
      </c>
    </row>
    <row r="2873" spans="1:6">
      <c r="A2873" t="s">
        <v>2627</v>
      </c>
      <c r="B2873" t="s">
        <v>519</v>
      </c>
      <c r="C2873" t="s">
        <v>117</v>
      </c>
      <c r="D2873" t="str">
        <f>HYPERLINK("http://service.sap.com/sap/support/notes/1443389","1443389")</f>
        <v>1443389</v>
      </c>
      <c r="F2873" t="s">
        <v>2986</v>
      </c>
    </row>
    <row r="2874" spans="1:6">
      <c r="A2874" t="s">
        <v>2627</v>
      </c>
      <c r="B2874" t="s">
        <v>529</v>
      </c>
      <c r="C2874" t="s">
        <v>530</v>
      </c>
      <c r="D2874" t="str">
        <f>HYPERLINK("http://service.sap.com/sap/support/notes/1429370","1429370")</f>
        <v>1429370</v>
      </c>
      <c r="F2874" t="s">
        <v>2987</v>
      </c>
    </row>
    <row r="2875" spans="1:6">
      <c r="A2875" t="s">
        <v>2627</v>
      </c>
      <c r="B2875" t="s">
        <v>537</v>
      </c>
      <c r="C2875" t="s">
        <v>538</v>
      </c>
      <c r="D2875" t="str">
        <f>HYPERLINK("http://service.sap.com/sap/support/notes/1438984","1438984")</f>
        <v>1438984</v>
      </c>
      <c r="F2875" t="s">
        <v>2988</v>
      </c>
    </row>
    <row r="2876" spans="1:6">
      <c r="A2876" t="s">
        <v>2627</v>
      </c>
      <c r="B2876" t="s">
        <v>537</v>
      </c>
      <c r="C2876" t="s">
        <v>538</v>
      </c>
      <c r="D2876" t="str">
        <f>HYPERLINK("http://service.sap.com/sap/support/notes/1441307","1441307")</f>
        <v>1441307</v>
      </c>
      <c r="F2876" t="s">
        <v>2989</v>
      </c>
    </row>
    <row r="2877" spans="1:6">
      <c r="A2877" t="s">
        <v>2627</v>
      </c>
      <c r="B2877" t="s">
        <v>541</v>
      </c>
      <c r="C2877" t="s">
        <v>542</v>
      </c>
      <c r="D2877" t="str">
        <f>HYPERLINK("http://service.sap.com/sap/support/notes/1450128","1450128")</f>
        <v>1450128</v>
      </c>
      <c r="F2877" t="s">
        <v>2990</v>
      </c>
    </row>
    <row r="2878" spans="1:6">
      <c r="A2878" t="s">
        <v>2627</v>
      </c>
      <c r="B2878" t="s">
        <v>1914</v>
      </c>
      <c r="C2878" t="s">
        <v>1915</v>
      </c>
      <c r="D2878" t="str">
        <f>HYPERLINK("http://service.sap.com/sap/support/notes/1439071","1439071")</f>
        <v>1439071</v>
      </c>
      <c r="F2878" t="s">
        <v>2991</v>
      </c>
    </row>
    <row r="2879" spans="1:6">
      <c r="A2879" t="s">
        <v>2627</v>
      </c>
      <c r="B2879" t="s">
        <v>1914</v>
      </c>
      <c r="C2879" t="s">
        <v>1915</v>
      </c>
      <c r="D2879" t="str">
        <f>HYPERLINK("http://service.sap.com/sap/support/notes/1439901","1439901")</f>
        <v>1439901</v>
      </c>
      <c r="F2879" t="s">
        <v>2992</v>
      </c>
    </row>
    <row r="2880" spans="1:6">
      <c r="A2880" t="s">
        <v>2627</v>
      </c>
      <c r="B2880" t="s">
        <v>1914</v>
      </c>
      <c r="C2880" t="s">
        <v>1915</v>
      </c>
      <c r="D2880" t="str">
        <f>HYPERLINK("http://service.sap.com/sap/support/notes/1442084","1442084")</f>
        <v>1442084</v>
      </c>
      <c r="F2880" t="s">
        <v>2993</v>
      </c>
    </row>
    <row r="2881" spans="1:6">
      <c r="A2881" t="s">
        <v>2627</v>
      </c>
      <c r="B2881" t="s">
        <v>1914</v>
      </c>
      <c r="C2881" t="s">
        <v>1915</v>
      </c>
      <c r="D2881" t="str">
        <f>HYPERLINK("http://service.sap.com/sap/support/notes/1443669","1443669")</f>
        <v>1443669</v>
      </c>
      <c r="F2881" t="s">
        <v>2994</v>
      </c>
    </row>
    <row r="2882" spans="1:6">
      <c r="A2882" t="s">
        <v>2627</v>
      </c>
      <c r="B2882" t="s">
        <v>1914</v>
      </c>
      <c r="C2882" t="s">
        <v>1915</v>
      </c>
      <c r="D2882" t="str">
        <f>HYPERLINK("http://service.sap.com/sap/support/notes/1443753","1443753")</f>
        <v>1443753</v>
      </c>
      <c r="F2882" t="s">
        <v>2995</v>
      </c>
    </row>
    <row r="2883" spans="1:6">
      <c r="A2883" t="s">
        <v>2627</v>
      </c>
      <c r="B2883" t="s">
        <v>1914</v>
      </c>
      <c r="C2883" t="s">
        <v>1915</v>
      </c>
      <c r="D2883" t="str">
        <f>HYPERLINK("http://service.sap.com/sap/support/notes/1446333","1446333")</f>
        <v>1446333</v>
      </c>
      <c r="F2883" t="s">
        <v>2996</v>
      </c>
    </row>
    <row r="2884" spans="1:6">
      <c r="A2884" t="s">
        <v>2997</v>
      </c>
      <c r="B2884" t="s">
        <v>12</v>
      </c>
      <c r="C2884" t="s">
        <v>13</v>
      </c>
    </row>
    <row r="2885" spans="1:6">
      <c r="A2885" t="s">
        <v>2997</v>
      </c>
      <c r="B2885" t="s">
        <v>14</v>
      </c>
      <c r="C2885" t="s">
        <v>15</v>
      </c>
    </row>
    <row r="2886" spans="1:6">
      <c r="A2886" t="s">
        <v>2997</v>
      </c>
      <c r="B2886" t="s">
        <v>16</v>
      </c>
      <c r="C2886" t="s">
        <v>17</v>
      </c>
      <c r="D2886" t="str">
        <f>HYPERLINK("http://service.sap.com/sap/support/notes/1453231","1453231")</f>
        <v>1453231</v>
      </c>
      <c r="F2886" t="s">
        <v>2998</v>
      </c>
    </row>
    <row r="2887" spans="1:6">
      <c r="A2887" t="s">
        <v>2997</v>
      </c>
      <c r="B2887" t="s">
        <v>37</v>
      </c>
      <c r="C2887" t="s">
        <v>17</v>
      </c>
    </row>
    <row r="2888" spans="1:6">
      <c r="A2888" t="s">
        <v>2997</v>
      </c>
      <c r="B2888" t="s">
        <v>44</v>
      </c>
      <c r="C2888" t="s">
        <v>45</v>
      </c>
    </row>
    <row r="2889" spans="1:6">
      <c r="A2889" t="s">
        <v>2997</v>
      </c>
      <c r="B2889" t="s">
        <v>49</v>
      </c>
      <c r="C2889" t="s">
        <v>50</v>
      </c>
      <c r="D2889" t="str">
        <f>HYPERLINK("http://service.sap.com/sap/support/notes/1391564","1391564")</f>
        <v>1391564</v>
      </c>
      <c r="F2889" t="s">
        <v>2999</v>
      </c>
    </row>
    <row r="2890" spans="1:6">
      <c r="A2890" t="s">
        <v>2997</v>
      </c>
      <c r="B2890" t="s">
        <v>3000</v>
      </c>
      <c r="C2890" t="s">
        <v>353</v>
      </c>
      <c r="D2890" t="str">
        <f>HYPERLINK("http://service.sap.com/sap/support/notes/1452749","1452749")</f>
        <v>1452749</v>
      </c>
      <c r="F2890" t="s">
        <v>3001</v>
      </c>
    </row>
    <row r="2891" spans="1:6">
      <c r="A2891" t="s">
        <v>2997</v>
      </c>
      <c r="B2891" t="s">
        <v>75</v>
      </c>
      <c r="C2891" t="s">
        <v>76</v>
      </c>
    </row>
    <row r="2892" spans="1:6">
      <c r="A2892" t="s">
        <v>2997</v>
      </c>
      <c r="B2892" t="s">
        <v>79</v>
      </c>
      <c r="C2892" t="s">
        <v>80</v>
      </c>
      <c r="D2892" t="str">
        <f>HYPERLINK("http://service.sap.com/sap/support/notes/1333011","1333011")</f>
        <v>1333011</v>
      </c>
      <c r="F2892" t="s">
        <v>2640</v>
      </c>
    </row>
    <row r="2893" spans="1:6">
      <c r="A2893" t="s">
        <v>2997</v>
      </c>
      <c r="B2893" t="s">
        <v>79</v>
      </c>
      <c r="C2893" t="s">
        <v>80</v>
      </c>
      <c r="D2893" t="str">
        <f>HYPERLINK("http://service.sap.com/sap/support/notes/1429488","1429488")</f>
        <v>1429488</v>
      </c>
      <c r="F2893" t="s">
        <v>3002</v>
      </c>
    </row>
    <row r="2894" spans="1:6">
      <c r="A2894" t="s">
        <v>2997</v>
      </c>
      <c r="B2894" t="s">
        <v>79</v>
      </c>
      <c r="C2894" t="s">
        <v>80</v>
      </c>
      <c r="D2894" t="str">
        <f>HYPERLINK("http://service.sap.com/sap/support/notes/1440350","1440350")</f>
        <v>1440350</v>
      </c>
      <c r="F2894" t="s">
        <v>2643</v>
      </c>
    </row>
    <row r="2895" spans="1:6">
      <c r="A2895" t="s">
        <v>2997</v>
      </c>
      <c r="B2895" t="s">
        <v>79</v>
      </c>
      <c r="C2895" t="s">
        <v>80</v>
      </c>
      <c r="D2895" t="str">
        <f>HYPERLINK("http://service.sap.com/sap/support/notes/1445332","1445332")</f>
        <v>1445332</v>
      </c>
      <c r="F2895" t="s">
        <v>3003</v>
      </c>
    </row>
    <row r="2896" spans="1:6">
      <c r="A2896" t="s">
        <v>2997</v>
      </c>
      <c r="B2896" t="s">
        <v>79</v>
      </c>
      <c r="C2896" t="s">
        <v>80</v>
      </c>
      <c r="D2896" t="str">
        <f>HYPERLINK("http://service.sap.com/sap/support/notes/1449576","1449576")</f>
        <v>1449576</v>
      </c>
      <c r="F2896" t="s">
        <v>3004</v>
      </c>
    </row>
    <row r="2897" spans="1:6">
      <c r="A2897" t="s">
        <v>2997</v>
      </c>
      <c r="B2897" t="s">
        <v>79</v>
      </c>
      <c r="C2897" t="s">
        <v>80</v>
      </c>
      <c r="D2897" t="str">
        <f>HYPERLINK("http://service.sap.com/sap/support/notes/1451003","1451003")</f>
        <v>1451003</v>
      </c>
      <c r="F2897" t="s">
        <v>3005</v>
      </c>
    </row>
    <row r="2898" spans="1:6">
      <c r="A2898" t="s">
        <v>2997</v>
      </c>
      <c r="B2898" t="s">
        <v>79</v>
      </c>
      <c r="C2898" t="s">
        <v>80</v>
      </c>
      <c r="D2898" t="str">
        <f>HYPERLINK("http://service.sap.com/sap/support/notes/1451339","1451339")</f>
        <v>1451339</v>
      </c>
      <c r="F2898" t="s">
        <v>3006</v>
      </c>
    </row>
    <row r="2899" spans="1:6">
      <c r="A2899" t="s">
        <v>2997</v>
      </c>
      <c r="B2899" t="s">
        <v>79</v>
      </c>
      <c r="C2899" t="s">
        <v>80</v>
      </c>
      <c r="D2899" t="str">
        <f>HYPERLINK("http://service.sap.com/sap/support/notes/1454533","1454533")</f>
        <v>1454533</v>
      </c>
      <c r="F2899" t="s">
        <v>3007</v>
      </c>
    </row>
    <row r="2900" spans="1:6">
      <c r="A2900" t="s">
        <v>2997</v>
      </c>
      <c r="B2900" t="s">
        <v>79</v>
      </c>
      <c r="C2900" t="s">
        <v>80</v>
      </c>
      <c r="D2900" t="str">
        <f>HYPERLINK("http://service.sap.com/sap/support/notes/1456273","1456273")</f>
        <v>1456273</v>
      </c>
      <c r="F2900" t="s">
        <v>3008</v>
      </c>
    </row>
    <row r="2901" spans="1:6">
      <c r="A2901" t="s">
        <v>2997</v>
      </c>
      <c r="B2901" t="s">
        <v>79</v>
      </c>
      <c r="C2901" t="s">
        <v>80</v>
      </c>
      <c r="D2901" t="str">
        <f>HYPERLINK("http://service.sap.com/sap/support/notes/1459891","1459891")</f>
        <v>1459891</v>
      </c>
      <c r="F2901" t="s">
        <v>3009</v>
      </c>
    </row>
    <row r="2902" spans="1:6">
      <c r="A2902" t="s">
        <v>2997</v>
      </c>
      <c r="B2902" t="s">
        <v>79</v>
      </c>
      <c r="C2902" t="s">
        <v>80</v>
      </c>
      <c r="D2902" t="str">
        <f>HYPERLINK("http://service.sap.com/sap/support/notes/1460946","1460946")</f>
        <v>1460946</v>
      </c>
      <c r="F2902" t="s">
        <v>3010</v>
      </c>
    </row>
    <row r="2903" spans="1:6">
      <c r="A2903" t="s">
        <v>2997</v>
      </c>
      <c r="B2903" t="s">
        <v>1943</v>
      </c>
      <c r="C2903" t="s">
        <v>1944</v>
      </c>
      <c r="D2903" t="str">
        <f>HYPERLINK("http://service.sap.com/sap/support/notes/1317950","1317950")</f>
        <v>1317950</v>
      </c>
      <c r="F2903" t="s">
        <v>3011</v>
      </c>
    </row>
    <row r="2904" spans="1:6">
      <c r="A2904" t="s">
        <v>2997</v>
      </c>
      <c r="B2904" t="s">
        <v>665</v>
      </c>
      <c r="C2904" t="s">
        <v>425</v>
      </c>
      <c r="D2904" t="str">
        <f>HYPERLINK("http://service.sap.com/sap/support/notes/448307","448307")</f>
        <v>448307</v>
      </c>
      <c r="F2904" t="s">
        <v>666</v>
      </c>
    </row>
    <row r="2905" spans="1:6">
      <c r="A2905" t="s">
        <v>2997</v>
      </c>
      <c r="B2905" t="s">
        <v>667</v>
      </c>
      <c r="C2905" t="s">
        <v>442</v>
      </c>
      <c r="D2905" t="str">
        <f>HYPERLINK("http://service.sap.com/sap/support/notes/1449437","1449437")</f>
        <v>1449437</v>
      </c>
      <c r="F2905" t="s">
        <v>3012</v>
      </c>
    </row>
    <row r="2906" spans="1:6">
      <c r="A2906" t="s">
        <v>2997</v>
      </c>
      <c r="B2906" t="s">
        <v>667</v>
      </c>
      <c r="C2906" t="s">
        <v>442</v>
      </c>
      <c r="D2906" t="str">
        <f>HYPERLINK("http://service.sap.com/sap/support/notes/1455279","1455279")</f>
        <v>1455279</v>
      </c>
      <c r="F2906" t="s">
        <v>3013</v>
      </c>
    </row>
    <row r="2907" spans="1:6">
      <c r="A2907" t="s">
        <v>2997</v>
      </c>
      <c r="B2907" t="s">
        <v>667</v>
      </c>
      <c r="C2907" t="s">
        <v>442</v>
      </c>
      <c r="D2907" t="str">
        <f>HYPERLINK("http://service.sap.com/sap/support/notes/1456067","1456067")</f>
        <v>1456067</v>
      </c>
      <c r="F2907" t="s">
        <v>3014</v>
      </c>
    </row>
    <row r="2908" spans="1:6">
      <c r="A2908" t="s">
        <v>2997</v>
      </c>
      <c r="B2908" t="s">
        <v>667</v>
      </c>
      <c r="C2908" t="s">
        <v>442</v>
      </c>
      <c r="D2908" t="str">
        <f>HYPERLINK("http://service.sap.com/sap/support/notes/1457437","1457437")</f>
        <v>1457437</v>
      </c>
      <c r="F2908" t="s">
        <v>3015</v>
      </c>
    </row>
    <row r="2909" spans="1:6">
      <c r="A2909" t="s">
        <v>2997</v>
      </c>
      <c r="B2909" t="s">
        <v>667</v>
      </c>
      <c r="C2909" t="s">
        <v>442</v>
      </c>
      <c r="D2909" t="str">
        <f>HYPERLINK("http://service.sap.com/sap/support/notes/1457881","1457881")</f>
        <v>1457881</v>
      </c>
      <c r="F2909" t="s">
        <v>3016</v>
      </c>
    </row>
    <row r="2910" spans="1:6">
      <c r="A2910" t="s">
        <v>2997</v>
      </c>
      <c r="B2910" t="s">
        <v>667</v>
      </c>
      <c r="C2910" t="s">
        <v>442</v>
      </c>
      <c r="D2910" t="str">
        <f>HYPERLINK("http://service.sap.com/sap/support/notes/1458429","1458429")</f>
        <v>1458429</v>
      </c>
      <c r="F2910" t="s">
        <v>3017</v>
      </c>
    </row>
    <row r="2911" spans="1:6">
      <c r="A2911" t="s">
        <v>2997</v>
      </c>
      <c r="B2911" t="s">
        <v>667</v>
      </c>
      <c r="C2911" t="s">
        <v>442</v>
      </c>
      <c r="D2911" t="str">
        <f>HYPERLINK("http://service.sap.com/sap/support/notes/1458810","1458810")</f>
        <v>1458810</v>
      </c>
      <c r="F2911" t="s">
        <v>3018</v>
      </c>
    </row>
    <row r="2912" spans="1:6">
      <c r="A2912" t="s">
        <v>2997</v>
      </c>
      <c r="B2912" t="s">
        <v>86</v>
      </c>
      <c r="C2912" t="s">
        <v>87</v>
      </c>
      <c r="D2912" t="str">
        <f>HYPERLINK("http://service.sap.com/sap/support/notes/1450535","1450535")</f>
        <v>1450535</v>
      </c>
      <c r="F2912" t="s">
        <v>3019</v>
      </c>
    </row>
    <row r="2913" spans="1:6">
      <c r="A2913" t="s">
        <v>2997</v>
      </c>
      <c r="B2913" t="s">
        <v>86</v>
      </c>
      <c r="C2913" t="s">
        <v>87</v>
      </c>
      <c r="D2913" t="str">
        <f>HYPERLINK("http://service.sap.com/sap/support/notes/1451637","1451637")</f>
        <v>1451637</v>
      </c>
      <c r="F2913" t="s">
        <v>3020</v>
      </c>
    </row>
    <row r="2914" spans="1:6">
      <c r="A2914" t="s">
        <v>2997</v>
      </c>
      <c r="B2914" t="s">
        <v>86</v>
      </c>
      <c r="C2914" t="s">
        <v>87</v>
      </c>
      <c r="D2914" t="str">
        <f>HYPERLINK("http://service.sap.com/sap/support/notes/1460782","1460782")</f>
        <v>1460782</v>
      </c>
      <c r="F2914" t="s">
        <v>3021</v>
      </c>
    </row>
    <row r="2915" spans="1:6">
      <c r="A2915" t="s">
        <v>2997</v>
      </c>
      <c r="B2915" t="s">
        <v>92</v>
      </c>
      <c r="C2915" t="s">
        <v>93</v>
      </c>
      <c r="D2915" t="str">
        <f>HYPERLINK("http://service.sap.com/sap/support/notes/1437538","1437538")</f>
        <v>1437538</v>
      </c>
      <c r="F2915" t="s">
        <v>3022</v>
      </c>
    </row>
    <row r="2916" spans="1:6">
      <c r="A2916" t="s">
        <v>2997</v>
      </c>
      <c r="B2916" t="s">
        <v>92</v>
      </c>
      <c r="C2916" t="s">
        <v>93</v>
      </c>
      <c r="D2916" t="str">
        <f>HYPERLINK("http://service.sap.com/sap/support/notes/1460641","1460641")</f>
        <v>1460641</v>
      </c>
      <c r="F2916" t="s">
        <v>3023</v>
      </c>
    </row>
    <row r="2917" spans="1:6">
      <c r="A2917" t="s">
        <v>2997</v>
      </c>
      <c r="B2917" t="s">
        <v>99</v>
      </c>
      <c r="C2917" t="s">
        <v>100</v>
      </c>
      <c r="D2917" t="str">
        <f>HYPERLINK("http://service.sap.com/sap/support/notes/960754","960754")</f>
        <v>960754</v>
      </c>
      <c r="F2917" t="s">
        <v>684</v>
      </c>
    </row>
    <row r="2918" spans="1:6">
      <c r="A2918" t="s">
        <v>2997</v>
      </c>
      <c r="B2918" t="s">
        <v>99</v>
      </c>
      <c r="C2918" t="s">
        <v>100</v>
      </c>
      <c r="D2918" t="str">
        <f>HYPERLINK("http://service.sap.com/sap/support/notes/1434735","1434735")</f>
        <v>1434735</v>
      </c>
      <c r="F2918" t="s">
        <v>2297</v>
      </c>
    </row>
    <row r="2919" spans="1:6">
      <c r="A2919" t="s">
        <v>2997</v>
      </c>
      <c r="B2919" t="s">
        <v>99</v>
      </c>
      <c r="C2919" t="s">
        <v>100</v>
      </c>
      <c r="D2919" t="str">
        <f>HYPERLINK("http://service.sap.com/sap/support/notes/1452732","1452732")</f>
        <v>1452732</v>
      </c>
      <c r="F2919" t="s">
        <v>3024</v>
      </c>
    </row>
    <row r="2920" spans="1:6">
      <c r="A2920" t="s">
        <v>2997</v>
      </c>
      <c r="B2920" t="s">
        <v>99</v>
      </c>
      <c r="C2920" t="s">
        <v>100</v>
      </c>
      <c r="D2920" t="str">
        <f>HYPERLINK("http://service.sap.com/sap/support/notes/1454742","1454742")</f>
        <v>1454742</v>
      </c>
      <c r="F2920" t="s">
        <v>3025</v>
      </c>
    </row>
    <row r="2921" spans="1:6">
      <c r="A2921" t="s">
        <v>2997</v>
      </c>
      <c r="B2921" t="s">
        <v>99</v>
      </c>
      <c r="C2921" t="s">
        <v>100</v>
      </c>
      <c r="D2921" t="str">
        <f>HYPERLINK("http://service.sap.com/sap/support/notes/1455329","1455329")</f>
        <v>1455329</v>
      </c>
      <c r="F2921" t="s">
        <v>3026</v>
      </c>
    </row>
    <row r="2922" spans="1:6">
      <c r="A2922" t="s">
        <v>2997</v>
      </c>
      <c r="B2922" t="s">
        <v>99</v>
      </c>
      <c r="C2922" t="s">
        <v>100</v>
      </c>
      <c r="D2922" t="str">
        <f>HYPERLINK("http://service.sap.com/sap/support/notes/1455424","1455424")</f>
        <v>1455424</v>
      </c>
      <c r="F2922" t="s">
        <v>3027</v>
      </c>
    </row>
    <row r="2923" spans="1:6">
      <c r="A2923" t="s">
        <v>2997</v>
      </c>
      <c r="B2923" t="s">
        <v>99</v>
      </c>
      <c r="C2923" t="s">
        <v>100</v>
      </c>
      <c r="D2923" t="str">
        <f>HYPERLINK("http://service.sap.com/sap/support/notes/1456181","1456181")</f>
        <v>1456181</v>
      </c>
      <c r="F2923" t="s">
        <v>3028</v>
      </c>
    </row>
    <row r="2924" spans="1:6">
      <c r="A2924" t="s">
        <v>2997</v>
      </c>
      <c r="B2924" t="s">
        <v>99</v>
      </c>
      <c r="C2924" t="s">
        <v>100</v>
      </c>
      <c r="D2924" t="str">
        <f>HYPERLINK("http://service.sap.com/sap/support/notes/1456198","1456198")</f>
        <v>1456198</v>
      </c>
      <c r="F2924" t="s">
        <v>3029</v>
      </c>
    </row>
    <row r="2925" spans="1:6">
      <c r="A2925" t="s">
        <v>2997</v>
      </c>
      <c r="B2925" t="s">
        <v>99</v>
      </c>
      <c r="C2925" t="s">
        <v>100</v>
      </c>
      <c r="D2925" t="str">
        <f>HYPERLINK("http://service.sap.com/sap/support/notes/1457381","1457381")</f>
        <v>1457381</v>
      </c>
      <c r="F2925" t="s">
        <v>3030</v>
      </c>
    </row>
    <row r="2926" spans="1:6">
      <c r="A2926" t="s">
        <v>2997</v>
      </c>
      <c r="B2926" t="s">
        <v>99</v>
      </c>
      <c r="C2926" t="s">
        <v>100</v>
      </c>
      <c r="D2926" t="str">
        <f>HYPERLINK("http://service.sap.com/sap/support/notes/1459394","1459394")</f>
        <v>1459394</v>
      </c>
      <c r="F2926" t="s">
        <v>3031</v>
      </c>
    </row>
    <row r="2927" spans="1:6">
      <c r="A2927" t="s">
        <v>2997</v>
      </c>
      <c r="B2927" t="s">
        <v>116</v>
      </c>
      <c r="C2927" t="s">
        <v>117</v>
      </c>
      <c r="D2927" t="str">
        <f>HYPERLINK("http://service.sap.com/sap/support/notes/1409522","1409522")</f>
        <v>1409522</v>
      </c>
      <c r="F2927" t="s">
        <v>712</v>
      </c>
    </row>
    <row r="2928" spans="1:6">
      <c r="A2928" t="s">
        <v>2997</v>
      </c>
      <c r="B2928" t="s">
        <v>128</v>
      </c>
      <c r="C2928" t="s">
        <v>129</v>
      </c>
    </row>
    <row r="2929" spans="1:6">
      <c r="A2929" t="s">
        <v>2997</v>
      </c>
      <c r="B2929" t="s">
        <v>3032</v>
      </c>
      <c r="C2929" t="s">
        <v>3033</v>
      </c>
      <c r="D2929" t="str">
        <f>HYPERLINK("http://service.sap.com/sap/support/notes/1457052","1457052")</f>
        <v>1457052</v>
      </c>
      <c r="F2929" t="s">
        <v>3034</v>
      </c>
    </row>
    <row r="2930" spans="1:6">
      <c r="A2930" t="s">
        <v>2997</v>
      </c>
      <c r="B2930" t="s">
        <v>130</v>
      </c>
      <c r="C2930" t="s">
        <v>131</v>
      </c>
      <c r="D2930" t="str">
        <f>HYPERLINK("http://service.sap.com/sap/support/notes/1450959","1450959")</f>
        <v>1450959</v>
      </c>
      <c r="F2930" t="s">
        <v>3035</v>
      </c>
    </row>
    <row r="2931" spans="1:6">
      <c r="A2931" t="s">
        <v>2997</v>
      </c>
      <c r="B2931" t="s">
        <v>130</v>
      </c>
      <c r="C2931" t="s">
        <v>131</v>
      </c>
      <c r="D2931" t="str">
        <f>HYPERLINK("http://service.sap.com/sap/support/notes/1453333","1453333")</f>
        <v>1453333</v>
      </c>
      <c r="F2931" t="s">
        <v>3036</v>
      </c>
    </row>
    <row r="2932" spans="1:6">
      <c r="A2932" t="s">
        <v>2997</v>
      </c>
      <c r="B2932" t="s">
        <v>130</v>
      </c>
      <c r="C2932" t="s">
        <v>131</v>
      </c>
      <c r="D2932" t="str">
        <f>HYPERLINK("http://service.sap.com/sap/support/notes/1461168","1461168")</f>
        <v>1461168</v>
      </c>
      <c r="F2932" t="s">
        <v>3037</v>
      </c>
    </row>
    <row r="2933" spans="1:6">
      <c r="A2933" t="s">
        <v>2997</v>
      </c>
      <c r="B2933" t="s">
        <v>134</v>
      </c>
      <c r="C2933" t="s">
        <v>135</v>
      </c>
      <c r="D2933" t="str">
        <f>HYPERLINK("http://service.sap.com/sap/support/notes/1452868","1452868")</f>
        <v>1452868</v>
      </c>
      <c r="F2933" t="s">
        <v>3038</v>
      </c>
    </row>
    <row r="2934" spans="1:6">
      <c r="A2934" t="s">
        <v>2997</v>
      </c>
      <c r="B2934" t="s">
        <v>137</v>
      </c>
      <c r="C2934" t="s">
        <v>138</v>
      </c>
    </row>
    <row r="2935" spans="1:6">
      <c r="A2935" t="s">
        <v>2997</v>
      </c>
      <c r="B2935" t="s">
        <v>1537</v>
      </c>
      <c r="C2935" t="s">
        <v>1538</v>
      </c>
      <c r="D2935" t="str">
        <f>HYPERLINK("http://service.sap.com/sap/support/notes/1452776","1452776")</f>
        <v>1452776</v>
      </c>
      <c r="F2935" t="s">
        <v>3039</v>
      </c>
    </row>
    <row r="2936" spans="1:6">
      <c r="A2936" t="s">
        <v>2997</v>
      </c>
      <c r="B2936" t="s">
        <v>146</v>
      </c>
      <c r="C2936" t="s">
        <v>147</v>
      </c>
    </row>
    <row r="2937" spans="1:6">
      <c r="A2937" t="s">
        <v>2997</v>
      </c>
      <c r="B2937" t="s">
        <v>148</v>
      </c>
      <c r="C2937" t="s">
        <v>149</v>
      </c>
      <c r="D2937" t="str">
        <f>HYPERLINK("http://service.sap.com/sap/support/notes/1419597","1419597")</f>
        <v>1419597</v>
      </c>
      <c r="F2937" t="s">
        <v>3040</v>
      </c>
    </row>
    <row r="2938" spans="1:6">
      <c r="A2938" t="s">
        <v>2997</v>
      </c>
      <c r="B2938" t="s">
        <v>148</v>
      </c>
      <c r="C2938" t="s">
        <v>149</v>
      </c>
      <c r="D2938" t="str">
        <f>HYPERLINK("http://service.sap.com/sap/support/notes/1452540","1452540")</f>
        <v>1452540</v>
      </c>
      <c r="F2938" t="s">
        <v>3041</v>
      </c>
    </row>
    <row r="2939" spans="1:6">
      <c r="A2939" t="s">
        <v>2997</v>
      </c>
      <c r="B2939" t="s">
        <v>148</v>
      </c>
      <c r="C2939" t="s">
        <v>149</v>
      </c>
      <c r="D2939" t="str">
        <f>HYPERLINK("http://service.sap.com/sap/support/notes/1457280","1457280")</f>
        <v>1457280</v>
      </c>
      <c r="F2939" t="s">
        <v>3042</v>
      </c>
    </row>
    <row r="2940" spans="1:6">
      <c r="A2940" t="s">
        <v>2997</v>
      </c>
      <c r="B2940" t="s">
        <v>158</v>
      </c>
      <c r="C2940" t="s">
        <v>159</v>
      </c>
    </row>
    <row r="2941" spans="1:6">
      <c r="A2941" t="s">
        <v>2997</v>
      </c>
      <c r="B2941" t="s">
        <v>160</v>
      </c>
      <c r="C2941" t="s">
        <v>47</v>
      </c>
      <c r="D2941" t="str">
        <f>HYPERLINK("http://service.sap.com/sap/support/notes/1416706","1416706")</f>
        <v>1416706</v>
      </c>
      <c r="F2941" t="s">
        <v>3043</v>
      </c>
    </row>
    <row r="2942" spans="1:6">
      <c r="A2942" t="s">
        <v>2997</v>
      </c>
      <c r="B2942" t="s">
        <v>160</v>
      </c>
      <c r="C2942" t="s">
        <v>47</v>
      </c>
      <c r="D2942" t="str">
        <f>HYPERLINK("http://service.sap.com/sap/support/notes/1442326","1442326")</f>
        <v>1442326</v>
      </c>
      <c r="F2942" t="s">
        <v>3044</v>
      </c>
    </row>
    <row r="2943" spans="1:6">
      <c r="A2943" t="s">
        <v>2997</v>
      </c>
      <c r="B2943" t="s">
        <v>160</v>
      </c>
      <c r="C2943" t="s">
        <v>47</v>
      </c>
      <c r="D2943" t="str">
        <f>HYPERLINK("http://service.sap.com/sap/support/notes/1452079","1452079")</f>
        <v>1452079</v>
      </c>
      <c r="F2943" t="s">
        <v>3045</v>
      </c>
    </row>
    <row r="2944" spans="1:6">
      <c r="A2944" t="s">
        <v>2997</v>
      </c>
      <c r="B2944" t="s">
        <v>160</v>
      </c>
      <c r="C2944" t="s">
        <v>47</v>
      </c>
      <c r="D2944" t="str">
        <f>HYPERLINK("http://service.sap.com/sap/support/notes/1453140","1453140")</f>
        <v>1453140</v>
      </c>
      <c r="F2944" t="s">
        <v>3046</v>
      </c>
    </row>
    <row r="2945" spans="1:6">
      <c r="A2945" t="s">
        <v>2997</v>
      </c>
      <c r="B2945" t="s">
        <v>160</v>
      </c>
      <c r="C2945" t="s">
        <v>47</v>
      </c>
      <c r="D2945" t="str">
        <f>HYPERLINK("http://service.sap.com/sap/support/notes/1455090","1455090")</f>
        <v>1455090</v>
      </c>
      <c r="F2945" t="s">
        <v>3047</v>
      </c>
    </row>
    <row r="2946" spans="1:6">
      <c r="A2946" t="s">
        <v>2997</v>
      </c>
      <c r="B2946" t="s">
        <v>160</v>
      </c>
      <c r="C2946" t="s">
        <v>47</v>
      </c>
      <c r="D2946" t="str">
        <f>HYPERLINK("http://service.sap.com/sap/support/notes/1455304","1455304")</f>
        <v>1455304</v>
      </c>
      <c r="F2946" t="s">
        <v>3048</v>
      </c>
    </row>
    <row r="2947" spans="1:6">
      <c r="A2947" t="s">
        <v>2997</v>
      </c>
      <c r="B2947" t="s">
        <v>160</v>
      </c>
      <c r="C2947" t="s">
        <v>47</v>
      </c>
      <c r="D2947" t="str">
        <f>HYPERLINK("http://service.sap.com/sap/support/notes/1455533","1455533")</f>
        <v>1455533</v>
      </c>
      <c r="F2947" t="s">
        <v>3049</v>
      </c>
    </row>
    <row r="2948" spans="1:6">
      <c r="A2948" t="s">
        <v>2997</v>
      </c>
      <c r="B2948" t="s">
        <v>160</v>
      </c>
      <c r="C2948" t="s">
        <v>47</v>
      </c>
      <c r="D2948" t="str">
        <f>HYPERLINK("http://service.sap.com/sap/support/notes/1455963","1455963")</f>
        <v>1455963</v>
      </c>
      <c r="F2948" t="s">
        <v>3050</v>
      </c>
    </row>
    <row r="2949" spans="1:6">
      <c r="A2949" t="s">
        <v>2997</v>
      </c>
      <c r="B2949" t="s">
        <v>160</v>
      </c>
      <c r="C2949" t="s">
        <v>47</v>
      </c>
      <c r="D2949" t="str">
        <f>HYPERLINK("http://service.sap.com/sap/support/notes/1456918","1456918")</f>
        <v>1456918</v>
      </c>
      <c r="F2949" t="s">
        <v>3051</v>
      </c>
    </row>
    <row r="2950" spans="1:6">
      <c r="A2950" t="s">
        <v>2997</v>
      </c>
      <c r="B2950" t="s">
        <v>160</v>
      </c>
      <c r="C2950" t="s">
        <v>47</v>
      </c>
      <c r="D2950" t="str">
        <f>HYPERLINK("http://service.sap.com/sap/support/notes/1457221","1457221")</f>
        <v>1457221</v>
      </c>
      <c r="F2950" t="s">
        <v>3052</v>
      </c>
    </row>
    <row r="2951" spans="1:6">
      <c r="A2951" t="s">
        <v>2997</v>
      </c>
      <c r="B2951" t="s">
        <v>160</v>
      </c>
      <c r="C2951" t="s">
        <v>47</v>
      </c>
      <c r="D2951" t="str">
        <f>HYPERLINK("http://service.sap.com/sap/support/notes/1458843","1458843")</f>
        <v>1458843</v>
      </c>
      <c r="F2951" t="s">
        <v>3053</v>
      </c>
    </row>
    <row r="2952" spans="1:6">
      <c r="A2952" t="s">
        <v>2997</v>
      </c>
      <c r="B2952" t="s">
        <v>160</v>
      </c>
      <c r="C2952" t="s">
        <v>47</v>
      </c>
      <c r="D2952" t="str">
        <f>HYPERLINK("http://service.sap.com/sap/support/notes/1459618","1459618")</f>
        <v>1459618</v>
      </c>
      <c r="F2952" t="s">
        <v>3054</v>
      </c>
    </row>
    <row r="2953" spans="1:6">
      <c r="A2953" t="s">
        <v>2997</v>
      </c>
      <c r="B2953" t="s">
        <v>166</v>
      </c>
      <c r="C2953" t="s">
        <v>50</v>
      </c>
      <c r="D2953" t="str">
        <f>HYPERLINK("http://service.sap.com/sap/support/notes/1437496","1437496")</f>
        <v>1437496</v>
      </c>
      <c r="F2953" t="s">
        <v>3055</v>
      </c>
    </row>
    <row r="2954" spans="1:6">
      <c r="A2954" t="s">
        <v>2997</v>
      </c>
      <c r="B2954" t="s">
        <v>166</v>
      </c>
      <c r="C2954" t="s">
        <v>50</v>
      </c>
      <c r="D2954" t="str">
        <f>HYPERLINK("http://service.sap.com/sap/support/notes/1441766","1441766")</f>
        <v>1441766</v>
      </c>
      <c r="F2954" t="s">
        <v>3056</v>
      </c>
    </row>
    <row r="2955" spans="1:6">
      <c r="A2955" t="s">
        <v>2997</v>
      </c>
      <c r="B2955" t="s">
        <v>166</v>
      </c>
      <c r="C2955" t="s">
        <v>50</v>
      </c>
      <c r="D2955" t="str">
        <f>HYPERLINK("http://service.sap.com/sap/support/notes/1444109","1444109")</f>
        <v>1444109</v>
      </c>
      <c r="F2955" t="s">
        <v>3057</v>
      </c>
    </row>
    <row r="2956" spans="1:6">
      <c r="A2956" t="s">
        <v>2997</v>
      </c>
      <c r="B2956" t="s">
        <v>166</v>
      </c>
      <c r="C2956" t="s">
        <v>50</v>
      </c>
      <c r="D2956" t="str">
        <f>HYPERLINK("http://service.sap.com/sap/support/notes/1451899","1451899")</f>
        <v>1451899</v>
      </c>
      <c r="F2956" t="s">
        <v>3058</v>
      </c>
    </row>
    <row r="2957" spans="1:6">
      <c r="A2957" t="s">
        <v>2997</v>
      </c>
      <c r="B2957" t="s">
        <v>166</v>
      </c>
      <c r="C2957" t="s">
        <v>50</v>
      </c>
      <c r="D2957" t="str">
        <f>HYPERLINK("http://service.sap.com/sap/support/notes/1457755","1457755")</f>
        <v>1457755</v>
      </c>
      <c r="F2957" t="s">
        <v>3059</v>
      </c>
    </row>
    <row r="2958" spans="1:6">
      <c r="A2958" t="s">
        <v>2997</v>
      </c>
      <c r="B2958" t="s">
        <v>166</v>
      </c>
      <c r="C2958" t="s">
        <v>50</v>
      </c>
      <c r="D2958" t="str">
        <f>HYPERLINK("http://service.sap.com/sap/support/notes/1458059","1458059")</f>
        <v>1458059</v>
      </c>
      <c r="F2958" t="s">
        <v>3060</v>
      </c>
    </row>
    <row r="2959" spans="1:6">
      <c r="A2959" t="s">
        <v>2997</v>
      </c>
      <c r="B2959" t="s">
        <v>941</v>
      </c>
      <c r="C2959" t="s">
        <v>189</v>
      </c>
      <c r="D2959" t="str">
        <f>HYPERLINK("http://service.sap.com/sap/support/notes/1452285","1452285")</f>
        <v>1452285</v>
      </c>
      <c r="F2959" t="s">
        <v>3061</v>
      </c>
    </row>
    <row r="2960" spans="1:6">
      <c r="A2960" t="s">
        <v>2997</v>
      </c>
      <c r="B2960" t="s">
        <v>941</v>
      </c>
      <c r="C2960" t="s">
        <v>189</v>
      </c>
      <c r="D2960" t="str">
        <f>HYPERLINK("http://service.sap.com/sap/support/notes/1456141","1456141")</f>
        <v>1456141</v>
      </c>
      <c r="F2960" t="s">
        <v>3062</v>
      </c>
    </row>
    <row r="2961" spans="1:6">
      <c r="A2961" t="s">
        <v>2997</v>
      </c>
      <c r="B2961" t="s">
        <v>941</v>
      </c>
      <c r="C2961" t="s">
        <v>189</v>
      </c>
      <c r="D2961" t="str">
        <f>HYPERLINK("http://service.sap.com/sap/support/notes/1460631","1460631")</f>
        <v>1460631</v>
      </c>
      <c r="F2961" t="s">
        <v>3063</v>
      </c>
    </row>
    <row r="2962" spans="1:6">
      <c r="A2962" t="s">
        <v>2997</v>
      </c>
      <c r="B2962" t="s">
        <v>174</v>
      </c>
      <c r="C2962" t="s">
        <v>175</v>
      </c>
      <c r="D2962" t="str">
        <f>HYPERLINK("http://service.sap.com/sap/support/notes/1403193","1403193")</f>
        <v>1403193</v>
      </c>
      <c r="F2962" t="s">
        <v>3064</v>
      </c>
    </row>
    <row r="2963" spans="1:6">
      <c r="A2963" t="s">
        <v>2997</v>
      </c>
      <c r="B2963" t="s">
        <v>174</v>
      </c>
      <c r="C2963" t="s">
        <v>175</v>
      </c>
      <c r="D2963" t="str">
        <f>HYPERLINK("http://service.sap.com/sap/support/notes/1450472","1450472")</f>
        <v>1450472</v>
      </c>
      <c r="F2963" t="s">
        <v>3065</v>
      </c>
    </row>
    <row r="2964" spans="1:6">
      <c r="A2964" t="s">
        <v>2997</v>
      </c>
      <c r="B2964" t="s">
        <v>174</v>
      </c>
      <c r="C2964" t="s">
        <v>175</v>
      </c>
      <c r="D2964" t="str">
        <f>HYPERLINK("http://service.sap.com/sap/support/notes/1450557","1450557")</f>
        <v>1450557</v>
      </c>
      <c r="F2964" t="s">
        <v>3066</v>
      </c>
    </row>
    <row r="2965" spans="1:6">
      <c r="A2965" t="s">
        <v>2997</v>
      </c>
      <c r="B2965" t="s">
        <v>174</v>
      </c>
      <c r="C2965" t="s">
        <v>175</v>
      </c>
      <c r="D2965" t="str">
        <f>HYPERLINK("http://service.sap.com/sap/support/notes/1451440","1451440")</f>
        <v>1451440</v>
      </c>
      <c r="F2965" t="s">
        <v>3067</v>
      </c>
    </row>
    <row r="2966" spans="1:6">
      <c r="A2966" t="s">
        <v>2997</v>
      </c>
      <c r="B2966" t="s">
        <v>174</v>
      </c>
      <c r="C2966" t="s">
        <v>175</v>
      </c>
      <c r="D2966" t="str">
        <f>HYPERLINK("http://service.sap.com/sap/support/notes/1452302","1452302")</f>
        <v>1452302</v>
      </c>
      <c r="F2966" t="s">
        <v>3068</v>
      </c>
    </row>
    <row r="2967" spans="1:6">
      <c r="A2967" t="s">
        <v>2997</v>
      </c>
      <c r="B2967" t="s">
        <v>174</v>
      </c>
      <c r="C2967" t="s">
        <v>175</v>
      </c>
      <c r="D2967" t="str">
        <f>HYPERLINK("http://service.sap.com/sap/support/notes/1453441","1453441")</f>
        <v>1453441</v>
      </c>
      <c r="F2967" t="s">
        <v>3069</v>
      </c>
    </row>
    <row r="2968" spans="1:6">
      <c r="A2968" t="s">
        <v>2997</v>
      </c>
      <c r="B2968" t="s">
        <v>174</v>
      </c>
      <c r="C2968" t="s">
        <v>175</v>
      </c>
      <c r="D2968" t="str">
        <f>HYPERLINK("http://service.sap.com/sap/support/notes/1453779","1453779")</f>
        <v>1453779</v>
      </c>
      <c r="F2968" t="s">
        <v>1997</v>
      </c>
    </row>
    <row r="2969" spans="1:6">
      <c r="A2969" t="s">
        <v>2997</v>
      </c>
      <c r="B2969" t="s">
        <v>174</v>
      </c>
      <c r="C2969" t="s">
        <v>175</v>
      </c>
      <c r="D2969" t="str">
        <f>HYPERLINK("http://service.sap.com/sap/support/notes/1453806","1453806")</f>
        <v>1453806</v>
      </c>
      <c r="F2969" t="s">
        <v>3070</v>
      </c>
    </row>
    <row r="2970" spans="1:6">
      <c r="A2970" t="s">
        <v>2997</v>
      </c>
      <c r="B2970" t="s">
        <v>174</v>
      </c>
      <c r="C2970" t="s">
        <v>175</v>
      </c>
      <c r="D2970" t="str">
        <f>HYPERLINK("http://service.sap.com/sap/support/notes/1454892","1454892")</f>
        <v>1454892</v>
      </c>
      <c r="F2970" t="s">
        <v>3071</v>
      </c>
    </row>
    <row r="2971" spans="1:6">
      <c r="A2971" t="s">
        <v>2997</v>
      </c>
      <c r="B2971" t="s">
        <v>174</v>
      </c>
      <c r="C2971" t="s">
        <v>175</v>
      </c>
      <c r="D2971" t="str">
        <f>HYPERLINK("http://service.sap.com/sap/support/notes/1456744","1456744")</f>
        <v>1456744</v>
      </c>
      <c r="F2971" t="s">
        <v>3072</v>
      </c>
    </row>
    <row r="2972" spans="1:6">
      <c r="A2972" t="s">
        <v>2997</v>
      </c>
      <c r="B2972" t="s">
        <v>174</v>
      </c>
      <c r="C2972" t="s">
        <v>175</v>
      </c>
      <c r="D2972" t="str">
        <f>HYPERLINK("http://service.sap.com/sap/support/notes/1457147","1457147")</f>
        <v>1457147</v>
      </c>
      <c r="F2972" t="s">
        <v>3073</v>
      </c>
    </row>
    <row r="2973" spans="1:6">
      <c r="A2973" t="s">
        <v>2997</v>
      </c>
      <c r="B2973" t="s">
        <v>174</v>
      </c>
      <c r="C2973" t="s">
        <v>175</v>
      </c>
      <c r="D2973" t="str">
        <f>HYPERLINK("http://service.sap.com/sap/support/notes/1458439","1458439")</f>
        <v>1458439</v>
      </c>
      <c r="F2973" t="s">
        <v>3074</v>
      </c>
    </row>
    <row r="2974" spans="1:6">
      <c r="A2974" t="s">
        <v>2997</v>
      </c>
      <c r="B2974" t="s">
        <v>174</v>
      </c>
      <c r="C2974" t="s">
        <v>175</v>
      </c>
      <c r="D2974" t="str">
        <f>HYPERLINK("http://service.sap.com/sap/support/notes/1459414","1459414")</f>
        <v>1459414</v>
      </c>
      <c r="F2974" t="s">
        <v>3075</v>
      </c>
    </row>
    <row r="2975" spans="1:6">
      <c r="A2975" t="s">
        <v>2997</v>
      </c>
      <c r="B2975" t="s">
        <v>174</v>
      </c>
      <c r="C2975" t="s">
        <v>175</v>
      </c>
      <c r="D2975" t="str">
        <f>HYPERLINK("http://service.sap.com/sap/support/notes/1460834","1460834")</f>
        <v>1460834</v>
      </c>
      <c r="F2975" t="s">
        <v>3076</v>
      </c>
    </row>
    <row r="2976" spans="1:6">
      <c r="A2976" t="s">
        <v>2997</v>
      </c>
      <c r="B2976" t="s">
        <v>185</v>
      </c>
      <c r="C2976" t="s">
        <v>186</v>
      </c>
      <c r="D2976" t="str">
        <f>HYPERLINK("http://service.sap.com/sap/support/notes/1399941","1399941")</f>
        <v>1399941</v>
      </c>
      <c r="F2976" t="s">
        <v>3077</v>
      </c>
    </row>
    <row r="2977" spans="1:6">
      <c r="A2977" t="s">
        <v>2997</v>
      </c>
      <c r="B2977" t="s">
        <v>185</v>
      </c>
      <c r="C2977" t="s">
        <v>186</v>
      </c>
      <c r="D2977" t="str">
        <f>HYPERLINK("http://service.sap.com/sap/support/notes/1415752","1415752")</f>
        <v>1415752</v>
      </c>
      <c r="F2977" t="s">
        <v>3078</v>
      </c>
    </row>
    <row r="2978" spans="1:6">
      <c r="A2978" t="s">
        <v>2997</v>
      </c>
      <c r="B2978" t="s">
        <v>188</v>
      </c>
      <c r="C2978" t="s">
        <v>189</v>
      </c>
      <c r="D2978" t="str">
        <f>HYPERLINK("http://service.sap.com/sap/support/notes/1380622","1380622")</f>
        <v>1380622</v>
      </c>
      <c r="F2978" t="s">
        <v>3079</v>
      </c>
    </row>
    <row r="2979" spans="1:6">
      <c r="A2979" t="s">
        <v>2997</v>
      </c>
      <c r="B2979" t="s">
        <v>188</v>
      </c>
      <c r="C2979" t="s">
        <v>189</v>
      </c>
      <c r="D2979" t="str">
        <f>HYPERLINK("http://service.sap.com/sap/support/notes/1459371","1459371")</f>
        <v>1459371</v>
      </c>
      <c r="F2979" t="s">
        <v>3080</v>
      </c>
    </row>
    <row r="2980" spans="1:6">
      <c r="A2980" t="s">
        <v>2997</v>
      </c>
      <c r="B2980" t="s">
        <v>192</v>
      </c>
      <c r="C2980" t="s">
        <v>60</v>
      </c>
      <c r="D2980" t="str">
        <f>HYPERLINK("http://service.sap.com/sap/support/notes/1449737","1449737")</f>
        <v>1449737</v>
      </c>
      <c r="F2980" t="s">
        <v>3081</v>
      </c>
    </row>
    <row r="2981" spans="1:6">
      <c r="A2981" t="s">
        <v>2997</v>
      </c>
      <c r="B2981" t="s">
        <v>192</v>
      </c>
      <c r="C2981" t="s">
        <v>60</v>
      </c>
      <c r="D2981" t="str">
        <f>HYPERLINK("http://service.sap.com/sap/support/notes/1450600","1450600")</f>
        <v>1450600</v>
      </c>
      <c r="F2981" t="s">
        <v>3082</v>
      </c>
    </row>
    <row r="2982" spans="1:6">
      <c r="A2982" t="s">
        <v>2997</v>
      </c>
      <c r="B2982" t="s">
        <v>192</v>
      </c>
      <c r="C2982" t="s">
        <v>60</v>
      </c>
      <c r="D2982" t="str">
        <f>HYPERLINK("http://service.sap.com/sap/support/notes/1450864","1450864")</f>
        <v>1450864</v>
      </c>
      <c r="F2982" t="s">
        <v>3083</v>
      </c>
    </row>
    <row r="2983" spans="1:6">
      <c r="A2983" t="s">
        <v>2997</v>
      </c>
      <c r="B2983" t="s">
        <v>192</v>
      </c>
      <c r="C2983" t="s">
        <v>60</v>
      </c>
      <c r="D2983" t="str">
        <f>HYPERLINK("http://service.sap.com/sap/support/notes/1452685","1452685")</f>
        <v>1452685</v>
      </c>
      <c r="F2983" t="s">
        <v>3084</v>
      </c>
    </row>
    <row r="2984" spans="1:6">
      <c r="A2984" t="s">
        <v>2997</v>
      </c>
      <c r="B2984" t="s">
        <v>192</v>
      </c>
      <c r="C2984" t="s">
        <v>60</v>
      </c>
      <c r="D2984" t="str">
        <f>HYPERLINK("http://service.sap.com/sap/support/notes/1453008","1453008")</f>
        <v>1453008</v>
      </c>
      <c r="F2984" t="s">
        <v>3085</v>
      </c>
    </row>
    <row r="2985" spans="1:6">
      <c r="A2985" t="s">
        <v>2997</v>
      </c>
      <c r="B2985" t="s">
        <v>192</v>
      </c>
      <c r="C2985" t="s">
        <v>60</v>
      </c>
      <c r="D2985" t="str">
        <f>HYPERLINK("http://service.sap.com/sap/support/notes/1453943","1453943")</f>
        <v>1453943</v>
      </c>
      <c r="F2985" t="s">
        <v>3086</v>
      </c>
    </row>
    <row r="2986" spans="1:6">
      <c r="A2986" t="s">
        <v>2997</v>
      </c>
      <c r="B2986" t="s">
        <v>192</v>
      </c>
      <c r="C2986" t="s">
        <v>60</v>
      </c>
      <c r="D2986" t="str">
        <f>HYPERLINK("http://service.sap.com/sap/support/notes/1454198","1454198")</f>
        <v>1454198</v>
      </c>
      <c r="F2986" t="s">
        <v>3087</v>
      </c>
    </row>
    <row r="2987" spans="1:6">
      <c r="A2987" t="s">
        <v>2997</v>
      </c>
      <c r="B2987" t="s">
        <v>192</v>
      </c>
      <c r="C2987" t="s">
        <v>60</v>
      </c>
      <c r="D2987" t="str">
        <f>HYPERLINK("http://service.sap.com/sap/support/notes/1454960","1454960")</f>
        <v>1454960</v>
      </c>
      <c r="F2987" t="s">
        <v>3088</v>
      </c>
    </row>
    <row r="2988" spans="1:6">
      <c r="A2988" t="s">
        <v>2997</v>
      </c>
      <c r="B2988" t="s">
        <v>192</v>
      </c>
      <c r="C2988" t="s">
        <v>60</v>
      </c>
      <c r="D2988" t="str">
        <f>HYPERLINK("http://service.sap.com/sap/support/notes/1456183","1456183")</f>
        <v>1456183</v>
      </c>
      <c r="F2988" t="s">
        <v>3089</v>
      </c>
    </row>
    <row r="2989" spans="1:6">
      <c r="A2989" t="s">
        <v>2997</v>
      </c>
      <c r="B2989" t="s">
        <v>192</v>
      </c>
      <c r="C2989" t="s">
        <v>60</v>
      </c>
      <c r="D2989" t="str">
        <f>HYPERLINK("http://service.sap.com/sap/support/notes/1459030","1459030")</f>
        <v>1459030</v>
      </c>
      <c r="F2989" t="s">
        <v>3090</v>
      </c>
    </row>
    <row r="2990" spans="1:6">
      <c r="A2990" t="s">
        <v>2997</v>
      </c>
      <c r="B2990" t="s">
        <v>192</v>
      </c>
      <c r="C2990" t="s">
        <v>60</v>
      </c>
      <c r="D2990" t="str">
        <f>HYPERLINK("http://service.sap.com/sap/support/notes/1459290","1459290")</f>
        <v>1459290</v>
      </c>
      <c r="F2990" t="s">
        <v>3091</v>
      </c>
    </row>
    <row r="2991" spans="1:6">
      <c r="A2991" t="s">
        <v>2997</v>
      </c>
      <c r="B2991" t="s">
        <v>192</v>
      </c>
      <c r="C2991" t="s">
        <v>60</v>
      </c>
      <c r="D2991" t="str">
        <f>HYPERLINK("http://service.sap.com/sap/support/notes/1459292","1459292")</f>
        <v>1459292</v>
      </c>
      <c r="F2991" t="s">
        <v>3092</v>
      </c>
    </row>
    <row r="2992" spans="1:6">
      <c r="A2992" t="s">
        <v>2997</v>
      </c>
      <c r="B2992" t="s">
        <v>192</v>
      </c>
      <c r="C2992" t="s">
        <v>60</v>
      </c>
      <c r="D2992" t="str">
        <f>HYPERLINK("http://service.sap.com/sap/support/notes/1459724","1459724")</f>
        <v>1459724</v>
      </c>
      <c r="F2992" t="s">
        <v>3093</v>
      </c>
    </row>
    <row r="2993" spans="1:6">
      <c r="A2993" t="s">
        <v>2997</v>
      </c>
      <c r="B2993" t="s">
        <v>197</v>
      </c>
      <c r="C2993" t="s">
        <v>63</v>
      </c>
      <c r="D2993" t="str">
        <f>HYPERLINK("http://service.sap.com/sap/support/notes/1431645","1431645")</f>
        <v>1431645</v>
      </c>
      <c r="F2993" t="s">
        <v>2364</v>
      </c>
    </row>
    <row r="2994" spans="1:6">
      <c r="A2994" t="s">
        <v>2997</v>
      </c>
      <c r="B2994" t="s">
        <v>197</v>
      </c>
      <c r="C2994" t="s">
        <v>63</v>
      </c>
      <c r="D2994" t="str">
        <f>HYPERLINK("http://service.sap.com/sap/support/notes/1440728","1440728")</f>
        <v>1440728</v>
      </c>
      <c r="F2994" t="s">
        <v>3094</v>
      </c>
    </row>
    <row r="2995" spans="1:6">
      <c r="A2995" t="s">
        <v>2997</v>
      </c>
      <c r="B2995" t="s">
        <v>197</v>
      </c>
      <c r="C2995" t="s">
        <v>63</v>
      </c>
      <c r="D2995" t="str">
        <f>HYPERLINK("http://service.sap.com/sap/support/notes/1444903","1444903")</f>
        <v>1444903</v>
      </c>
      <c r="F2995" t="s">
        <v>3095</v>
      </c>
    </row>
    <row r="2996" spans="1:6">
      <c r="A2996" t="s">
        <v>2997</v>
      </c>
      <c r="B2996" t="s">
        <v>197</v>
      </c>
      <c r="C2996" t="s">
        <v>63</v>
      </c>
      <c r="D2996" t="str">
        <f>HYPERLINK("http://service.sap.com/sap/support/notes/1449329","1449329")</f>
        <v>1449329</v>
      </c>
      <c r="F2996" t="s">
        <v>3096</v>
      </c>
    </row>
    <row r="2997" spans="1:6">
      <c r="A2997" t="s">
        <v>2997</v>
      </c>
      <c r="B2997" t="s">
        <v>197</v>
      </c>
      <c r="C2997" t="s">
        <v>63</v>
      </c>
      <c r="D2997" t="str">
        <f>HYPERLINK("http://service.sap.com/sap/support/notes/1451597","1451597")</f>
        <v>1451597</v>
      </c>
      <c r="F2997" t="s">
        <v>3097</v>
      </c>
    </row>
    <row r="2998" spans="1:6">
      <c r="A2998" t="s">
        <v>2997</v>
      </c>
      <c r="B2998" t="s">
        <v>197</v>
      </c>
      <c r="C2998" t="s">
        <v>63</v>
      </c>
      <c r="D2998" t="str">
        <f>HYPERLINK("http://service.sap.com/sap/support/notes/1452146","1452146")</f>
        <v>1452146</v>
      </c>
      <c r="F2998" t="s">
        <v>3098</v>
      </c>
    </row>
    <row r="2999" spans="1:6">
      <c r="A2999" t="s">
        <v>2997</v>
      </c>
      <c r="B2999" t="s">
        <v>197</v>
      </c>
      <c r="C2999" t="s">
        <v>63</v>
      </c>
      <c r="D2999" t="str">
        <f>HYPERLINK("http://service.sap.com/sap/support/notes/1455499","1455499")</f>
        <v>1455499</v>
      </c>
      <c r="F2999" t="s">
        <v>3099</v>
      </c>
    </row>
    <row r="3000" spans="1:6">
      <c r="A3000" t="s">
        <v>2997</v>
      </c>
      <c r="B3000" t="s">
        <v>204</v>
      </c>
      <c r="C3000" t="s">
        <v>205</v>
      </c>
    </row>
    <row r="3001" spans="1:6">
      <c r="A3001" t="s">
        <v>2997</v>
      </c>
      <c r="B3001" t="s">
        <v>207</v>
      </c>
      <c r="C3001" t="s">
        <v>208</v>
      </c>
      <c r="D3001" t="str">
        <f>HYPERLINK("http://service.sap.com/sap/support/notes/1448985","1448985")</f>
        <v>1448985</v>
      </c>
      <c r="F3001" t="s">
        <v>3100</v>
      </c>
    </row>
    <row r="3002" spans="1:6">
      <c r="A3002" t="s">
        <v>2997</v>
      </c>
      <c r="B3002" t="s">
        <v>207</v>
      </c>
      <c r="C3002" t="s">
        <v>208</v>
      </c>
      <c r="D3002" t="str">
        <f>HYPERLINK("http://service.sap.com/sap/support/notes/1454481","1454481")</f>
        <v>1454481</v>
      </c>
      <c r="F3002" t="s">
        <v>3101</v>
      </c>
    </row>
    <row r="3003" spans="1:6">
      <c r="A3003" t="s">
        <v>2997</v>
      </c>
      <c r="B3003" t="s">
        <v>211</v>
      </c>
      <c r="C3003" t="s">
        <v>212</v>
      </c>
      <c r="D3003" t="str">
        <f>HYPERLINK("http://service.sap.com/sap/support/notes/1428973","1428973")</f>
        <v>1428973</v>
      </c>
      <c r="F3003" t="s">
        <v>3102</v>
      </c>
    </row>
    <row r="3004" spans="1:6">
      <c r="A3004" t="s">
        <v>2997</v>
      </c>
      <c r="B3004" t="s">
        <v>211</v>
      </c>
      <c r="C3004" t="s">
        <v>212</v>
      </c>
      <c r="D3004" t="str">
        <f>HYPERLINK("http://service.sap.com/sap/support/notes/1450651","1450651")</f>
        <v>1450651</v>
      </c>
      <c r="F3004" t="s">
        <v>3103</v>
      </c>
    </row>
    <row r="3005" spans="1:6">
      <c r="A3005" t="s">
        <v>2997</v>
      </c>
      <c r="B3005" t="s">
        <v>225</v>
      </c>
      <c r="C3005" t="s">
        <v>66</v>
      </c>
      <c r="D3005" t="str">
        <f>HYPERLINK("http://service.sap.com/sap/support/notes/1452335","1452335")</f>
        <v>1452335</v>
      </c>
      <c r="F3005" t="s">
        <v>3104</v>
      </c>
    </row>
    <row r="3006" spans="1:6">
      <c r="A3006" t="s">
        <v>2997</v>
      </c>
      <c r="B3006" t="s">
        <v>225</v>
      </c>
      <c r="C3006" t="s">
        <v>66</v>
      </c>
      <c r="D3006" t="str">
        <f>HYPERLINK("http://service.sap.com/sap/support/notes/1458427","1458427")</f>
        <v>1458427</v>
      </c>
      <c r="F3006" t="s">
        <v>3105</v>
      </c>
    </row>
    <row r="3007" spans="1:6">
      <c r="A3007" t="s">
        <v>2997</v>
      </c>
      <c r="B3007" t="s">
        <v>225</v>
      </c>
      <c r="C3007" t="s">
        <v>66</v>
      </c>
      <c r="D3007" t="str">
        <f>HYPERLINK("http://service.sap.com/sap/support/notes/1460454","1460454")</f>
        <v>1460454</v>
      </c>
      <c r="F3007" t="s">
        <v>3106</v>
      </c>
    </row>
    <row r="3008" spans="1:6">
      <c r="A3008" t="s">
        <v>2997</v>
      </c>
      <c r="B3008" t="s">
        <v>228</v>
      </c>
      <c r="C3008" t="s">
        <v>69</v>
      </c>
    </row>
    <row r="3009" spans="1:6">
      <c r="A3009" t="s">
        <v>2997</v>
      </c>
      <c r="B3009" t="s">
        <v>1024</v>
      </c>
      <c r="C3009" t="s">
        <v>1458</v>
      </c>
      <c r="D3009" t="str">
        <f>HYPERLINK("http://service.sap.com/sap/support/notes/1448581","1448581")</f>
        <v>1448581</v>
      </c>
      <c r="F3009" t="s">
        <v>3107</v>
      </c>
    </row>
    <row r="3010" spans="1:6">
      <c r="A3010" t="s">
        <v>2997</v>
      </c>
      <c r="B3010" t="s">
        <v>1024</v>
      </c>
      <c r="C3010" t="s">
        <v>1458</v>
      </c>
      <c r="D3010" t="str">
        <f>HYPERLINK("http://service.sap.com/sap/support/notes/1450861","1450861")</f>
        <v>1450861</v>
      </c>
      <c r="F3010" t="s">
        <v>3108</v>
      </c>
    </row>
    <row r="3011" spans="1:6">
      <c r="A3011" t="s">
        <v>2997</v>
      </c>
      <c r="B3011" t="s">
        <v>1024</v>
      </c>
      <c r="C3011" t="s">
        <v>1458</v>
      </c>
      <c r="D3011" t="str">
        <f>HYPERLINK("http://service.sap.com/sap/support/notes/1452519","1452519")</f>
        <v>1452519</v>
      </c>
      <c r="F3011" t="s">
        <v>3109</v>
      </c>
    </row>
    <row r="3012" spans="1:6">
      <c r="A3012" t="s">
        <v>2997</v>
      </c>
      <c r="B3012" t="s">
        <v>1024</v>
      </c>
      <c r="C3012" t="s">
        <v>1458</v>
      </c>
      <c r="D3012" t="str">
        <f>HYPERLINK("http://service.sap.com/sap/support/notes/1459401","1459401")</f>
        <v>1459401</v>
      </c>
      <c r="F3012" t="s">
        <v>3110</v>
      </c>
    </row>
    <row r="3013" spans="1:6">
      <c r="A3013" t="s">
        <v>2997</v>
      </c>
      <c r="B3013" t="s">
        <v>1024</v>
      </c>
      <c r="C3013" t="s">
        <v>1458</v>
      </c>
      <c r="D3013" t="str">
        <f>HYPERLINK("http://service.sap.com/sap/support/notes/1460893","1460893")</f>
        <v>1460893</v>
      </c>
      <c r="F3013" t="s">
        <v>3111</v>
      </c>
    </row>
    <row r="3014" spans="1:6">
      <c r="A3014" t="s">
        <v>2997</v>
      </c>
      <c r="B3014" t="s">
        <v>233</v>
      </c>
      <c r="C3014" t="s">
        <v>234</v>
      </c>
    </row>
    <row r="3015" spans="1:6">
      <c r="A3015" t="s">
        <v>2997</v>
      </c>
      <c r="B3015" t="s">
        <v>235</v>
      </c>
      <c r="C3015" t="s">
        <v>236</v>
      </c>
      <c r="D3015" t="str">
        <f>HYPERLINK("http://service.sap.com/sap/support/notes/1366902","1366902")</f>
        <v>1366902</v>
      </c>
      <c r="F3015" t="s">
        <v>1039</v>
      </c>
    </row>
    <row r="3016" spans="1:6">
      <c r="A3016" t="s">
        <v>2997</v>
      </c>
      <c r="B3016" t="s">
        <v>235</v>
      </c>
      <c r="C3016" t="s">
        <v>236</v>
      </c>
      <c r="D3016" t="str">
        <f>HYPERLINK("http://service.sap.com/sap/support/notes/1447890","1447890")</f>
        <v>1447890</v>
      </c>
      <c r="F3016" t="s">
        <v>3112</v>
      </c>
    </row>
    <row r="3017" spans="1:6">
      <c r="A3017" t="s">
        <v>2997</v>
      </c>
      <c r="B3017" t="s">
        <v>235</v>
      </c>
      <c r="C3017" t="s">
        <v>236</v>
      </c>
      <c r="D3017" t="str">
        <f>HYPERLINK("http://service.sap.com/sap/support/notes/1451338","1451338")</f>
        <v>1451338</v>
      </c>
      <c r="F3017" t="s">
        <v>3113</v>
      </c>
    </row>
    <row r="3018" spans="1:6">
      <c r="A3018" t="s">
        <v>2997</v>
      </c>
      <c r="B3018" t="s">
        <v>235</v>
      </c>
      <c r="C3018" t="s">
        <v>236</v>
      </c>
      <c r="D3018" t="str">
        <f>HYPERLINK("http://service.sap.com/sap/support/notes/1455892","1455892")</f>
        <v>1455892</v>
      </c>
      <c r="F3018" t="s">
        <v>3114</v>
      </c>
    </row>
    <row r="3019" spans="1:6">
      <c r="A3019" t="s">
        <v>2997</v>
      </c>
      <c r="B3019" t="s">
        <v>235</v>
      </c>
      <c r="C3019" t="s">
        <v>236</v>
      </c>
      <c r="D3019" t="str">
        <f>HYPERLINK("http://service.sap.com/sap/support/notes/1457855","1457855")</f>
        <v>1457855</v>
      </c>
      <c r="F3019" t="s">
        <v>3115</v>
      </c>
    </row>
    <row r="3020" spans="1:6">
      <c r="A3020" t="s">
        <v>2997</v>
      </c>
      <c r="B3020" t="s">
        <v>1460</v>
      </c>
      <c r="C3020" t="s">
        <v>1461</v>
      </c>
      <c r="D3020" t="str">
        <f>HYPERLINK("http://service.sap.com/sap/support/notes/1449258","1449258")</f>
        <v>1449258</v>
      </c>
      <c r="F3020" t="s">
        <v>3116</v>
      </c>
    </row>
    <row r="3021" spans="1:6">
      <c r="A3021" t="s">
        <v>2997</v>
      </c>
      <c r="B3021" t="s">
        <v>1460</v>
      </c>
      <c r="C3021" t="s">
        <v>1461</v>
      </c>
      <c r="D3021" t="str">
        <f>HYPERLINK("http://service.sap.com/sap/support/notes/1451660","1451660")</f>
        <v>1451660</v>
      </c>
      <c r="F3021" t="s">
        <v>3117</v>
      </c>
    </row>
    <row r="3022" spans="1:6">
      <c r="A3022" t="s">
        <v>2997</v>
      </c>
      <c r="B3022" t="s">
        <v>1044</v>
      </c>
      <c r="C3022" t="s">
        <v>1645</v>
      </c>
      <c r="D3022" t="str">
        <f>HYPERLINK("http://service.sap.com/sap/support/notes/1455106","1455106")</f>
        <v>1455106</v>
      </c>
      <c r="F3022" t="s">
        <v>3118</v>
      </c>
    </row>
    <row r="3023" spans="1:6">
      <c r="A3023" t="s">
        <v>2997</v>
      </c>
      <c r="B3023" t="s">
        <v>238</v>
      </c>
      <c r="C3023" t="s">
        <v>239</v>
      </c>
    </row>
    <row r="3024" spans="1:6">
      <c r="A3024" t="s">
        <v>2997</v>
      </c>
      <c r="B3024" t="s">
        <v>244</v>
      </c>
      <c r="C3024" t="s">
        <v>245</v>
      </c>
      <c r="D3024" t="str">
        <f>HYPERLINK("http://service.sap.com/sap/support/notes/1454945","1454945")</f>
        <v>1454945</v>
      </c>
      <c r="F3024" t="s">
        <v>3119</v>
      </c>
    </row>
    <row r="3025" spans="1:6">
      <c r="A3025" t="s">
        <v>2997</v>
      </c>
      <c r="B3025" t="s">
        <v>244</v>
      </c>
      <c r="C3025" t="s">
        <v>245</v>
      </c>
      <c r="D3025" t="str">
        <f>HYPERLINK("http://service.sap.com/sap/support/notes/1455053","1455053")</f>
        <v>1455053</v>
      </c>
      <c r="F3025" t="s">
        <v>3120</v>
      </c>
    </row>
    <row r="3026" spans="1:6">
      <c r="A3026" t="s">
        <v>2997</v>
      </c>
      <c r="B3026" t="s">
        <v>244</v>
      </c>
      <c r="C3026" t="s">
        <v>245</v>
      </c>
      <c r="D3026" t="str">
        <f>HYPERLINK("http://service.sap.com/sap/support/notes/1460223","1460223")</f>
        <v>1460223</v>
      </c>
      <c r="F3026" t="s">
        <v>3121</v>
      </c>
    </row>
    <row r="3027" spans="1:6">
      <c r="A3027" t="s">
        <v>2997</v>
      </c>
      <c r="B3027" t="s">
        <v>249</v>
      </c>
      <c r="C3027" t="s">
        <v>250</v>
      </c>
      <c r="D3027" t="str">
        <f>HYPERLINK("http://service.sap.com/sap/support/notes/1462136","1462136")</f>
        <v>1462136</v>
      </c>
      <c r="F3027" t="s">
        <v>3122</v>
      </c>
    </row>
    <row r="3028" spans="1:6">
      <c r="A3028" t="s">
        <v>2997</v>
      </c>
      <c r="B3028" t="s">
        <v>254</v>
      </c>
      <c r="C3028" t="s">
        <v>255</v>
      </c>
      <c r="D3028" t="str">
        <f>HYPERLINK("http://service.sap.com/sap/support/notes/1450084","1450084")</f>
        <v>1450084</v>
      </c>
      <c r="F3028" t="s">
        <v>3123</v>
      </c>
    </row>
    <row r="3029" spans="1:6">
      <c r="A3029" t="s">
        <v>2997</v>
      </c>
      <c r="B3029" t="s">
        <v>254</v>
      </c>
      <c r="C3029" t="s">
        <v>255</v>
      </c>
      <c r="D3029" t="str">
        <f>HYPERLINK("http://service.sap.com/sap/support/notes/1450762","1450762")</f>
        <v>1450762</v>
      </c>
      <c r="F3029" t="s">
        <v>3124</v>
      </c>
    </row>
    <row r="3030" spans="1:6">
      <c r="A3030" t="s">
        <v>2997</v>
      </c>
      <c r="B3030" t="s">
        <v>254</v>
      </c>
      <c r="C3030" t="s">
        <v>255</v>
      </c>
      <c r="D3030" t="str">
        <f>HYPERLINK("http://service.sap.com/sap/support/notes/1453399","1453399")</f>
        <v>1453399</v>
      </c>
      <c r="F3030" t="s">
        <v>3125</v>
      </c>
    </row>
    <row r="3031" spans="1:6">
      <c r="A3031" t="s">
        <v>2997</v>
      </c>
      <c r="B3031" t="s">
        <v>254</v>
      </c>
      <c r="C3031" t="s">
        <v>255</v>
      </c>
      <c r="D3031" t="str">
        <f>HYPERLINK("http://service.sap.com/sap/support/notes/1455650","1455650")</f>
        <v>1455650</v>
      </c>
      <c r="F3031" t="s">
        <v>3126</v>
      </c>
    </row>
    <row r="3032" spans="1:6">
      <c r="A3032" t="s">
        <v>2997</v>
      </c>
      <c r="B3032" t="s">
        <v>254</v>
      </c>
      <c r="C3032" t="s">
        <v>255</v>
      </c>
      <c r="D3032" t="str">
        <f>HYPERLINK("http://service.sap.com/sap/support/notes/1456527","1456527")</f>
        <v>1456527</v>
      </c>
      <c r="F3032" t="s">
        <v>3127</v>
      </c>
    </row>
    <row r="3033" spans="1:6">
      <c r="A3033" t="s">
        <v>2997</v>
      </c>
      <c r="B3033" t="s">
        <v>258</v>
      </c>
      <c r="C3033" t="s">
        <v>189</v>
      </c>
      <c r="D3033" t="str">
        <f>HYPERLINK("http://service.sap.com/sap/support/notes/1434664","1434664")</f>
        <v>1434664</v>
      </c>
      <c r="F3033" t="s">
        <v>3128</v>
      </c>
    </row>
    <row r="3034" spans="1:6">
      <c r="A3034" t="s">
        <v>2997</v>
      </c>
      <c r="B3034" t="s">
        <v>258</v>
      </c>
      <c r="C3034" t="s">
        <v>189</v>
      </c>
      <c r="D3034" t="str">
        <f>HYPERLINK("http://service.sap.com/sap/support/notes/1435514","1435514")</f>
        <v>1435514</v>
      </c>
      <c r="F3034" t="s">
        <v>2775</v>
      </c>
    </row>
    <row r="3035" spans="1:6">
      <c r="A3035" t="s">
        <v>2997</v>
      </c>
      <c r="B3035" t="s">
        <v>258</v>
      </c>
      <c r="C3035" t="s">
        <v>189</v>
      </c>
      <c r="D3035" t="str">
        <f>HYPERLINK("http://service.sap.com/sap/support/notes/1436457","1436457")</f>
        <v>1436457</v>
      </c>
      <c r="F3035" t="s">
        <v>3129</v>
      </c>
    </row>
    <row r="3036" spans="1:6">
      <c r="A3036" t="s">
        <v>2997</v>
      </c>
      <c r="B3036" t="s">
        <v>258</v>
      </c>
      <c r="C3036" t="s">
        <v>189</v>
      </c>
      <c r="D3036" t="str">
        <f>HYPERLINK("http://service.sap.com/sap/support/notes/1444075","1444075")</f>
        <v>1444075</v>
      </c>
      <c r="F3036" t="s">
        <v>3130</v>
      </c>
    </row>
    <row r="3037" spans="1:6">
      <c r="A3037" t="s">
        <v>2997</v>
      </c>
      <c r="B3037" t="s">
        <v>258</v>
      </c>
      <c r="C3037" t="s">
        <v>189</v>
      </c>
      <c r="D3037" t="str">
        <f>HYPERLINK("http://service.sap.com/sap/support/notes/1448036","1448036")</f>
        <v>1448036</v>
      </c>
      <c r="F3037" t="s">
        <v>3131</v>
      </c>
    </row>
    <row r="3038" spans="1:6">
      <c r="A3038" t="s">
        <v>2997</v>
      </c>
      <c r="B3038" t="s">
        <v>258</v>
      </c>
      <c r="C3038" t="s">
        <v>189</v>
      </c>
      <c r="D3038" t="str">
        <f>HYPERLINK("http://service.sap.com/sap/support/notes/1450920","1450920")</f>
        <v>1450920</v>
      </c>
      <c r="F3038" t="s">
        <v>3132</v>
      </c>
    </row>
    <row r="3039" spans="1:6">
      <c r="A3039" t="s">
        <v>2997</v>
      </c>
      <c r="B3039" t="s">
        <v>258</v>
      </c>
      <c r="C3039" t="s">
        <v>189</v>
      </c>
      <c r="D3039" t="str">
        <f>HYPERLINK("http://service.sap.com/sap/support/notes/1451687","1451687")</f>
        <v>1451687</v>
      </c>
      <c r="F3039" t="s">
        <v>3133</v>
      </c>
    </row>
    <row r="3040" spans="1:6">
      <c r="A3040" t="s">
        <v>2997</v>
      </c>
      <c r="B3040" t="s">
        <v>258</v>
      </c>
      <c r="C3040" t="s">
        <v>189</v>
      </c>
      <c r="D3040" t="str">
        <f>HYPERLINK("http://service.sap.com/sap/support/notes/1451779","1451779")</f>
        <v>1451779</v>
      </c>
      <c r="F3040" t="s">
        <v>3134</v>
      </c>
    </row>
    <row r="3041" spans="1:6">
      <c r="A3041" t="s">
        <v>2997</v>
      </c>
      <c r="B3041" t="s">
        <v>258</v>
      </c>
      <c r="C3041" t="s">
        <v>189</v>
      </c>
      <c r="D3041" t="str">
        <f>HYPERLINK("http://service.sap.com/sap/support/notes/1452801","1452801")</f>
        <v>1452801</v>
      </c>
      <c r="F3041" t="s">
        <v>3135</v>
      </c>
    </row>
    <row r="3042" spans="1:6">
      <c r="A3042" t="s">
        <v>2997</v>
      </c>
      <c r="B3042" t="s">
        <v>258</v>
      </c>
      <c r="C3042" t="s">
        <v>189</v>
      </c>
      <c r="D3042" t="str">
        <f>HYPERLINK("http://service.sap.com/sap/support/notes/1453466","1453466")</f>
        <v>1453466</v>
      </c>
      <c r="F3042" t="s">
        <v>3136</v>
      </c>
    </row>
    <row r="3043" spans="1:6">
      <c r="A3043" t="s">
        <v>2997</v>
      </c>
      <c r="B3043" t="s">
        <v>258</v>
      </c>
      <c r="C3043" t="s">
        <v>189</v>
      </c>
      <c r="D3043" t="str">
        <f>HYPERLINK("http://service.sap.com/sap/support/notes/1459534","1459534")</f>
        <v>1459534</v>
      </c>
      <c r="F3043" t="s">
        <v>3137</v>
      </c>
    </row>
    <row r="3044" spans="1:6">
      <c r="A3044" t="s">
        <v>2997</v>
      </c>
      <c r="B3044" t="s">
        <v>279</v>
      </c>
      <c r="C3044" t="s">
        <v>280</v>
      </c>
      <c r="D3044" t="str">
        <f>HYPERLINK("http://service.sap.com/sap/support/notes/1425533","1425533")</f>
        <v>1425533</v>
      </c>
      <c r="F3044" t="s">
        <v>3138</v>
      </c>
    </row>
    <row r="3045" spans="1:6">
      <c r="A3045" t="s">
        <v>2997</v>
      </c>
      <c r="B3045" t="s">
        <v>279</v>
      </c>
      <c r="C3045" t="s">
        <v>280</v>
      </c>
      <c r="D3045" t="str">
        <f>HYPERLINK("http://service.sap.com/sap/support/notes/1450244","1450244")</f>
        <v>1450244</v>
      </c>
      <c r="F3045" t="s">
        <v>3139</v>
      </c>
    </row>
    <row r="3046" spans="1:6">
      <c r="A3046" t="s">
        <v>2997</v>
      </c>
      <c r="B3046" t="s">
        <v>279</v>
      </c>
      <c r="C3046" t="s">
        <v>280</v>
      </c>
      <c r="D3046" t="str">
        <f>HYPERLINK("http://service.sap.com/sap/support/notes/1451730","1451730")</f>
        <v>1451730</v>
      </c>
      <c r="F3046" t="s">
        <v>3140</v>
      </c>
    </row>
    <row r="3047" spans="1:6">
      <c r="A3047" t="s">
        <v>2997</v>
      </c>
      <c r="B3047" t="s">
        <v>279</v>
      </c>
      <c r="C3047" t="s">
        <v>280</v>
      </c>
      <c r="D3047" t="str">
        <f>HYPERLINK("http://service.sap.com/sap/support/notes/1455684","1455684")</f>
        <v>1455684</v>
      </c>
      <c r="F3047" t="s">
        <v>3141</v>
      </c>
    </row>
    <row r="3048" spans="1:6">
      <c r="A3048" t="s">
        <v>2997</v>
      </c>
      <c r="B3048" t="s">
        <v>279</v>
      </c>
      <c r="C3048" t="s">
        <v>280</v>
      </c>
      <c r="D3048" t="str">
        <f>HYPERLINK("http://service.sap.com/sap/support/notes/1457419","1457419")</f>
        <v>1457419</v>
      </c>
      <c r="F3048" t="s">
        <v>3142</v>
      </c>
    </row>
    <row r="3049" spans="1:6">
      <c r="A3049" t="s">
        <v>2997</v>
      </c>
      <c r="B3049" t="s">
        <v>292</v>
      </c>
      <c r="C3049" t="s">
        <v>293</v>
      </c>
      <c r="D3049" t="str">
        <f>HYPERLINK("http://service.sap.com/sap/support/notes/1440484","1440484")</f>
        <v>1440484</v>
      </c>
      <c r="F3049" t="s">
        <v>3143</v>
      </c>
    </row>
    <row r="3050" spans="1:6">
      <c r="A3050" t="s">
        <v>2997</v>
      </c>
      <c r="B3050" t="s">
        <v>292</v>
      </c>
      <c r="C3050" t="s">
        <v>293</v>
      </c>
      <c r="D3050" t="str">
        <f>HYPERLINK("http://service.sap.com/sap/support/notes/1441110","1441110")</f>
        <v>1441110</v>
      </c>
      <c r="F3050" t="s">
        <v>3144</v>
      </c>
    </row>
    <row r="3051" spans="1:6">
      <c r="A3051" t="s">
        <v>2997</v>
      </c>
      <c r="B3051" t="s">
        <v>292</v>
      </c>
      <c r="C3051" t="s">
        <v>293</v>
      </c>
      <c r="D3051" t="str">
        <f>HYPERLINK("http://service.sap.com/sap/support/notes/1447699","1447699")</f>
        <v>1447699</v>
      </c>
      <c r="F3051" t="s">
        <v>3145</v>
      </c>
    </row>
    <row r="3052" spans="1:6">
      <c r="A3052" t="s">
        <v>2997</v>
      </c>
      <c r="B3052" t="s">
        <v>292</v>
      </c>
      <c r="C3052" t="s">
        <v>293</v>
      </c>
      <c r="D3052" t="str">
        <f>HYPERLINK("http://service.sap.com/sap/support/notes/1459558","1459558")</f>
        <v>1459558</v>
      </c>
      <c r="F3052" t="s">
        <v>3146</v>
      </c>
    </row>
    <row r="3053" spans="1:6">
      <c r="A3053" t="s">
        <v>2997</v>
      </c>
      <c r="B3053" t="s">
        <v>295</v>
      </c>
      <c r="C3053" t="s">
        <v>208</v>
      </c>
    </row>
    <row r="3054" spans="1:6">
      <c r="A3054" t="s">
        <v>2997</v>
      </c>
      <c r="B3054" t="s">
        <v>296</v>
      </c>
      <c r="C3054" t="s">
        <v>297</v>
      </c>
      <c r="D3054" t="str">
        <f>HYPERLINK("http://service.sap.com/sap/support/notes/1460559","1460559")</f>
        <v>1460559</v>
      </c>
      <c r="F3054" t="s">
        <v>3147</v>
      </c>
    </row>
    <row r="3055" spans="1:6">
      <c r="A3055" t="s">
        <v>2997</v>
      </c>
      <c r="B3055" t="s">
        <v>299</v>
      </c>
      <c r="C3055" t="s">
        <v>300</v>
      </c>
      <c r="D3055" t="str">
        <f>HYPERLINK("http://service.sap.com/sap/support/notes/1450645","1450645")</f>
        <v>1450645</v>
      </c>
      <c r="F3055" t="s">
        <v>3148</v>
      </c>
    </row>
    <row r="3056" spans="1:6">
      <c r="A3056" t="s">
        <v>2997</v>
      </c>
      <c r="B3056" t="s">
        <v>299</v>
      </c>
      <c r="C3056" t="s">
        <v>300</v>
      </c>
      <c r="D3056" t="str">
        <f>HYPERLINK("http://service.sap.com/sap/support/notes/1453384","1453384")</f>
        <v>1453384</v>
      </c>
      <c r="F3056" t="s">
        <v>3149</v>
      </c>
    </row>
    <row r="3057" spans="1:6">
      <c r="A3057" t="s">
        <v>2997</v>
      </c>
      <c r="B3057" t="s">
        <v>299</v>
      </c>
      <c r="C3057" t="s">
        <v>300</v>
      </c>
      <c r="D3057" t="str">
        <f>HYPERLINK("http://service.sap.com/sap/support/notes/1457544","1457544")</f>
        <v>1457544</v>
      </c>
      <c r="F3057" t="s">
        <v>3150</v>
      </c>
    </row>
    <row r="3058" spans="1:6">
      <c r="A3058" t="s">
        <v>2997</v>
      </c>
      <c r="B3058" t="s">
        <v>305</v>
      </c>
      <c r="C3058" t="s">
        <v>306</v>
      </c>
      <c r="D3058" t="str">
        <f>HYPERLINK("http://service.sap.com/sap/support/notes/1017716","1017716")</f>
        <v>1017716</v>
      </c>
      <c r="F3058" t="s">
        <v>307</v>
      </c>
    </row>
    <row r="3059" spans="1:6">
      <c r="A3059" t="s">
        <v>2997</v>
      </c>
      <c r="B3059" t="s">
        <v>305</v>
      </c>
      <c r="C3059" t="s">
        <v>306</v>
      </c>
      <c r="D3059" t="str">
        <f>HYPERLINK("http://service.sap.com/sap/support/notes/1369006","1369006")</f>
        <v>1369006</v>
      </c>
      <c r="F3059" t="s">
        <v>312</v>
      </c>
    </row>
    <row r="3060" spans="1:6">
      <c r="A3060" t="s">
        <v>2997</v>
      </c>
      <c r="B3060" t="s">
        <v>305</v>
      </c>
      <c r="C3060" t="s">
        <v>306</v>
      </c>
      <c r="D3060" t="str">
        <f>HYPERLINK("http://service.sap.com/sap/support/notes/1421000","1421000")</f>
        <v>1421000</v>
      </c>
      <c r="F3060" t="s">
        <v>3151</v>
      </c>
    </row>
    <row r="3061" spans="1:6">
      <c r="A3061" t="s">
        <v>2997</v>
      </c>
      <c r="B3061" t="s">
        <v>305</v>
      </c>
      <c r="C3061" t="s">
        <v>306</v>
      </c>
      <c r="D3061" t="str">
        <f>HYPERLINK("http://service.sap.com/sap/support/notes/1421040","1421040")</f>
        <v>1421040</v>
      </c>
      <c r="F3061" t="s">
        <v>3152</v>
      </c>
    </row>
    <row r="3062" spans="1:6">
      <c r="A3062" t="s">
        <v>2997</v>
      </c>
      <c r="B3062" t="s">
        <v>305</v>
      </c>
      <c r="C3062" t="s">
        <v>306</v>
      </c>
      <c r="D3062" t="str">
        <f>HYPERLINK("http://service.sap.com/sap/support/notes/1430750","1430750")</f>
        <v>1430750</v>
      </c>
      <c r="F3062" t="s">
        <v>3153</v>
      </c>
    </row>
    <row r="3063" spans="1:6">
      <c r="A3063" t="s">
        <v>2997</v>
      </c>
      <c r="B3063" t="s">
        <v>305</v>
      </c>
      <c r="C3063" t="s">
        <v>306</v>
      </c>
      <c r="D3063" t="str">
        <f>HYPERLINK("http://service.sap.com/sap/support/notes/1441215","1441215")</f>
        <v>1441215</v>
      </c>
      <c r="F3063" t="s">
        <v>3154</v>
      </c>
    </row>
    <row r="3064" spans="1:6">
      <c r="A3064" t="s">
        <v>2997</v>
      </c>
      <c r="B3064" t="s">
        <v>305</v>
      </c>
      <c r="C3064" t="s">
        <v>306</v>
      </c>
      <c r="D3064" t="str">
        <f>HYPERLINK("http://service.sap.com/sap/support/notes/1443851","1443851")</f>
        <v>1443851</v>
      </c>
      <c r="F3064" t="s">
        <v>3155</v>
      </c>
    </row>
    <row r="3065" spans="1:6">
      <c r="A3065" t="s">
        <v>2997</v>
      </c>
      <c r="B3065" t="s">
        <v>305</v>
      </c>
      <c r="C3065" t="s">
        <v>306</v>
      </c>
      <c r="D3065" t="str">
        <f>HYPERLINK("http://service.sap.com/sap/support/notes/1447046","1447046")</f>
        <v>1447046</v>
      </c>
      <c r="F3065" t="s">
        <v>3156</v>
      </c>
    </row>
    <row r="3066" spans="1:6">
      <c r="A3066" t="s">
        <v>2997</v>
      </c>
      <c r="B3066" t="s">
        <v>305</v>
      </c>
      <c r="C3066" t="s">
        <v>306</v>
      </c>
      <c r="D3066" t="str">
        <f>HYPERLINK("http://service.sap.com/sap/support/notes/1448437","1448437")</f>
        <v>1448437</v>
      </c>
      <c r="F3066" t="s">
        <v>3157</v>
      </c>
    </row>
    <row r="3067" spans="1:6">
      <c r="A3067" t="s">
        <v>2997</v>
      </c>
      <c r="B3067" t="s">
        <v>305</v>
      </c>
      <c r="C3067" t="s">
        <v>306</v>
      </c>
      <c r="D3067" t="str">
        <f>HYPERLINK("http://service.sap.com/sap/support/notes/1449910","1449910")</f>
        <v>1449910</v>
      </c>
      <c r="F3067" t="s">
        <v>3158</v>
      </c>
    </row>
    <row r="3068" spans="1:6">
      <c r="A3068" t="s">
        <v>2997</v>
      </c>
      <c r="B3068" t="s">
        <v>305</v>
      </c>
      <c r="C3068" t="s">
        <v>306</v>
      </c>
      <c r="D3068" t="str">
        <f>HYPERLINK("http://service.sap.com/sap/support/notes/1450007","1450007")</f>
        <v>1450007</v>
      </c>
      <c r="F3068" t="s">
        <v>3159</v>
      </c>
    </row>
    <row r="3069" spans="1:6">
      <c r="A3069" t="s">
        <v>2997</v>
      </c>
      <c r="B3069" t="s">
        <v>305</v>
      </c>
      <c r="C3069" t="s">
        <v>306</v>
      </c>
      <c r="D3069" t="str">
        <f>HYPERLINK("http://service.sap.com/sap/support/notes/1451011","1451011")</f>
        <v>1451011</v>
      </c>
      <c r="F3069" t="s">
        <v>3160</v>
      </c>
    </row>
    <row r="3070" spans="1:6">
      <c r="A3070" t="s">
        <v>2997</v>
      </c>
      <c r="B3070" t="s">
        <v>305</v>
      </c>
      <c r="C3070" t="s">
        <v>306</v>
      </c>
      <c r="D3070" t="str">
        <f>HYPERLINK("http://service.sap.com/sap/support/notes/1451363","1451363")</f>
        <v>1451363</v>
      </c>
      <c r="F3070" t="s">
        <v>3161</v>
      </c>
    </row>
    <row r="3071" spans="1:6">
      <c r="A3071" t="s">
        <v>2997</v>
      </c>
      <c r="B3071" t="s">
        <v>305</v>
      </c>
      <c r="C3071" t="s">
        <v>306</v>
      </c>
      <c r="D3071" t="str">
        <f>HYPERLINK("http://service.sap.com/sap/support/notes/1451373","1451373")</f>
        <v>1451373</v>
      </c>
      <c r="F3071" t="s">
        <v>3162</v>
      </c>
    </row>
    <row r="3072" spans="1:6">
      <c r="A3072" t="s">
        <v>2997</v>
      </c>
      <c r="B3072" t="s">
        <v>305</v>
      </c>
      <c r="C3072" t="s">
        <v>306</v>
      </c>
      <c r="D3072" t="str">
        <f>HYPERLINK("http://service.sap.com/sap/support/notes/1451571","1451571")</f>
        <v>1451571</v>
      </c>
      <c r="F3072" t="s">
        <v>3163</v>
      </c>
    </row>
    <row r="3073" spans="1:6">
      <c r="A3073" t="s">
        <v>2997</v>
      </c>
      <c r="B3073" t="s">
        <v>305</v>
      </c>
      <c r="C3073" t="s">
        <v>306</v>
      </c>
      <c r="D3073" t="str">
        <f>HYPERLINK("http://service.sap.com/sap/support/notes/1454556","1454556")</f>
        <v>1454556</v>
      </c>
      <c r="F3073" t="s">
        <v>3164</v>
      </c>
    </row>
    <row r="3074" spans="1:6">
      <c r="A3074" t="s">
        <v>2997</v>
      </c>
      <c r="B3074" t="s">
        <v>305</v>
      </c>
      <c r="C3074" t="s">
        <v>306</v>
      </c>
      <c r="D3074" t="str">
        <f>HYPERLINK("http://service.sap.com/sap/support/notes/1456742","1456742")</f>
        <v>1456742</v>
      </c>
      <c r="F3074" t="s">
        <v>3165</v>
      </c>
    </row>
    <row r="3075" spans="1:6">
      <c r="A3075" t="s">
        <v>2997</v>
      </c>
      <c r="B3075" t="s">
        <v>305</v>
      </c>
      <c r="C3075" t="s">
        <v>306</v>
      </c>
      <c r="D3075" t="str">
        <f>HYPERLINK("http://service.sap.com/sap/support/notes/1461281","1461281")</f>
        <v>1461281</v>
      </c>
      <c r="F3075" t="s">
        <v>3166</v>
      </c>
    </row>
    <row r="3076" spans="1:6">
      <c r="A3076" t="s">
        <v>2997</v>
      </c>
      <c r="B3076" t="s">
        <v>352</v>
      </c>
      <c r="C3076" t="s">
        <v>353</v>
      </c>
      <c r="D3076" t="str">
        <f>HYPERLINK("http://service.sap.com/sap/support/notes/1451017","1451017")</f>
        <v>1451017</v>
      </c>
      <c r="F3076" t="s">
        <v>3167</v>
      </c>
    </row>
    <row r="3077" spans="1:6">
      <c r="A3077" t="s">
        <v>2997</v>
      </c>
      <c r="B3077" t="s">
        <v>352</v>
      </c>
      <c r="C3077" t="s">
        <v>353</v>
      </c>
      <c r="D3077" t="str">
        <f>HYPERLINK("http://service.sap.com/sap/support/notes/1456017","1456017")</f>
        <v>1456017</v>
      </c>
      <c r="F3077" t="s">
        <v>3168</v>
      </c>
    </row>
    <row r="3078" spans="1:6">
      <c r="A3078" t="s">
        <v>2997</v>
      </c>
      <c r="B3078" t="s">
        <v>357</v>
      </c>
      <c r="C3078" t="s">
        <v>76</v>
      </c>
      <c r="D3078" t="str">
        <f>HYPERLINK("http://service.sap.com/sap/support/notes/1430852","1430852")</f>
        <v>1430852</v>
      </c>
      <c r="F3078" t="s">
        <v>2466</v>
      </c>
    </row>
    <row r="3079" spans="1:6">
      <c r="A3079" t="s">
        <v>2997</v>
      </c>
      <c r="B3079" t="s">
        <v>357</v>
      </c>
      <c r="C3079" t="s">
        <v>76</v>
      </c>
      <c r="D3079" t="str">
        <f>HYPERLINK("http://service.sap.com/sap/support/notes/1435890","1435890")</f>
        <v>1435890</v>
      </c>
      <c r="F3079" t="s">
        <v>3169</v>
      </c>
    </row>
    <row r="3080" spans="1:6">
      <c r="A3080" t="s">
        <v>2997</v>
      </c>
      <c r="B3080" t="s">
        <v>357</v>
      </c>
      <c r="C3080" t="s">
        <v>76</v>
      </c>
      <c r="D3080" t="str">
        <f>HYPERLINK("http://service.sap.com/sap/support/notes/1439612","1439612")</f>
        <v>1439612</v>
      </c>
      <c r="F3080" t="s">
        <v>3170</v>
      </c>
    </row>
    <row r="3081" spans="1:6">
      <c r="A3081" t="s">
        <v>2997</v>
      </c>
      <c r="B3081" t="s">
        <v>357</v>
      </c>
      <c r="C3081" t="s">
        <v>76</v>
      </c>
      <c r="D3081" t="str">
        <f>HYPERLINK("http://service.sap.com/sap/support/notes/1442305","1442305")</f>
        <v>1442305</v>
      </c>
      <c r="F3081" t="s">
        <v>3171</v>
      </c>
    </row>
    <row r="3082" spans="1:6">
      <c r="A3082" t="s">
        <v>2997</v>
      </c>
      <c r="B3082" t="s">
        <v>357</v>
      </c>
      <c r="C3082" t="s">
        <v>76</v>
      </c>
      <c r="D3082" t="str">
        <f>HYPERLINK("http://service.sap.com/sap/support/notes/1447943","1447943")</f>
        <v>1447943</v>
      </c>
      <c r="F3082" t="s">
        <v>3172</v>
      </c>
    </row>
    <row r="3083" spans="1:6">
      <c r="A3083" t="s">
        <v>2997</v>
      </c>
      <c r="B3083" t="s">
        <v>357</v>
      </c>
      <c r="C3083" t="s">
        <v>76</v>
      </c>
      <c r="D3083" t="str">
        <f>HYPERLINK("http://service.sap.com/sap/support/notes/1447946","1447946")</f>
        <v>1447946</v>
      </c>
      <c r="F3083" t="s">
        <v>3173</v>
      </c>
    </row>
    <row r="3084" spans="1:6">
      <c r="A3084" t="s">
        <v>2997</v>
      </c>
      <c r="B3084" t="s">
        <v>357</v>
      </c>
      <c r="C3084" t="s">
        <v>76</v>
      </c>
      <c r="D3084" t="str">
        <f>HYPERLINK("http://service.sap.com/sap/support/notes/1448837","1448837")</f>
        <v>1448837</v>
      </c>
      <c r="F3084" t="s">
        <v>3174</v>
      </c>
    </row>
    <row r="3085" spans="1:6">
      <c r="A3085" t="s">
        <v>2997</v>
      </c>
      <c r="B3085" t="s">
        <v>357</v>
      </c>
      <c r="C3085" t="s">
        <v>76</v>
      </c>
      <c r="D3085" t="str">
        <f>HYPERLINK("http://service.sap.com/sap/support/notes/1449001","1449001")</f>
        <v>1449001</v>
      </c>
      <c r="F3085" t="s">
        <v>3175</v>
      </c>
    </row>
    <row r="3086" spans="1:6">
      <c r="A3086" t="s">
        <v>2997</v>
      </c>
      <c r="B3086" t="s">
        <v>357</v>
      </c>
      <c r="C3086" t="s">
        <v>76</v>
      </c>
      <c r="D3086" t="str">
        <f>HYPERLINK("http://service.sap.com/sap/support/notes/1452038","1452038")</f>
        <v>1452038</v>
      </c>
      <c r="F3086" t="s">
        <v>3176</v>
      </c>
    </row>
    <row r="3087" spans="1:6">
      <c r="A3087" t="s">
        <v>2997</v>
      </c>
      <c r="B3087" t="s">
        <v>357</v>
      </c>
      <c r="C3087" t="s">
        <v>76</v>
      </c>
      <c r="D3087" t="str">
        <f>HYPERLINK("http://service.sap.com/sap/support/notes/1452887","1452887")</f>
        <v>1452887</v>
      </c>
      <c r="F3087" t="s">
        <v>3177</v>
      </c>
    </row>
    <row r="3088" spans="1:6">
      <c r="A3088" t="s">
        <v>2997</v>
      </c>
      <c r="B3088" t="s">
        <v>357</v>
      </c>
      <c r="C3088" t="s">
        <v>76</v>
      </c>
      <c r="D3088" t="str">
        <f>HYPERLINK("http://service.sap.com/sap/support/notes/1452954","1452954")</f>
        <v>1452954</v>
      </c>
      <c r="F3088" t="s">
        <v>3178</v>
      </c>
    </row>
    <row r="3089" spans="1:6">
      <c r="A3089" t="s">
        <v>2997</v>
      </c>
      <c r="B3089" t="s">
        <v>357</v>
      </c>
      <c r="C3089" t="s">
        <v>76</v>
      </c>
      <c r="D3089" t="str">
        <f>HYPERLINK("http://service.sap.com/sap/support/notes/1453463","1453463")</f>
        <v>1453463</v>
      </c>
      <c r="F3089" t="s">
        <v>3179</v>
      </c>
    </row>
    <row r="3090" spans="1:6">
      <c r="A3090" t="s">
        <v>2997</v>
      </c>
      <c r="B3090" t="s">
        <v>357</v>
      </c>
      <c r="C3090" t="s">
        <v>76</v>
      </c>
      <c r="D3090" t="str">
        <f>HYPERLINK("http://service.sap.com/sap/support/notes/1453659","1453659")</f>
        <v>1453659</v>
      </c>
      <c r="F3090" t="s">
        <v>3180</v>
      </c>
    </row>
    <row r="3091" spans="1:6">
      <c r="A3091" t="s">
        <v>2997</v>
      </c>
      <c r="B3091" t="s">
        <v>357</v>
      </c>
      <c r="C3091" t="s">
        <v>76</v>
      </c>
      <c r="D3091" t="str">
        <f>HYPERLINK("http://service.sap.com/sap/support/notes/1454049","1454049")</f>
        <v>1454049</v>
      </c>
      <c r="F3091" t="s">
        <v>3181</v>
      </c>
    </row>
    <row r="3092" spans="1:6">
      <c r="A3092" t="s">
        <v>2997</v>
      </c>
      <c r="B3092" t="s">
        <v>357</v>
      </c>
      <c r="C3092" t="s">
        <v>76</v>
      </c>
      <c r="D3092" t="str">
        <f>HYPERLINK("http://service.sap.com/sap/support/notes/1456296","1456296")</f>
        <v>1456296</v>
      </c>
      <c r="F3092" t="s">
        <v>3182</v>
      </c>
    </row>
    <row r="3093" spans="1:6">
      <c r="A3093" t="s">
        <v>2997</v>
      </c>
      <c r="B3093" t="s">
        <v>357</v>
      </c>
      <c r="C3093" t="s">
        <v>76</v>
      </c>
      <c r="D3093" t="str">
        <f>HYPERLINK("http://service.sap.com/sap/support/notes/1456556","1456556")</f>
        <v>1456556</v>
      </c>
      <c r="F3093" t="s">
        <v>3183</v>
      </c>
    </row>
    <row r="3094" spans="1:6">
      <c r="A3094" t="s">
        <v>2997</v>
      </c>
      <c r="B3094" t="s">
        <v>357</v>
      </c>
      <c r="C3094" t="s">
        <v>76</v>
      </c>
      <c r="D3094" t="str">
        <f>HYPERLINK("http://service.sap.com/sap/support/notes/1459149","1459149")</f>
        <v>1459149</v>
      </c>
      <c r="F3094" t="s">
        <v>3184</v>
      </c>
    </row>
    <row r="3095" spans="1:6">
      <c r="A3095" t="s">
        <v>2997</v>
      </c>
      <c r="B3095" t="s">
        <v>367</v>
      </c>
      <c r="C3095" t="s">
        <v>189</v>
      </c>
      <c r="D3095" t="str">
        <f>HYPERLINK("http://service.sap.com/sap/support/notes/1431204","1431204")</f>
        <v>1431204</v>
      </c>
      <c r="F3095" t="s">
        <v>3185</v>
      </c>
    </row>
    <row r="3096" spans="1:6">
      <c r="A3096" t="s">
        <v>2997</v>
      </c>
      <c r="B3096" t="s">
        <v>367</v>
      </c>
      <c r="C3096" t="s">
        <v>189</v>
      </c>
      <c r="D3096" t="str">
        <f>HYPERLINK("http://service.sap.com/sap/support/notes/1459511","1459511")</f>
        <v>1459511</v>
      </c>
      <c r="F3096" t="s">
        <v>3186</v>
      </c>
    </row>
    <row r="3097" spans="1:6">
      <c r="A3097" t="s">
        <v>2997</v>
      </c>
      <c r="B3097" t="s">
        <v>367</v>
      </c>
      <c r="C3097" t="s">
        <v>189</v>
      </c>
      <c r="D3097" t="str">
        <f>HYPERLINK("http://service.sap.com/sap/support/notes/1460070","1460070")</f>
        <v>1460070</v>
      </c>
      <c r="F3097" t="s">
        <v>3187</v>
      </c>
    </row>
    <row r="3098" spans="1:6">
      <c r="A3098" t="s">
        <v>2997</v>
      </c>
      <c r="B3098" t="s">
        <v>367</v>
      </c>
      <c r="C3098" t="s">
        <v>189</v>
      </c>
      <c r="D3098" t="str">
        <f>HYPERLINK("http://service.sap.com/sap/support/notes/1460504","1460504")</f>
        <v>1460504</v>
      </c>
      <c r="F3098" t="s">
        <v>3188</v>
      </c>
    </row>
    <row r="3099" spans="1:6">
      <c r="A3099" t="s">
        <v>2997</v>
      </c>
      <c r="B3099" t="s">
        <v>369</v>
      </c>
      <c r="C3099" t="s">
        <v>370</v>
      </c>
      <c r="D3099" t="str">
        <f>HYPERLINK("http://service.sap.com/sap/support/notes/1436379","1436379")</f>
        <v>1436379</v>
      </c>
      <c r="F3099" t="s">
        <v>3189</v>
      </c>
    </row>
    <row r="3100" spans="1:6">
      <c r="A3100" t="s">
        <v>2997</v>
      </c>
      <c r="B3100" t="s">
        <v>369</v>
      </c>
      <c r="C3100" t="s">
        <v>370</v>
      </c>
      <c r="D3100" t="str">
        <f>HYPERLINK("http://service.sap.com/sap/support/notes/1449972","1449972")</f>
        <v>1449972</v>
      </c>
      <c r="F3100" t="s">
        <v>3190</v>
      </c>
    </row>
    <row r="3101" spans="1:6">
      <c r="A3101" t="s">
        <v>2997</v>
      </c>
      <c r="B3101" t="s">
        <v>369</v>
      </c>
      <c r="C3101" t="s">
        <v>370</v>
      </c>
      <c r="D3101" t="str">
        <f>HYPERLINK("http://service.sap.com/sap/support/notes/1452298","1452298")</f>
        <v>1452298</v>
      </c>
      <c r="F3101" t="s">
        <v>3191</v>
      </c>
    </row>
    <row r="3102" spans="1:6">
      <c r="A3102" t="s">
        <v>2997</v>
      </c>
      <c r="B3102" t="s">
        <v>385</v>
      </c>
      <c r="C3102" t="s">
        <v>208</v>
      </c>
    </row>
    <row r="3103" spans="1:6">
      <c r="A3103" t="s">
        <v>2997</v>
      </c>
      <c r="B3103" t="s">
        <v>386</v>
      </c>
      <c r="C3103" t="s">
        <v>387</v>
      </c>
      <c r="D3103" t="str">
        <f>HYPERLINK("http://service.sap.com/sap/support/notes/1431054","1431054")</f>
        <v>1431054</v>
      </c>
      <c r="F3103" t="s">
        <v>3192</v>
      </c>
    </row>
    <row r="3104" spans="1:6">
      <c r="A3104" t="s">
        <v>2997</v>
      </c>
      <c r="B3104" t="s">
        <v>386</v>
      </c>
      <c r="C3104" t="s">
        <v>387</v>
      </c>
      <c r="D3104" t="str">
        <f>HYPERLINK("http://service.sap.com/sap/support/notes/1432428","1432428")</f>
        <v>1432428</v>
      </c>
      <c r="F3104" t="s">
        <v>3193</v>
      </c>
    </row>
    <row r="3105" spans="1:6">
      <c r="A3105" t="s">
        <v>2997</v>
      </c>
      <c r="B3105" t="s">
        <v>386</v>
      </c>
      <c r="C3105" t="s">
        <v>387</v>
      </c>
      <c r="D3105" t="str">
        <f>HYPERLINK("http://service.sap.com/sap/support/notes/1447474","1447474")</f>
        <v>1447474</v>
      </c>
      <c r="F3105" t="s">
        <v>3194</v>
      </c>
    </row>
    <row r="3106" spans="1:6">
      <c r="A3106" t="s">
        <v>2997</v>
      </c>
      <c r="B3106" t="s">
        <v>386</v>
      </c>
      <c r="C3106" t="s">
        <v>387</v>
      </c>
      <c r="D3106" t="str">
        <f>HYPERLINK("http://service.sap.com/sap/support/notes/1449215","1449215")</f>
        <v>1449215</v>
      </c>
      <c r="F3106" t="s">
        <v>3195</v>
      </c>
    </row>
    <row r="3107" spans="1:6">
      <c r="A3107" t="s">
        <v>2997</v>
      </c>
      <c r="B3107" t="s">
        <v>386</v>
      </c>
      <c r="C3107" t="s">
        <v>387</v>
      </c>
      <c r="D3107" t="str">
        <f>HYPERLINK("http://service.sap.com/sap/support/notes/1450849","1450849")</f>
        <v>1450849</v>
      </c>
      <c r="F3107" t="s">
        <v>3196</v>
      </c>
    </row>
    <row r="3108" spans="1:6">
      <c r="A3108" t="s">
        <v>2997</v>
      </c>
      <c r="B3108" t="s">
        <v>386</v>
      </c>
      <c r="C3108" t="s">
        <v>387</v>
      </c>
      <c r="D3108" t="str">
        <f>HYPERLINK("http://service.sap.com/sap/support/notes/1453456","1453456")</f>
        <v>1453456</v>
      </c>
      <c r="F3108" t="s">
        <v>3197</v>
      </c>
    </row>
    <row r="3109" spans="1:6">
      <c r="A3109" t="s">
        <v>2997</v>
      </c>
      <c r="B3109" t="s">
        <v>386</v>
      </c>
      <c r="C3109" t="s">
        <v>387</v>
      </c>
      <c r="D3109" t="str">
        <f>HYPERLINK("http://service.sap.com/sap/support/notes/1453588","1453588")</f>
        <v>1453588</v>
      </c>
      <c r="F3109" t="s">
        <v>3198</v>
      </c>
    </row>
    <row r="3110" spans="1:6">
      <c r="A3110" t="s">
        <v>2997</v>
      </c>
      <c r="B3110" t="s">
        <v>386</v>
      </c>
      <c r="C3110" t="s">
        <v>387</v>
      </c>
      <c r="D3110" t="str">
        <f>HYPERLINK("http://service.sap.com/sap/support/notes/1453729","1453729")</f>
        <v>1453729</v>
      </c>
      <c r="F3110" t="s">
        <v>3199</v>
      </c>
    </row>
    <row r="3111" spans="1:6">
      <c r="A3111" t="s">
        <v>2997</v>
      </c>
      <c r="B3111" t="s">
        <v>391</v>
      </c>
      <c r="C3111" t="s">
        <v>392</v>
      </c>
      <c r="D3111" t="str">
        <f>HYPERLINK("http://service.sap.com/sap/support/notes/1453813","1453813")</f>
        <v>1453813</v>
      </c>
      <c r="F3111" t="s">
        <v>3200</v>
      </c>
    </row>
    <row r="3112" spans="1:6">
      <c r="A3112" t="s">
        <v>2997</v>
      </c>
      <c r="B3112" t="s">
        <v>391</v>
      </c>
      <c r="C3112" t="s">
        <v>392</v>
      </c>
      <c r="D3112" t="str">
        <f>HYPERLINK("http://service.sap.com/sap/support/notes/1455251","1455251")</f>
        <v>1455251</v>
      </c>
      <c r="F3112" t="s">
        <v>3201</v>
      </c>
    </row>
    <row r="3113" spans="1:6">
      <c r="A3113" t="s">
        <v>2997</v>
      </c>
      <c r="B3113" t="s">
        <v>391</v>
      </c>
      <c r="C3113" t="s">
        <v>392</v>
      </c>
      <c r="D3113" t="str">
        <f>HYPERLINK("http://service.sap.com/sap/support/notes/1458888","1458888")</f>
        <v>1458888</v>
      </c>
      <c r="F3113" t="s">
        <v>3202</v>
      </c>
    </row>
    <row r="3114" spans="1:6">
      <c r="A3114" t="s">
        <v>2997</v>
      </c>
      <c r="B3114" t="s">
        <v>401</v>
      </c>
      <c r="C3114" t="s">
        <v>402</v>
      </c>
      <c r="D3114" t="str">
        <f>HYPERLINK("http://service.sap.com/sap/support/notes/1449033","1449033")</f>
        <v>1449033</v>
      </c>
      <c r="F3114" t="s">
        <v>3203</v>
      </c>
    </row>
    <row r="3115" spans="1:6">
      <c r="A3115" t="s">
        <v>2997</v>
      </c>
      <c r="B3115" t="s">
        <v>401</v>
      </c>
      <c r="C3115" t="s">
        <v>402</v>
      </c>
      <c r="D3115" t="str">
        <f>HYPERLINK("http://service.sap.com/sap/support/notes/1453275","1453275")</f>
        <v>1453275</v>
      </c>
      <c r="F3115" t="s">
        <v>3204</v>
      </c>
    </row>
    <row r="3116" spans="1:6">
      <c r="A3116" t="s">
        <v>2997</v>
      </c>
      <c r="B3116" t="s">
        <v>401</v>
      </c>
      <c r="C3116" t="s">
        <v>402</v>
      </c>
      <c r="D3116" t="str">
        <f>HYPERLINK("http://service.sap.com/sap/support/notes/1459499","1459499")</f>
        <v>1459499</v>
      </c>
      <c r="F3116" t="s">
        <v>3205</v>
      </c>
    </row>
    <row r="3117" spans="1:6">
      <c r="A3117" t="s">
        <v>2997</v>
      </c>
      <c r="B3117" t="s">
        <v>410</v>
      </c>
      <c r="C3117" t="s">
        <v>411</v>
      </c>
      <c r="D3117" t="str">
        <f>HYPERLINK("http://service.sap.com/sap/support/notes/1337155","1337155")</f>
        <v>1337155</v>
      </c>
      <c r="F3117" t="s">
        <v>3206</v>
      </c>
    </row>
    <row r="3118" spans="1:6">
      <c r="A3118" t="s">
        <v>2997</v>
      </c>
      <c r="B3118" t="s">
        <v>410</v>
      </c>
      <c r="C3118" t="s">
        <v>411</v>
      </c>
      <c r="D3118" t="str">
        <f>HYPERLINK("http://service.sap.com/sap/support/notes/1379621","1379621")</f>
        <v>1379621</v>
      </c>
      <c r="F3118" t="s">
        <v>1218</v>
      </c>
    </row>
    <row r="3119" spans="1:6">
      <c r="A3119" t="s">
        <v>2997</v>
      </c>
      <c r="B3119" t="s">
        <v>410</v>
      </c>
      <c r="C3119" t="s">
        <v>411</v>
      </c>
      <c r="D3119" t="str">
        <f>HYPERLINK("http://service.sap.com/sap/support/notes/1425161","1425161")</f>
        <v>1425161</v>
      </c>
      <c r="F3119" t="s">
        <v>2515</v>
      </c>
    </row>
    <row r="3120" spans="1:6">
      <c r="A3120" t="s">
        <v>2997</v>
      </c>
      <c r="B3120" t="s">
        <v>410</v>
      </c>
      <c r="C3120" t="s">
        <v>411</v>
      </c>
      <c r="D3120" t="str">
        <f>HYPERLINK("http://service.sap.com/sap/support/notes/1426933","1426933")</f>
        <v>1426933</v>
      </c>
      <c r="F3120" t="s">
        <v>3207</v>
      </c>
    </row>
    <row r="3121" spans="1:6">
      <c r="A3121" t="s">
        <v>2997</v>
      </c>
      <c r="B3121" t="s">
        <v>410</v>
      </c>
      <c r="C3121" t="s">
        <v>411</v>
      </c>
      <c r="D3121" t="str">
        <f>HYPERLINK("http://service.sap.com/sap/support/notes/1446929","1446929")</f>
        <v>1446929</v>
      </c>
      <c r="F3121" t="s">
        <v>2895</v>
      </c>
    </row>
    <row r="3122" spans="1:6">
      <c r="A3122" t="s">
        <v>2997</v>
      </c>
      <c r="B3122" t="s">
        <v>410</v>
      </c>
      <c r="C3122" t="s">
        <v>411</v>
      </c>
      <c r="D3122" t="str">
        <f>HYPERLINK("http://service.sap.com/sap/support/notes/1447180","1447180")</f>
        <v>1447180</v>
      </c>
      <c r="F3122" t="s">
        <v>3208</v>
      </c>
    </row>
    <row r="3123" spans="1:6">
      <c r="A3123" t="s">
        <v>2997</v>
      </c>
      <c r="B3123" t="s">
        <v>410</v>
      </c>
      <c r="C3123" t="s">
        <v>411</v>
      </c>
      <c r="D3123" t="str">
        <f>HYPERLINK("http://service.sap.com/sap/support/notes/1448472","1448472")</f>
        <v>1448472</v>
      </c>
      <c r="F3123" t="s">
        <v>3209</v>
      </c>
    </row>
    <row r="3124" spans="1:6">
      <c r="A3124" t="s">
        <v>2997</v>
      </c>
      <c r="B3124" t="s">
        <v>410</v>
      </c>
      <c r="C3124" t="s">
        <v>411</v>
      </c>
      <c r="D3124" t="str">
        <f>HYPERLINK("http://service.sap.com/sap/support/notes/1450482","1450482")</f>
        <v>1450482</v>
      </c>
      <c r="F3124" t="s">
        <v>3210</v>
      </c>
    </row>
    <row r="3125" spans="1:6">
      <c r="A3125" t="s">
        <v>2997</v>
      </c>
      <c r="B3125" t="s">
        <v>410</v>
      </c>
      <c r="C3125" t="s">
        <v>411</v>
      </c>
      <c r="D3125" t="str">
        <f>HYPERLINK("http://service.sap.com/sap/support/notes/1450749","1450749")</f>
        <v>1450749</v>
      </c>
      <c r="F3125" t="s">
        <v>3211</v>
      </c>
    </row>
    <row r="3126" spans="1:6">
      <c r="A3126" t="s">
        <v>2997</v>
      </c>
      <c r="B3126" t="s">
        <v>410</v>
      </c>
      <c r="C3126" t="s">
        <v>411</v>
      </c>
      <c r="D3126" t="str">
        <f>HYPERLINK("http://service.sap.com/sap/support/notes/1451064","1451064")</f>
        <v>1451064</v>
      </c>
      <c r="F3126" t="s">
        <v>2525</v>
      </c>
    </row>
    <row r="3127" spans="1:6">
      <c r="A3127" t="s">
        <v>2997</v>
      </c>
      <c r="B3127" t="s">
        <v>410</v>
      </c>
      <c r="C3127" t="s">
        <v>411</v>
      </c>
      <c r="D3127" t="str">
        <f>HYPERLINK("http://service.sap.com/sap/support/notes/1451081","1451081")</f>
        <v>1451081</v>
      </c>
      <c r="F3127" t="s">
        <v>3212</v>
      </c>
    </row>
    <row r="3128" spans="1:6">
      <c r="A3128" t="s">
        <v>2997</v>
      </c>
      <c r="B3128" t="s">
        <v>410</v>
      </c>
      <c r="C3128" t="s">
        <v>411</v>
      </c>
      <c r="D3128" t="str">
        <f>HYPERLINK("http://service.sap.com/sap/support/notes/1452218","1452218")</f>
        <v>1452218</v>
      </c>
      <c r="F3128" t="s">
        <v>3213</v>
      </c>
    </row>
    <row r="3129" spans="1:6">
      <c r="A3129" t="s">
        <v>2997</v>
      </c>
      <c r="B3129" t="s">
        <v>410</v>
      </c>
      <c r="C3129" t="s">
        <v>411</v>
      </c>
      <c r="D3129" t="str">
        <f>HYPERLINK("http://service.sap.com/sap/support/notes/1452951","1452951")</f>
        <v>1452951</v>
      </c>
      <c r="F3129" t="s">
        <v>3214</v>
      </c>
    </row>
    <row r="3130" spans="1:6">
      <c r="A3130" t="s">
        <v>2997</v>
      </c>
      <c r="B3130" t="s">
        <v>410</v>
      </c>
      <c r="C3130" t="s">
        <v>411</v>
      </c>
      <c r="D3130" t="str">
        <f>HYPERLINK("http://service.sap.com/sap/support/notes/1454689","1454689")</f>
        <v>1454689</v>
      </c>
      <c r="F3130" t="s">
        <v>3215</v>
      </c>
    </row>
    <row r="3131" spans="1:6">
      <c r="A3131" t="s">
        <v>2997</v>
      </c>
      <c r="B3131" t="s">
        <v>410</v>
      </c>
      <c r="C3131" t="s">
        <v>411</v>
      </c>
      <c r="D3131" t="str">
        <f>HYPERLINK("http://service.sap.com/sap/support/notes/1455360","1455360")</f>
        <v>1455360</v>
      </c>
      <c r="F3131" t="s">
        <v>3216</v>
      </c>
    </row>
    <row r="3132" spans="1:6">
      <c r="A3132" t="s">
        <v>2997</v>
      </c>
      <c r="B3132" t="s">
        <v>410</v>
      </c>
      <c r="C3132" t="s">
        <v>411</v>
      </c>
      <c r="D3132" t="str">
        <f>HYPERLINK("http://service.sap.com/sap/support/notes/1455402","1455402")</f>
        <v>1455402</v>
      </c>
      <c r="F3132" t="s">
        <v>3217</v>
      </c>
    </row>
    <row r="3133" spans="1:6">
      <c r="A3133" t="s">
        <v>2997</v>
      </c>
      <c r="B3133" t="s">
        <v>410</v>
      </c>
      <c r="C3133" t="s">
        <v>411</v>
      </c>
      <c r="D3133" t="str">
        <f>HYPERLINK("http://service.sap.com/sap/support/notes/1456076","1456076")</f>
        <v>1456076</v>
      </c>
      <c r="F3133" t="s">
        <v>3218</v>
      </c>
    </row>
    <row r="3134" spans="1:6">
      <c r="A3134" t="s">
        <v>2997</v>
      </c>
      <c r="B3134" t="s">
        <v>410</v>
      </c>
      <c r="C3134" t="s">
        <v>411</v>
      </c>
      <c r="D3134" t="str">
        <f>HYPERLINK("http://service.sap.com/sap/support/notes/1457424","1457424")</f>
        <v>1457424</v>
      </c>
      <c r="F3134" t="s">
        <v>3219</v>
      </c>
    </row>
    <row r="3135" spans="1:6">
      <c r="A3135" t="s">
        <v>2997</v>
      </c>
      <c r="B3135" t="s">
        <v>410</v>
      </c>
      <c r="C3135" t="s">
        <v>411</v>
      </c>
      <c r="D3135" t="str">
        <f>HYPERLINK("http://service.sap.com/sap/support/notes/1458396","1458396")</f>
        <v>1458396</v>
      </c>
      <c r="F3135" t="s">
        <v>3220</v>
      </c>
    </row>
    <row r="3136" spans="1:6">
      <c r="A3136" t="s">
        <v>2997</v>
      </c>
      <c r="B3136" t="s">
        <v>410</v>
      </c>
      <c r="C3136" t="s">
        <v>411</v>
      </c>
      <c r="D3136" t="str">
        <f>HYPERLINK("http://service.sap.com/sap/support/notes/1458840","1458840")</f>
        <v>1458840</v>
      </c>
      <c r="F3136" t="s">
        <v>3221</v>
      </c>
    </row>
    <row r="3137" spans="1:6">
      <c r="A3137" t="s">
        <v>2997</v>
      </c>
      <c r="B3137" t="s">
        <v>410</v>
      </c>
      <c r="C3137" t="s">
        <v>411</v>
      </c>
      <c r="D3137" t="str">
        <f>HYPERLINK("http://service.sap.com/sap/support/notes/1458864","1458864")</f>
        <v>1458864</v>
      </c>
      <c r="F3137" t="s">
        <v>3222</v>
      </c>
    </row>
    <row r="3138" spans="1:6">
      <c r="A3138" t="s">
        <v>2997</v>
      </c>
      <c r="B3138" t="s">
        <v>410</v>
      </c>
      <c r="C3138" t="s">
        <v>411</v>
      </c>
      <c r="D3138" t="str">
        <f>HYPERLINK("http://service.sap.com/sap/support/notes/1459813","1459813")</f>
        <v>1459813</v>
      </c>
      <c r="F3138" t="s">
        <v>3223</v>
      </c>
    </row>
    <row r="3139" spans="1:6">
      <c r="A3139" t="s">
        <v>2997</v>
      </c>
      <c r="B3139" t="s">
        <v>410</v>
      </c>
      <c r="C3139" t="s">
        <v>411</v>
      </c>
      <c r="D3139" t="str">
        <f>HYPERLINK("http://service.sap.com/sap/support/notes/1459875","1459875")</f>
        <v>1459875</v>
      </c>
      <c r="F3139" t="s">
        <v>3224</v>
      </c>
    </row>
    <row r="3140" spans="1:6">
      <c r="A3140" t="s">
        <v>2997</v>
      </c>
      <c r="B3140" t="s">
        <v>410</v>
      </c>
      <c r="C3140" t="s">
        <v>411</v>
      </c>
      <c r="D3140" t="str">
        <f>HYPERLINK("http://service.sap.com/sap/support/notes/1460919","1460919")</f>
        <v>1460919</v>
      </c>
      <c r="F3140" t="s">
        <v>3225</v>
      </c>
    </row>
    <row r="3141" spans="1:6">
      <c r="A3141" t="s">
        <v>2997</v>
      </c>
      <c r="B3141" t="s">
        <v>410</v>
      </c>
      <c r="C3141" t="s">
        <v>411</v>
      </c>
      <c r="D3141" t="str">
        <f>HYPERLINK("http://service.sap.com/sap/support/notes/1462025","1462025")</f>
        <v>1462025</v>
      </c>
      <c r="F3141" t="s">
        <v>3226</v>
      </c>
    </row>
    <row r="3142" spans="1:6">
      <c r="A3142" t="s">
        <v>2997</v>
      </c>
      <c r="B3142" t="s">
        <v>424</v>
      </c>
      <c r="C3142" t="s">
        <v>425</v>
      </c>
      <c r="D3142" t="str">
        <f>HYPERLINK("http://service.sap.com/sap/support/notes/1398820","1398820")</f>
        <v>1398820</v>
      </c>
      <c r="F3142" t="s">
        <v>437</v>
      </c>
    </row>
    <row r="3143" spans="1:6">
      <c r="A3143" t="s">
        <v>2997</v>
      </c>
      <c r="B3143" t="s">
        <v>424</v>
      </c>
      <c r="C3143" t="s">
        <v>425</v>
      </c>
      <c r="D3143" t="str">
        <f>HYPERLINK("http://service.sap.com/sap/support/notes/1444311","1444311")</f>
        <v>1444311</v>
      </c>
      <c r="F3143" t="s">
        <v>3227</v>
      </c>
    </row>
    <row r="3144" spans="1:6">
      <c r="A3144" t="s">
        <v>2997</v>
      </c>
      <c r="B3144" t="s">
        <v>424</v>
      </c>
      <c r="C3144" t="s">
        <v>425</v>
      </c>
      <c r="D3144" t="str">
        <f>HYPERLINK("http://service.sap.com/sap/support/notes/1444464","1444464")</f>
        <v>1444464</v>
      </c>
      <c r="F3144" t="s">
        <v>3228</v>
      </c>
    </row>
    <row r="3145" spans="1:6">
      <c r="A3145" t="s">
        <v>2997</v>
      </c>
      <c r="B3145" t="s">
        <v>424</v>
      </c>
      <c r="C3145" t="s">
        <v>425</v>
      </c>
      <c r="D3145" t="str">
        <f>HYPERLINK("http://service.sap.com/sap/support/notes/1445838","1445838")</f>
        <v>1445838</v>
      </c>
      <c r="F3145" t="s">
        <v>3229</v>
      </c>
    </row>
    <row r="3146" spans="1:6">
      <c r="A3146" t="s">
        <v>2997</v>
      </c>
      <c r="B3146" t="s">
        <v>424</v>
      </c>
      <c r="C3146" t="s">
        <v>425</v>
      </c>
      <c r="D3146" t="str">
        <f>HYPERLINK("http://service.sap.com/sap/support/notes/1449991","1449991")</f>
        <v>1449991</v>
      </c>
      <c r="F3146" t="s">
        <v>3230</v>
      </c>
    </row>
    <row r="3147" spans="1:6">
      <c r="A3147" t="s">
        <v>2997</v>
      </c>
      <c r="B3147" t="s">
        <v>424</v>
      </c>
      <c r="C3147" t="s">
        <v>425</v>
      </c>
      <c r="D3147" t="str">
        <f>HYPERLINK("http://service.sap.com/sap/support/notes/1453489","1453489")</f>
        <v>1453489</v>
      </c>
      <c r="F3147" t="s">
        <v>3231</v>
      </c>
    </row>
    <row r="3148" spans="1:6">
      <c r="A3148" t="s">
        <v>2997</v>
      </c>
      <c r="B3148" t="s">
        <v>441</v>
      </c>
      <c r="C3148" t="s">
        <v>442</v>
      </c>
      <c r="D3148" t="str">
        <f>HYPERLINK("http://service.sap.com/sap/support/notes/1448534","1448534")</f>
        <v>1448534</v>
      </c>
      <c r="F3148" t="s">
        <v>3232</v>
      </c>
    </row>
    <row r="3149" spans="1:6">
      <c r="A3149" t="s">
        <v>2997</v>
      </c>
      <c r="B3149" t="s">
        <v>441</v>
      </c>
      <c r="C3149" t="s">
        <v>442</v>
      </c>
      <c r="D3149" t="str">
        <f>HYPERLINK("http://service.sap.com/sap/support/notes/1451617","1451617")</f>
        <v>1451617</v>
      </c>
      <c r="F3149" t="s">
        <v>3233</v>
      </c>
    </row>
    <row r="3150" spans="1:6">
      <c r="A3150" t="s">
        <v>2997</v>
      </c>
      <c r="B3150" t="s">
        <v>441</v>
      </c>
      <c r="C3150" t="s">
        <v>442</v>
      </c>
      <c r="D3150" t="str">
        <f>HYPERLINK("http://service.sap.com/sap/support/notes/1451676","1451676")</f>
        <v>1451676</v>
      </c>
      <c r="F3150" t="s">
        <v>3234</v>
      </c>
    </row>
    <row r="3151" spans="1:6">
      <c r="A3151" t="s">
        <v>2997</v>
      </c>
      <c r="B3151" t="s">
        <v>441</v>
      </c>
      <c r="C3151" t="s">
        <v>442</v>
      </c>
      <c r="D3151" t="str">
        <f>HYPERLINK("http://service.sap.com/sap/support/notes/1452211","1452211")</f>
        <v>1452211</v>
      </c>
      <c r="F3151" t="s">
        <v>2912</v>
      </c>
    </row>
    <row r="3152" spans="1:6">
      <c r="A3152" t="s">
        <v>2997</v>
      </c>
      <c r="B3152" t="s">
        <v>441</v>
      </c>
      <c r="C3152" t="s">
        <v>442</v>
      </c>
      <c r="D3152" t="str">
        <f>HYPERLINK("http://service.sap.com/sap/support/notes/1453767","1453767")</f>
        <v>1453767</v>
      </c>
      <c r="F3152" t="s">
        <v>3235</v>
      </c>
    </row>
    <row r="3153" spans="1:6">
      <c r="A3153" t="s">
        <v>2997</v>
      </c>
      <c r="B3153" t="s">
        <v>441</v>
      </c>
      <c r="C3153" t="s">
        <v>442</v>
      </c>
      <c r="D3153" t="str">
        <f>HYPERLINK("http://service.sap.com/sap/support/notes/1455335","1455335")</f>
        <v>1455335</v>
      </c>
      <c r="F3153" t="s">
        <v>3236</v>
      </c>
    </row>
    <row r="3154" spans="1:6">
      <c r="A3154" t="s">
        <v>2997</v>
      </c>
      <c r="B3154" t="s">
        <v>441</v>
      </c>
      <c r="C3154" t="s">
        <v>442</v>
      </c>
      <c r="D3154" t="str">
        <f>HYPERLINK("http://service.sap.com/sap/support/notes/1455971","1455971")</f>
        <v>1455971</v>
      </c>
      <c r="F3154" t="s">
        <v>3237</v>
      </c>
    </row>
    <row r="3155" spans="1:6">
      <c r="A3155" t="s">
        <v>2997</v>
      </c>
      <c r="B3155" t="s">
        <v>441</v>
      </c>
      <c r="C3155" t="s">
        <v>442</v>
      </c>
      <c r="D3155" t="str">
        <f>HYPERLINK("http://service.sap.com/sap/support/notes/1458386","1458386")</f>
        <v>1458386</v>
      </c>
      <c r="F3155" t="s">
        <v>3238</v>
      </c>
    </row>
    <row r="3156" spans="1:6">
      <c r="A3156" t="s">
        <v>2997</v>
      </c>
      <c r="B3156" t="s">
        <v>441</v>
      </c>
      <c r="C3156" t="s">
        <v>442</v>
      </c>
      <c r="D3156" t="str">
        <f>HYPERLINK("http://service.sap.com/sap/support/notes/1459796","1459796")</f>
        <v>1459796</v>
      </c>
      <c r="F3156" t="s">
        <v>3239</v>
      </c>
    </row>
    <row r="3157" spans="1:6">
      <c r="A3157" t="s">
        <v>2997</v>
      </c>
      <c r="B3157" t="s">
        <v>441</v>
      </c>
      <c r="C3157" t="s">
        <v>442</v>
      </c>
      <c r="D3157" t="str">
        <f>HYPERLINK("http://service.sap.com/sap/support/notes/1460858","1460858")</f>
        <v>1460858</v>
      </c>
      <c r="F3157" t="s">
        <v>3240</v>
      </c>
    </row>
    <row r="3158" spans="1:6">
      <c r="A3158" t="s">
        <v>2997</v>
      </c>
      <c r="B3158" t="s">
        <v>441</v>
      </c>
      <c r="C3158" t="s">
        <v>442</v>
      </c>
      <c r="D3158" t="str">
        <f>HYPERLINK("http://service.sap.com/sap/support/notes/1461845","1461845")</f>
        <v>1461845</v>
      </c>
      <c r="F3158" t="s">
        <v>3237</v>
      </c>
    </row>
    <row r="3159" spans="1:6">
      <c r="A3159" t="s">
        <v>2997</v>
      </c>
      <c r="B3159" t="s">
        <v>1247</v>
      </c>
      <c r="C3159" t="s">
        <v>87</v>
      </c>
      <c r="D3159" t="str">
        <f>HYPERLINK("http://service.sap.com/sap/support/notes/1379685","1379685")</f>
        <v>1379685</v>
      </c>
      <c r="F3159" t="s">
        <v>3241</v>
      </c>
    </row>
    <row r="3160" spans="1:6">
      <c r="A3160" t="s">
        <v>2997</v>
      </c>
      <c r="B3160" t="s">
        <v>1247</v>
      </c>
      <c r="C3160" t="s">
        <v>87</v>
      </c>
      <c r="D3160" t="str">
        <f>HYPERLINK("http://service.sap.com/sap/support/notes/1446804","1446804")</f>
        <v>1446804</v>
      </c>
      <c r="F3160" t="s">
        <v>2921</v>
      </c>
    </row>
    <row r="3161" spans="1:6">
      <c r="A3161" t="s">
        <v>2997</v>
      </c>
      <c r="B3161" t="s">
        <v>1247</v>
      </c>
      <c r="C3161" t="s">
        <v>87</v>
      </c>
      <c r="D3161" t="str">
        <f>HYPERLINK("http://service.sap.com/sap/support/notes/1449971","1449971")</f>
        <v>1449971</v>
      </c>
      <c r="F3161" t="s">
        <v>3242</v>
      </c>
    </row>
    <row r="3162" spans="1:6">
      <c r="A3162" t="s">
        <v>2997</v>
      </c>
      <c r="B3162" t="s">
        <v>1247</v>
      </c>
      <c r="C3162" t="s">
        <v>87</v>
      </c>
      <c r="D3162" t="str">
        <f>HYPERLINK("http://service.sap.com/sap/support/notes/1451051","1451051")</f>
        <v>1451051</v>
      </c>
      <c r="F3162" t="s">
        <v>3243</v>
      </c>
    </row>
    <row r="3163" spans="1:6">
      <c r="A3163" t="s">
        <v>2997</v>
      </c>
      <c r="B3163" t="s">
        <v>1247</v>
      </c>
      <c r="C3163" t="s">
        <v>87</v>
      </c>
      <c r="D3163" t="str">
        <f>HYPERLINK("http://service.sap.com/sap/support/notes/1454319","1454319")</f>
        <v>1454319</v>
      </c>
      <c r="F3163" t="s">
        <v>3244</v>
      </c>
    </row>
    <row r="3164" spans="1:6">
      <c r="A3164" t="s">
        <v>2997</v>
      </c>
      <c r="B3164" t="s">
        <v>1247</v>
      </c>
      <c r="C3164" t="s">
        <v>87</v>
      </c>
      <c r="D3164" t="str">
        <f>HYPERLINK("http://service.sap.com/sap/support/notes/1455510","1455510")</f>
        <v>1455510</v>
      </c>
      <c r="F3164" t="s">
        <v>3245</v>
      </c>
    </row>
    <row r="3165" spans="1:6">
      <c r="A3165" t="s">
        <v>2997</v>
      </c>
      <c r="B3165" t="s">
        <v>450</v>
      </c>
      <c r="C3165" t="s">
        <v>451</v>
      </c>
      <c r="D3165" t="str">
        <f>HYPERLINK("http://service.sap.com/sap/support/notes/1407277","1407277")</f>
        <v>1407277</v>
      </c>
      <c r="F3165" t="s">
        <v>3246</v>
      </c>
    </row>
    <row r="3166" spans="1:6">
      <c r="A3166" t="s">
        <v>2997</v>
      </c>
      <c r="B3166" t="s">
        <v>450</v>
      </c>
      <c r="C3166" t="s">
        <v>451</v>
      </c>
      <c r="D3166" t="str">
        <f>HYPERLINK("http://service.sap.com/sap/support/notes/1432776","1432776")</f>
        <v>1432776</v>
      </c>
      <c r="F3166" t="s">
        <v>3247</v>
      </c>
    </row>
    <row r="3167" spans="1:6">
      <c r="A3167" t="s">
        <v>2997</v>
      </c>
      <c r="B3167" t="s">
        <v>450</v>
      </c>
      <c r="C3167" t="s">
        <v>451</v>
      </c>
      <c r="D3167" t="str">
        <f>HYPERLINK("http://service.sap.com/sap/support/notes/1448287","1448287")</f>
        <v>1448287</v>
      </c>
      <c r="F3167" t="s">
        <v>3248</v>
      </c>
    </row>
    <row r="3168" spans="1:6">
      <c r="A3168" t="s">
        <v>2997</v>
      </c>
      <c r="B3168" t="s">
        <v>450</v>
      </c>
      <c r="C3168" t="s">
        <v>451</v>
      </c>
      <c r="D3168" t="str">
        <f>HYPERLINK("http://service.sap.com/sap/support/notes/1455493","1455493")</f>
        <v>1455493</v>
      </c>
      <c r="F3168" t="s">
        <v>3249</v>
      </c>
    </row>
    <row r="3169" spans="1:6">
      <c r="A3169" t="s">
        <v>2997</v>
      </c>
      <c r="B3169" t="s">
        <v>455</v>
      </c>
      <c r="C3169" t="s">
        <v>456</v>
      </c>
      <c r="D3169" t="str">
        <f>HYPERLINK("http://service.sap.com/sap/support/notes/1446518","1446518")</f>
        <v>1446518</v>
      </c>
      <c r="F3169" t="s">
        <v>3250</v>
      </c>
    </row>
    <row r="3170" spans="1:6">
      <c r="A3170" t="s">
        <v>2997</v>
      </c>
      <c r="B3170" t="s">
        <v>455</v>
      </c>
      <c r="C3170" t="s">
        <v>456</v>
      </c>
      <c r="D3170" t="str">
        <f>HYPERLINK("http://service.sap.com/sap/support/notes/1456801","1456801")</f>
        <v>1456801</v>
      </c>
      <c r="F3170" t="s">
        <v>3251</v>
      </c>
    </row>
    <row r="3171" spans="1:6">
      <c r="A3171" t="s">
        <v>2997</v>
      </c>
      <c r="B3171" t="s">
        <v>458</v>
      </c>
      <c r="C3171" t="s">
        <v>90</v>
      </c>
      <c r="D3171" t="str">
        <f>HYPERLINK("http://service.sap.com/sap/support/notes/1446162","1446162")</f>
        <v>1446162</v>
      </c>
      <c r="F3171" t="s">
        <v>3252</v>
      </c>
    </row>
    <row r="3172" spans="1:6">
      <c r="A3172" t="s">
        <v>2997</v>
      </c>
      <c r="B3172" t="s">
        <v>458</v>
      </c>
      <c r="C3172" t="s">
        <v>90</v>
      </c>
      <c r="D3172" t="str">
        <f>HYPERLINK("http://service.sap.com/sap/support/notes/1448983","1448983")</f>
        <v>1448983</v>
      </c>
      <c r="F3172" t="s">
        <v>3253</v>
      </c>
    </row>
    <row r="3173" spans="1:6">
      <c r="A3173" t="s">
        <v>2997</v>
      </c>
      <c r="B3173" t="s">
        <v>458</v>
      </c>
      <c r="C3173" t="s">
        <v>90</v>
      </c>
      <c r="D3173" t="str">
        <f>HYPERLINK("http://service.sap.com/sap/support/notes/1449469","1449469")</f>
        <v>1449469</v>
      </c>
      <c r="F3173" t="s">
        <v>3254</v>
      </c>
    </row>
    <row r="3174" spans="1:6">
      <c r="A3174" t="s">
        <v>2997</v>
      </c>
      <c r="B3174" t="s">
        <v>458</v>
      </c>
      <c r="C3174" t="s">
        <v>90</v>
      </c>
      <c r="D3174" t="str">
        <f>HYPERLINK("http://service.sap.com/sap/support/notes/1450631","1450631")</f>
        <v>1450631</v>
      </c>
      <c r="F3174" t="s">
        <v>3255</v>
      </c>
    </row>
    <row r="3175" spans="1:6">
      <c r="A3175" t="s">
        <v>2997</v>
      </c>
      <c r="B3175" t="s">
        <v>458</v>
      </c>
      <c r="C3175" t="s">
        <v>90</v>
      </c>
      <c r="D3175" t="str">
        <f>HYPERLINK("http://service.sap.com/sap/support/notes/1452374","1452374")</f>
        <v>1452374</v>
      </c>
      <c r="F3175" t="s">
        <v>3256</v>
      </c>
    </row>
    <row r="3176" spans="1:6">
      <c r="A3176" t="s">
        <v>2997</v>
      </c>
      <c r="B3176" t="s">
        <v>458</v>
      </c>
      <c r="C3176" t="s">
        <v>90</v>
      </c>
      <c r="D3176" t="str">
        <f>HYPERLINK("http://service.sap.com/sap/support/notes/1453740","1453740")</f>
        <v>1453740</v>
      </c>
      <c r="F3176" t="s">
        <v>3257</v>
      </c>
    </row>
    <row r="3177" spans="1:6">
      <c r="A3177" t="s">
        <v>2997</v>
      </c>
      <c r="B3177" t="s">
        <v>458</v>
      </c>
      <c r="C3177" t="s">
        <v>90</v>
      </c>
      <c r="D3177" t="str">
        <f>HYPERLINK("http://service.sap.com/sap/support/notes/1453891","1453891")</f>
        <v>1453891</v>
      </c>
      <c r="F3177" t="s">
        <v>3258</v>
      </c>
    </row>
    <row r="3178" spans="1:6">
      <c r="A3178" t="s">
        <v>2997</v>
      </c>
      <c r="B3178" t="s">
        <v>458</v>
      </c>
      <c r="C3178" t="s">
        <v>90</v>
      </c>
      <c r="D3178" t="str">
        <f>HYPERLINK("http://service.sap.com/sap/support/notes/1456064","1456064")</f>
        <v>1456064</v>
      </c>
      <c r="F3178" t="s">
        <v>3259</v>
      </c>
    </row>
    <row r="3179" spans="1:6">
      <c r="A3179" t="s">
        <v>2997</v>
      </c>
      <c r="B3179" t="s">
        <v>463</v>
      </c>
      <c r="C3179" t="s">
        <v>93</v>
      </c>
      <c r="D3179" t="str">
        <f>HYPERLINK("http://service.sap.com/sap/support/notes/1450260","1450260")</f>
        <v>1450260</v>
      </c>
      <c r="F3179" t="s">
        <v>3260</v>
      </c>
    </row>
    <row r="3180" spans="1:6">
      <c r="A3180" t="s">
        <v>2997</v>
      </c>
      <c r="B3180" t="s">
        <v>463</v>
      </c>
      <c r="C3180" t="s">
        <v>93</v>
      </c>
      <c r="D3180" t="str">
        <f>HYPERLINK("http://service.sap.com/sap/support/notes/1456817","1456817")</f>
        <v>1456817</v>
      </c>
      <c r="F3180" t="s">
        <v>3261</v>
      </c>
    </row>
    <row r="3181" spans="1:6">
      <c r="A3181" t="s">
        <v>2997</v>
      </c>
      <c r="B3181" t="s">
        <v>463</v>
      </c>
      <c r="C3181" t="s">
        <v>93</v>
      </c>
      <c r="D3181" t="str">
        <f>HYPERLINK("http://service.sap.com/sap/support/notes/1457247","1457247")</f>
        <v>1457247</v>
      </c>
      <c r="F3181" t="s">
        <v>3262</v>
      </c>
    </row>
    <row r="3182" spans="1:6">
      <c r="A3182" t="s">
        <v>2997</v>
      </c>
      <c r="B3182" t="s">
        <v>475</v>
      </c>
      <c r="C3182" t="s">
        <v>476</v>
      </c>
      <c r="D3182" t="str">
        <f>HYPERLINK("http://service.sap.com/sap/support/notes/1435054","1435054")</f>
        <v>1435054</v>
      </c>
      <c r="F3182" t="s">
        <v>3263</v>
      </c>
    </row>
    <row r="3183" spans="1:6">
      <c r="A3183" t="s">
        <v>2997</v>
      </c>
      <c r="B3183" t="s">
        <v>1272</v>
      </c>
      <c r="C3183" t="s">
        <v>2221</v>
      </c>
      <c r="D3183" t="str">
        <f>HYPERLINK("http://service.sap.com/sap/support/notes/1447157","1447157")</f>
        <v>1447157</v>
      </c>
      <c r="F3183" t="s">
        <v>3264</v>
      </c>
    </row>
    <row r="3184" spans="1:6">
      <c r="A3184" t="s">
        <v>2997</v>
      </c>
      <c r="B3184" t="s">
        <v>479</v>
      </c>
      <c r="C3184" t="s">
        <v>480</v>
      </c>
      <c r="D3184" t="str">
        <f>HYPERLINK("http://service.sap.com/sap/support/notes/1453267","1453267")</f>
        <v>1453267</v>
      </c>
      <c r="F3184" t="s">
        <v>3265</v>
      </c>
    </row>
    <row r="3185" spans="1:6">
      <c r="A3185" t="s">
        <v>2997</v>
      </c>
      <c r="B3185" t="s">
        <v>479</v>
      </c>
      <c r="C3185" t="s">
        <v>480</v>
      </c>
      <c r="D3185" t="str">
        <f>HYPERLINK("http://service.sap.com/sap/support/notes/1455767","1455767")</f>
        <v>1455767</v>
      </c>
      <c r="F3185" t="s">
        <v>3266</v>
      </c>
    </row>
    <row r="3186" spans="1:6">
      <c r="A3186" t="s">
        <v>2997</v>
      </c>
      <c r="B3186" t="s">
        <v>485</v>
      </c>
      <c r="C3186" t="s">
        <v>486</v>
      </c>
      <c r="D3186" t="str">
        <f>HYPERLINK("http://service.sap.com/sap/support/notes/1455939","1455939")</f>
        <v>1455939</v>
      </c>
      <c r="F3186" t="s">
        <v>3267</v>
      </c>
    </row>
    <row r="3187" spans="1:6">
      <c r="A3187" t="s">
        <v>2997</v>
      </c>
      <c r="B3187" t="s">
        <v>489</v>
      </c>
      <c r="C3187" t="s">
        <v>490</v>
      </c>
      <c r="D3187" t="str">
        <f>HYPERLINK("http://service.sap.com/sap/support/notes/1455080","1455080")</f>
        <v>1455080</v>
      </c>
      <c r="F3187" t="s">
        <v>3268</v>
      </c>
    </row>
    <row r="3188" spans="1:6">
      <c r="A3188" t="s">
        <v>2997</v>
      </c>
      <c r="B3188" t="s">
        <v>489</v>
      </c>
      <c r="C3188" t="s">
        <v>490</v>
      </c>
      <c r="D3188" t="str">
        <f>HYPERLINK("http://service.sap.com/sap/support/notes/1458853","1458853")</f>
        <v>1458853</v>
      </c>
      <c r="F3188" t="s">
        <v>3269</v>
      </c>
    </row>
    <row r="3189" spans="1:6">
      <c r="A3189" t="s">
        <v>2997</v>
      </c>
      <c r="B3189" t="s">
        <v>492</v>
      </c>
      <c r="C3189" t="s">
        <v>493</v>
      </c>
      <c r="D3189" t="str">
        <f>HYPERLINK("http://service.sap.com/sap/support/notes/1433590","1433590")</f>
        <v>1433590</v>
      </c>
      <c r="F3189" t="s">
        <v>2586</v>
      </c>
    </row>
    <row r="3190" spans="1:6">
      <c r="A3190" t="s">
        <v>2997</v>
      </c>
      <c r="B3190" t="s">
        <v>492</v>
      </c>
      <c r="C3190" t="s">
        <v>493</v>
      </c>
      <c r="D3190" t="str">
        <f>HYPERLINK("http://service.sap.com/sap/support/notes/1448213","1448213")</f>
        <v>1448213</v>
      </c>
      <c r="F3190" t="s">
        <v>2965</v>
      </c>
    </row>
    <row r="3191" spans="1:6">
      <c r="A3191" t="s">
        <v>2997</v>
      </c>
      <c r="B3191" t="s">
        <v>492</v>
      </c>
      <c r="C3191" t="s">
        <v>493</v>
      </c>
      <c r="D3191" t="str">
        <f>HYPERLINK("http://service.sap.com/sap/support/notes/1448758","1448758")</f>
        <v>1448758</v>
      </c>
      <c r="F3191" t="s">
        <v>3270</v>
      </c>
    </row>
    <row r="3192" spans="1:6">
      <c r="A3192" t="s">
        <v>2997</v>
      </c>
      <c r="B3192" t="s">
        <v>492</v>
      </c>
      <c r="C3192" t="s">
        <v>493</v>
      </c>
      <c r="D3192" t="str">
        <f>HYPERLINK("http://service.sap.com/sap/support/notes/1452077","1452077")</f>
        <v>1452077</v>
      </c>
      <c r="F3192" t="s">
        <v>3271</v>
      </c>
    </row>
    <row r="3193" spans="1:6">
      <c r="A3193" t="s">
        <v>2997</v>
      </c>
      <c r="B3193" t="s">
        <v>492</v>
      </c>
      <c r="C3193" t="s">
        <v>493</v>
      </c>
      <c r="D3193" t="str">
        <f>HYPERLINK("http://service.sap.com/sap/support/notes/1453077","1453077")</f>
        <v>1453077</v>
      </c>
      <c r="F3193" t="s">
        <v>3272</v>
      </c>
    </row>
    <row r="3194" spans="1:6">
      <c r="A3194" t="s">
        <v>2997</v>
      </c>
      <c r="B3194" t="s">
        <v>492</v>
      </c>
      <c r="C3194" t="s">
        <v>493</v>
      </c>
      <c r="D3194" t="str">
        <f>HYPERLINK("http://service.sap.com/sap/support/notes/1453453","1453453")</f>
        <v>1453453</v>
      </c>
      <c r="F3194" t="s">
        <v>3273</v>
      </c>
    </row>
    <row r="3195" spans="1:6">
      <c r="A3195" t="s">
        <v>2997</v>
      </c>
      <c r="B3195" t="s">
        <v>492</v>
      </c>
      <c r="C3195" t="s">
        <v>493</v>
      </c>
      <c r="D3195" t="str">
        <f>HYPERLINK("http://service.sap.com/sap/support/notes/1453983","1453983")</f>
        <v>1453983</v>
      </c>
      <c r="F3195" t="s">
        <v>3274</v>
      </c>
    </row>
    <row r="3196" spans="1:6">
      <c r="A3196" t="s">
        <v>2997</v>
      </c>
      <c r="B3196" t="s">
        <v>492</v>
      </c>
      <c r="C3196" t="s">
        <v>493</v>
      </c>
      <c r="D3196" t="str">
        <f>HYPERLINK("http://service.sap.com/sap/support/notes/1456027","1456027")</f>
        <v>1456027</v>
      </c>
      <c r="F3196" t="s">
        <v>3275</v>
      </c>
    </row>
    <row r="3197" spans="1:6">
      <c r="A3197" t="s">
        <v>2997</v>
      </c>
      <c r="B3197" t="s">
        <v>492</v>
      </c>
      <c r="C3197" t="s">
        <v>493</v>
      </c>
      <c r="D3197" t="str">
        <f>HYPERLINK("http://service.sap.com/sap/support/notes/1458347","1458347")</f>
        <v>1458347</v>
      </c>
      <c r="F3197" t="s">
        <v>3276</v>
      </c>
    </row>
    <row r="3198" spans="1:6">
      <c r="A3198" t="s">
        <v>2997</v>
      </c>
      <c r="B3198" t="s">
        <v>492</v>
      </c>
      <c r="C3198" t="s">
        <v>493</v>
      </c>
      <c r="D3198" t="str">
        <f>HYPERLINK("http://service.sap.com/sap/support/notes/1458392","1458392")</f>
        <v>1458392</v>
      </c>
      <c r="F3198" t="s">
        <v>3277</v>
      </c>
    </row>
    <row r="3199" spans="1:6">
      <c r="A3199" t="s">
        <v>2997</v>
      </c>
      <c r="B3199" t="s">
        <v>492</v>
      </c>
      <c r="C3199" t="s">
        <v>493</v>
      </c>
      <c r="D3199" t="str">
        <f>HYPERLINK("http://service.sap.com/sap/support/notes/1458676","1458676")</f>
        <v>1458676</v>
      </c>
      <c r="F3199" t="s">
        <v>3278</v>
      </c>
    </row>
    <row r="3200" spans="1:6">
      <c r="A3200" t="s">
        <v>2997</v>
      </c>
      <c r="B3200" t="s">
        <v>492</v>
      </c>
      <c r="C3200" t="s">
        <v>493</v>
      </c>
      <c r="D3200" t="str">
        <f>HYPERLINK("http://service.sap.com/sap/support/notes/1459131","1459131")</f>
        <v>1459131</v>
      </c>
      <c r="F3200" t="s">
        <v>3279</v>
      </c>
    </row>
    <row r="3201" spans="1:6">
      <c r="A3201" t="s">
        <v>2997</v>
      </c>
      <c r="B3201" t="s">
        <v>500</v>
      </c>
      <c r="C3201" t="s">
        <v>501</v>
      </c>
      <c r="D3201" t="str">
        <f>HYPERLINK("http://service.sap.com/sap/support/notes/1452156","1452156")</f>
        <v>1452156</v>
      </c>
      <c r="F3201" t="s">
        <v>3280</v>
      </c>
    </row>
    <row r="3202" spans="1:6">
      <c r="A3202" t="s">
        <v>2997</v>
      </c>
      <c r="B3202" t="s">
        <v>500</v>
      </c>
      <c r="C3202" t="s">
        <v>501</v>
      </c>
      <c r="D3202" t="str">
        <f>HYPERLINK("http://service.sap.com/sap/support/notes/1454315","1454315")</f>
        <v>1454315</v>
      </c>
      <c r="F3202" t="s">
        <v>3281</v>
      </c>
    </row>
    <row r="3203" spans="1:6">
      <c r="A3203" t="s">
        <v>2997</v>
      </c>
      <c r="B3203" t="s">
        <v>500</v>
      </c>
      <c r="C3203" t="s">
        <v>501</v>
      </c>
      <c r="D3203" t="str">
        <f>HYPERLINK("http://service.sap.com/sap/support/notes/1455406","1455406")</f>
        <v>1455406</v>
      </c>
      <c r="F3203" t="s">
        <v>3282</v>
      </c>
    </row>
    <row r="3204" spans="1:6">
      <c r="A3204" t="s">
        <v>2997</v>
      </c>
      <c r="B3204" t="s">
        <v>500</v>
      </c>
      <c r="C3204" t="s">
        <v>501</v>
      </c>
      <c r="D3204" t="str">
        <f>HYPERLINK("http://service.sap.com/sap/support/notes/1455411","1455411")</f>
        <v>1455411</v>
      </c>
      <c r="F3204" t="s">
        <v>3283</v>
      </c>
    </row>
    <row r="3205" spans="1:6">
      <c r="A3205" t="s">
        <v>2997</v>
      </c>
      <c r="B3205" t="s">
        <v>500</v>
      </c>
      <c r="C3205" t="s">
        <v>501</v>
      </c>
      <c r="D3205" t="str">
        <f>HYPERLINK("http://service.sap.com/sap/support/notes/1455738","1455738")</f>
        <v>1455738</v>
      </c>
      <c r="F3205" t="s">
        <v>3284</v>
      </c>
    </row>
    <row r="3206" spans="1:6">
      <c r="A3206" t="s">
        <v>2997</v>
      </c>
      <c r="B3206" t="s">
        <v>500</v>
      </c>
      <c r="C3206" t="s">
        <v>501</v>
      </c>
      <c r="D3206" t="str">
        <f>HYPERLINK("http://service.sap.com/sap/support/notes/1457592","1457592")</f>
        <v>1457592</v>
      </c>
      <c r="F3206" t="s">
        <v>3285</v>
      </c>
    </row>
    <row r="3207" spans="1:6">
      <c r="A3207" t="s">
        <v>2997</v>
      </c>
      <c r="B3207" t="s">
        <v>504</v>
      </c>
      <c r="C3207" t="s">
        <v>110</v>
      </c>
      <c r="D3207" t="str">
        <f>HYPERLINK("http://service.sap.com/sap/support/notes/1390600","1390600")</f>
        <v>1390600</v>
      </c>
      <c r="F3207" t="s">
        <v>507</v>
      </c>
    </row>
    <row r="3208" spans="1:6">
      <c r="A3208" t="s">
        <v>2997</v>
      </c>
      <c r="B3208" t="s">
        <v>504</v>
      </c>
      <c r="C3208" t="s">
        <v>110</v>
      </c>
      <c r="D3208" t="str">
        <f>HYPERLINK("http://service.sap.com/sap/support/notes/1455713","1455713")</f>
        <v>1455713</v>
      </c>
      <c r="F3208" t="s">
        <v>3286</v>
      </c>
    </row>
    <row r="3209" spans="1:6">
      <c r="A3209" t="s">
        <v>2997</v>
      </c>
      <c r="B3209" t="s">
        <v>504</v>
      </c>
      <c r="C3209" t="s">
        <v>110</v>
      </c>
      <c r="D3209" t="str">
        <f>HYPERLINK("http://service.sap.com/sap/support/notes/1461066","1461066")</f>
        <v>1461066</v>
      </c>
      <c r="F3209" t="s">
        <v>3287</v>
      </c>
    </row>
    <row r="3210" spans="1:6">
      <c r="A3210" t="s">
        <v>2997</v>
      </c>
      <c r="B3210" t="s">
        <v>510</v>
      </c>
      <c r="C3210" t="s">
        <v>114</v>
      </c>
      <c r="D3210" t="str">
        <f>HYPERLINK("http://service.sap.com/sap/support/notes/1451688","1451688")</f>
        <v>1451688</v>
      </c>
      <c r="F3210" t="s">
        <v>3288</v>
      </c>
    </row>
    <row r="3211" spans="1:6">
      <c r="A3211" t="s">
        <v>2997</v>
      </c>
      <c r="B3211" t="s">
        <v>510</v>
      </c>
      <c r="C3211" t="s">
        <v>114</v>
      </c>
      <c r="D3211" t="str">
        <f>HYPERLINK("http://service.sap.com/sap/support/notes/1454275","1454275")</f>
        <v>1454275</v>
      </c>
      <c r="F3211" t="s">
        <v>3289</v>
      </c>
    </row>
    <row r="3212" spans="1:6">
      <c r="A3212" t="s">
        <v>2997</v>
      </c>
      <c r="B3212" t="s">
        <v>510</v>
      </c>
      <c r="C3212" t="s">
        <v>114</v>
      </c>
      <c r="D3212" t="str">
        <f>HYPERLINK("http://service.sap.com/sap/support/notes/1457420","1457420")</f>
        <v>1457420</v>
      </c>
      <c r="F3212" t="s">
        <v>3290</v>
      </c>
    </row>
    <row r="3213" spans="1:6">
      <c r="A3213" t="s">
        <v>2997</v>
      </c>
      <c r="B3213" t="s">
        <v>510</v>
      </c>
      <c r="C3213" t="s">
        <v>114</v>
      </c>
      <c r="D3213" t="str">
        <f>HYPERLINK("http://service.sap.com/sap/support/notes/1457427","1457427")</f>
        <v>1457427</v>
      </c>
      <c r="F3213" t="s">
        <v>3291</v>
      </c>
    </row>
    <row r="3214" spans="1:6">
      <c r="A3214" t="s">
        <v>2997</v>
      </c>
      <c r="B3214" t="s">
        <v>510</v>
      </c>
      <c r="C3214" t="s">
        <v>114</v>
      </c>
      <c r="D3214" t="str">
        <f>HYPERLINK("http://service.sap.com/sap/support/notes/1458012","1458012")</f>
        <v>1458012</v>
      </c>
      <c r="F3214" t="s">
        <v>3292</v>
      </c>
    </row>
    <row r="3215" spans="1:6">
      <c r="A3215" t="s">
        <v>2997</v>
      </c>
      <c r="B3215" t="s">
        <v>513</v>
      </c>
      <c r="C3215" t="s">
        <v>514</v>
      </c>
      <c r="D3215" t="str">
        <f>HYPERLINK("http://service.sap.com/sap/support/notes/1450492","1450492")</f>
        <v>1450492</v>
      </c>
      <c r="F3215" t="s">
        <v>3293</v>
      </c>
    </row>
    <row r="3216" spans="1:6">
      <c r="A3216" t="s">
        <v>2997</v>
      </c>
      <c r="B3216" t="s">
        <v>519</v>
      </c>
      <c r="C3216" t="s">
        <v>117</v>
      </c>
      <c r="D3216" t="str">
        <f>HYPERLINK("http://service.sap.com/sap/support/notes/1431185","1431185")</f>
        <v>1431185</v>
      </c>
      <c r="F3216" t="s">
        <v>3294</v>
      </c>
    </row>
    <row r="3217" spans="1:6">
      <c r="A3217" t="s">
        <v>2997</v>
      </c>
      <c r="B3217" t="s">
        <v>519</v>
      </c>
      <c r="C3217" t="s">
        <v>117</v>
      </c>
      <c r="D3217" t="str">
        <f>HYPERLINK("http://service.sap.com/sap/support/notes/1441986","1441986")</f>
        <v>1441986</v>
      </c>
      <c r="F3217" t="s">
        <v>2985</v>
      </c>
    </row>
    <row r="3218" spans="1:6">
      <c r="A3218" t="s">
        <v>2997</v>
      </c>
      <c r="B3218" t="s">
        <v>519</v>
      </c>
      <c r="C3218" t="s">
        <v>117</v>
      </c>
      <c r="D3218" t="str">
        <f>HYPERLINK("http://service.sap.com/sap/support/notes/1449515","1449515")</f>
        <v>1449515</v>
      </c>
      <c r="F3218" t="s">
        <v>3295</v>
      </c>
    </row>
    <row r="3219" spans="1:6">
      <c r="A3219" t="s">
        <v>2997</v>
      </c>
      <c r="B3219" t="s">
        <v>519</v>
      </c>
      <c r="C3219" t="s">
        <v>117</v>
      </c>
      <c r="D3219" t="str">
        <f>HYPERLINK("http://service.sap.com/sap/support/notes/1451606","1451606")</f>
        <v>1451606</v>
      </c>
      <c r="F3219" t="s">
        <v>3296</v>
      </c>
    </row>
    <row r="3220" spans="1:6">
      <c r="A3220" t="s">
        <v>2997</v>
      </c>
      <c r="B3220" t="s">
        <v>520</v>
      </c>
      <c r="C3220" t="s">
        <v>239</v>
      </c>
    </row>
    <row r="3221" spans="1:6">
      <c r="A3221" t="s">
        <v>2997</v>
      </c>
      <c r="B3221" t="s">
        <v>521</v>
      </c>
      <c r="C3221" t="s">
        <v>522</v>
      </c>
      <c r="D3221" t="str">
        <f>HYPERLINK("http://service.sap.com/sap/support/notes/1431900","1431900")</f>
        <v>1431900</v>
      </c>
      <c r="F3221" t="s">
        <v>3297</v>
      </c>
    </row>
    <row r="3222" spans="1:6">
      <c r="A3222" t="s">
        <v>2997</v>
      </c>
      <c r="B3222" t="s">
        <v>529</v>
      </c>
      <c r="C3222" t="s">
        <v>530</v>
      </c>
      <c r="D3222" t="str">
        <f>HYPERLINK("http://service.sap.com/sap/support/notes/1432849","1432849")</f>
        <v>1432849</v>
      </c>
      <c r="F3222" t="s">
        <v>3298</v>
      </c>
    </row>
    <row r="3223" spans="1:6">
      <c r="A3223" t="s">
        <v>2997</v>
      </c>
      <c r="B3223" t="s">
        <v>529</v>
      </c>
      <c r="C3223" t="s">
        <v>530</v>
      </c>
      <c r="D3223" t="str">
        <f>HYPERLINK("http://service.sap.com/sap/support/notes/1434188","1434188")</f>
        <v>1434188</v>
      </c>
      <c r="F3223" t="s">
        <v>3299</v>
      </c>
    </row>
    <row r="3224" spans="1:6">
      <c r="A3224" t="s">
        <v>2997</v>
      </c>
      <c r="B3224" t="s">
        <v>529</v>
      </c>
      <c r="C3224" t="s">
        <v>530</v>
      </c>
      <c r="D3224" t="str">
        <f>HYPERLINK("http://service.sap.com/sap/support/notes/1453200","1453200")</f>
        <v>1453200</v>
      </c>
      <c r="F3224" t="s">
        <v>3300</v>
      </c>
    </row>
    <row r="3225" spans="1:6">
      <c r="A3225" t="s">
        <v>2997</v>
      </c>
      <c r="B3225" t="s">
        <v>529</v>
      </c>
      <c r="C3225" t="s">
        <v>530</v>
      </c>
      <c r="D3225" t="str">
        <f>HYPERLINK("http://service.sap.com/sap/support/notes/1459350","1459350")</f>
        <v>1459350</v>
      </c>
      <c r="F3225" t="s">
        <v>3301</v>
      </c>
    </row>
    <row r="3226" spans="1:6">
      <c r="A3226" t="s">
        <v>2997</v>
      </c>
      <c r="B3226" t="s">
        <v>529</v>
      </c>
      <c r="C3226" t="s">
        <v>530</v>
      </c>
      <c r="D3226" t="str">
        <f>HYPERLINK("http://service.sap.com/sap/support/notes/1461413","1461413")</f>
        <v>1461413</v>
      </c>
      <c r="F3226" t="s">
        <v>3302</v>
      </c>
    </row>
    <row r="3227" spans="1:6">
      <c r="A3227" t="s">
        <v>2997</v>
      </c>
      <c r="B3227" t="s">
        <v>533</v>
      </c>
      <c r="C3227" t="s">
        <v>534</v>
      </c>
      <c r="D3227" t="str">
        <f>HYPERLINK("http://service.sap.com/sap/support/notes/1410469","1410469")</f>
        <v>1410469</v>
      </c>
      <c r="F3227" t="s">
        <v>3303</v>
      </c>
    </row>
    <row r="3228" spans="1:6">
      <c r="A3228" t="s">
        <v>2997</v>
      </c>
      <c r="B3228" t="s">
        <v>533</v>
      </c>
      <c r="C3228" t="s">
        <v>534</v>
      </c>
      <c r="D3228" t="str">
        <f>HYPERLINK("http://service.sap.com/sap/support/notes/1417319","1417319")</f>
        <v>1417319</v>
      </c>
      <c r="F3228" t="s">
        <v>3304</v>
      </c>
    </row>
    <row r="3229" spans="1:6">
      <c r="A3229" t="s">
        <v>2997</v>
      </c>
      <c r="B3229" t="s">
        <v>533</v>
      </c>
      <c r="C3229" t="s">
        <v>534</v>
      </c>
      <c r="D3229" t="str">
        <f>HYPERLINK("http://service.sap.com/sap/support/notes/1455498","1455498")</f>
        <v>1455498</v>
      </c>
      <c r="F3229" t="s">
        <v>3305</v>
      </c>
    </row>
    <row r="3230" spans="1:6">
      <c r="A3230" t="s">
        <v>2997</v>
      </c>
      <c r="B3230" t="s">
        <v>1914</v>
      </c>
      <c r="C3230" t="s">
        <v>1915</v>
      </c>
      <c r="D3230" t="str">
        <f>HYPERLINK("http://service.sap.com/sap/support/notes/1446333","1446333")</f>
        <v>1446333</v>
      </c>
      <c r="F3230" t="s">
        <v>2996</v>
      </c>
    </row>
    <row r="3231" spans="1:6">
      <c r="A3231" t="s">
        <v>2997</v>
      </c>
      <c r="B3231" t="s">
        <v>1914</v>
      </c>
      <c r="C3231" t="s">
        <v>1915</v>
      </c>
      <c r="D3231" t="str">
        <f>HYPERLINK("http://service.sap.com/sap/support/notes/1450672","1450672")</f>
        <v>1450672</v>
      </c>
      <c r="F3231" t="s">
        <v>3306</v>
      </c>
    </row>
    <row r="3232" spans="1:6">
      <c r="A3232" t="s">
        <v>2997</v>
      </c>
      <c r="B3232" t="s">
        <v>1914</v>
      </c>
      <c r="C3232" t="s">
        <v>1915</v>
      </c>
      <c r="D3232" t="str">
        <f>HYPERLINK("http://service.sap.com/sap/support/notes/1453519","1453519")</f>
        <v>1453519</v>
      </c>
      <c r="F3232" t="s">
        <v>3307</v>
      </c>
    </row>
    <row r="3233" spans="1:6">
      <c r="A3233" t="s">
        <v>2997</v>
      </c>
      <c r="B3233" t="s">
        <v>1914</v>
      </c>
      <c r="C3233" t="s">
        <v>1915</v>
      </c>
      <c r="D3233" t="str">
        <f>HYPERLINK("http://service.sap.com/sap/support/notes/1454953","1454953")</f>
        <v>1454953</v>
      </c>
      <c r="F3233" t="s">
        <v>3308</v>
      </c>
    </row>
    <row r="3234" spans="1:6">
      <c r="A3234" t="s">
        <v>2997</v>
      </c>
      <c r="B3234" t="s">
        <v>1914</v>
      </c>
      <c r="C3234" t="s">
        <v>1915</v>
      </c>
      <c r="D3234" t="str">
        <f>HYPERLINK("http://service.sap.com/sap/support/notes/1456221","1456221")</f>
        <v>1456221</v>
      </c>
      <c r="F3234" t="s">
        <v>3309</v>
      </c>
    </row>
    <row r="3235" spans="1:6">
      <c r="A3235" t="s">
        <v>2997</v>
      </c>
      <c r="B3235" t="s">
        <v>1914</v>
      </c>
      <c r="C3235" t="s">
        <v>1915</v>
      </c>
      <c r="D3235" t="str">
        <f>HYPERLINK("http://service.sap.com/sap/support/notes/1456965","1456965")</f>
        <v>1456965</v>
      </c>
      <c r="F3235" t="s">
        <v>3310</v>
      </c>
    </row>
    <row r="3236" spans="1:6">
      <c r="A3236" t="s">
        <v>2997</v>
      </c>
      <c r="B3236" t="s">
        <v>1914</v>
      </c>
      <c r="C3236" t="s">
        <v>1915</v>
      </c>
      <c r="D3236" t="str">
        <f>HYPERLINK("http://service.sap.com/sap/support/notes/1457598","1457598")</f>
        <v>1457598</v>
      </c>
      <c r="F3236" t="s">
        <v>3311</v>
      </c>
    </row>
    <row r="3237" spans="1:6">
      <c r="A3237" t="s">
        <v>2997</v>
      </c>
      <c r="B3237" t="s">
        <v>1444</v>
      </c>
      <c r="C3237" t="s">
        <v>3312</v>
      </c>
    </row>
    <row r="3238" spans="1:6">
      <c r="A3238" t="s">
        <v>2997</v>
      </c>
      <c r="B3238" t="s">
        <v>3313</v>
      </c>
      <c r="C3238" t="s">
        <v>3314</v>
      </c>
    </row>
    <row r="3239" spans="1:6">
      <c r="A3239" t="s">
        <v>2997</v>
      </c>
      <c r="B3239" t="s">
        <v>3315</v>
      </c>
      <c r="C3239" t="s">
        <v>3316</v>
      </c>
      <c r="D3239" t="str">
        <f>HYPERLINK("http://service.sap.com/sap/support/notes/1443145","1443145")</f>
        <v>1443145</v>
      </c>
      <c r="F3239" t="s">
        <v>3317</v>
      </c>
    </row>
    <row r="3240" spans="1:6">
      <c r="A3240" t="s">
        <v>3318</v>
      </c>
      <c r="B3240" t="s">
        <v>7</v>
      </c>
    </row>
    <row r="3241" spans="1:6">
      <c r="A3241" t="s">
        <v>3318</v>
      </c>
      <c r="B3241" t="s">
        <v>9</v>
      </c>
      <c r="C3241" t="s">
        <v>549</v>
      </c>
      <c r="D3241" t="str">
        <f>HYPERLINK("http://service.sap.com/sap/support/notes/1418287","1418287")</f>
        <v>1418287</v>
      </c>
      <c r="F3241" t="s">
        <v>3319</v>
      </c>
    </row>
    <row r="3242" spans="1:6">
      <c r="A3242" t="s">
        <v>3318</v>
      </c>
      <c r="B3242" t="s">
        <v>9</v>
      </c>
      <c r="C3242" t="s">
        <v>549</v>
      </c>
      <c r="D3242" t="str">
        <f>HYPERLINK("http://service.sap.com/sap/support/notes/1423717","1423717")</f>
        <v>1423717</v>
      </c>
      <c r="F3242" t="s">
        <v>3320</v>
      </c>
    </row>
    <row r="3243" spans="1:6">
      <c r="A3243" t="s">
        <v>3318</v>
      </c>
      <c r="B3243" t="s">
        <v>553</v>
      </c>
      <c r="C3243" t="s">
        <v>554</v>
      </c>
      <c r="D3243" t="str">
        <f>HYPERLINK("http://service.sap.com/sap/support/notes/1288064","1288064")</f>
        <v>1288064</v>
      </c>
      <c r="F3243" t="s">
        <v>3321</v>
      </c>
    </row>
    <row r="3244" spans="1:6">
      <c r="A3244" t="s">
        <v>3318</v>
      </c>
      <c r="B3244" t="s">
        <v>553</v>
      </c>
      <c r="C3244" t="s">
        <v>554</v>
      </c>
      <c r="D3244" t="str">
        <f>HYPERLINK("http://service.sap.com/sap/support/notes/1445891","1445891")</f>
        <v>1445891</v>
      </c>
      <c r="F3244" t="s">
        <v>3322</v>
      </c>
    </row>
    <row r="3245" spans="1:6">
      <c r="A3245" t="s">
        <v>3318</v>
      </c>
      <c r="B3245" t="s">
        <v>3323</v>
      </c>
      <c r="C3245" t="s">
        <v>3324</v>
      </c>
      <c r="D3245" t="str">
        <f>HYPERLINK("http://service.sap.com/sap/support/notes/1389782","1389782")</f>
        <v>1389782</v>
      </c>
      <c r="F3245" t="s">
        <v>3325</v>
      </c>
    </row>
    <row r="3246" spans="1:6">
      <c r="A3246" t="s">
        <v>3318</v>
      </c>
      <c r="B3246" t="s">
        <v>556</v>
      </c>
      <c r="C3246" t="s">
        <v>557</v>
      </c>
      <c r="D3246" t="str">
        <f>HYPERLINK("http://service.sap.com/sap/support/notes/1466539","1466539")</f>
        <v>1466539</v>
      </c>
      <c r="F3246" t="s">
        <v>3326</v>
      </c>
    </row>
    <row r="3247" spans="1:6">
      <c r="A3247" t="s">
        <v>3318</v>
      </c>
      <c r="B3247" t="s">
        <v>12</v>
      </c>
    </row>
    <row r="3248" spans="1:6">
      <c r="A3248" t="s">
        <v>3318</v>
      </c>
      <c r="B3248" t="s">
        <v>14</v>
      </c>
    </row>
    <row r="3249" spans="1:6">
      <c r="A3249" t="s">
        <v>3318</v>
      </c>
      <c r="B3249" t="s">
        <v>560</v>
      </c>
      <c r="C3249" t="s">
        <v>561</v>
      </c>
      <c r="D3249" t="str">
        <f>HYPERLINK("http://service.sap.com/sap/support/notes/1458642","1458642")</f>
        <v>1458642</v>
      </c>
      <c r="F3249" t="s">
        <v>3327</v>
      </c>
    </row>
    <row r="3250" spans="1:6">
      <c r="A3250" t="s">
        <v>3318</v>
      </c>
      <c r="B3250" t="s">
        <v>563</v>
      </c>
      <c r="C3250" t="s">
        <v>564</v>
      </c>
      <c r="D3250" t="str">
        <f>HYPERLINK("http://service.sap.com/sap/support/notes/1446948","1446948")</f>
        <v>1446948</v>
      </c>
      <c r="F3250" t="s">
        <v>3328</v>
      </c>
    </row>
    <row r="3251" spans="1:6">
      <c r="A3251" t="s">
        <v>3318</v>
      </c>
      <c r="B3251" t="s">
        <v>567</v>
      </c>
    </row>
    <row r="3252" spans="1:6">
      <c r="A3252" t="s">
        <v>3318</v>
      </c>
      <c r="B3252" t="s">
        <v>568</v>
      </c>
      <c r="C3252" t="s">
        <v>569</v>
      </c>
      <c r="D3252" t="str">
        <f>HYPERLINK("http://service.sap.com/sap/support/notes/1383005","1383005")</f>
        <v>1383005</v>
      </c>
      <c r="F3252" t="s">
        <v>3329</v>
      </c>
    </row>
    <row r="3253" spans="1:6">
      <c r="A3253" t="s">
        <v>3318</v>
      </c>
      <c r="B3253" t="s">
        <v>568</v>
      </c>
      <c r="C3253" t="s">
        <v>569</v>
      </c>
      <c r="D3253" t="str">
        <f>HYPERLINK("http://service.sap.com/sap/support/notes/1430042","1430042")</f>
        <v>1430042</v>
      </c>
      <c r="F3253" t="s">
        <v>3330</v>
      </c>
    </row>
    <row r="3254" spans="1:6">
      <c r="A3254" t="s">
        <v>3318</v>
      </c>
      <c r="B3254" t="s">
        <v>3331</v>
      </c>
    </row>
    <row r="3255" spans="1:6">
      <c r="A3255" t="s">
        <v>3318</v>
      </c>
      <c r="B3255" t="s">
        <v>3332</v>
      </c>
      <c r="C3255" t="s">
        <v>3333</v>
      </c>
      <c r="D3255" t="str">
        <f>HYPERLINK("http://service.sap.com/sap/support/notes/1423256","1423256")</f>
        <v>1423256</v>
      </c>
      <c r="F3255" t="s">
        <v>3334</v>
      </c>
    </row>
    <row r="3256" spans="1:6">
      <c r="A3256" t="s">
        <v>3318</v>
      </c>
      <c r="B3256" t="s">
        <v>3335</v>
      </c>
    </row>
    <row r="3257" spans="1:6">
      <c r="A3257" t="s">
        <v>3318</v>
      </c>
      <c r="B3257" t="s">
        <v>3336</v>
      </c>
      <c r="C3257" t="s">
        <v>3337</v>
      </c>
      <c r="D3257" t="str">
        <f>HYPERLINK("http://service.sap.com/sap/support/notes/1464810","1464810")</f>
        <v>1464810</v>
      </c>
      <c r="F3257" t="s">
        <v>3338</v>
      </c>
    </row>
    <row r="3258" spans="1:6">
      <c r="A3258" t="s">
        <v>3318</v>
      </c>
      <c r="B3258" t="s">
        <v>29</v>
      </c>
    </row>
    <row r="3259" spans="1:6">
      <c r="A3259" t="s">
        <v>3318</v>
      </c>
      <c r="B3259" t="s">
        <v>31</v>
      </c>
      <c r="C3259" t="s">
        <v>3339</v>
      </c>
      <c r="D3259" t="str">
        <f>HYPERLINK("http://service.sap.com/sap/support/notes/1444940","1444940")</f>
        <v>1444940</v>
      </c>
      <c r="F3259" t="s">
        <v>3340</v>
      </c>
    </row>
    <row r="3260" spans="1:6">
      <c r="A3260" t="s">
        <v>3318</v>
      </c>
      <c r="B3260" t="s">
        <v>37</v>
      </c>
      <c r="C3260" t="s">
        <v>17</v>
      </c>
      <c r="D3260" t="str">
        <f>HYPERLINK("http://service.sap.com/sap/support/notes/1125364","1125364")</f>
        <v>1125364</v>
      </c>
      <c r="F3260" t="s">
        <v>574</v>
      </c>
    </row>
    <row r="3261" spans="1:6">
      <c r="A3261" t="s">
        <v>3318</v>
      </c>
      <c r="B3261" t="s">
        <v>575</v>
      </c>
      <c r="C3261" t="s">
        <v>3341</v>
      </c>
      <c r="D3261" t="str">
        <f>HYPERLINK("http://service.sap.com/sap/support/notes/1415726","1415726")</f>
        <v>1415726</v>
      </c>
      <c r="F3261" t="s">
        <v>3342</v>
      </c>
    </row>
    <row r="3262" spans="1:6">
      <c r="A3262" t="s">
        <v>3318</v>
      </c>
      <c r="B3262" t="s">
        <v>575</v>
      </c>
      <c r="C3262" t="s">
        <v>3341</v>
      </c>
      <c r="D3262" t="str">
        <f>HYPERLINK("http://service.sap.com/sap/support/notes/1450804","1450804")</f>
        <v>1450804</v>
      </c>
      <c r="F3262" t="s">
        <v>3343</v>
      </c>
    </row>
    <row r="3263" spans="1:6">
      <c r="A3263" t="s">
        <v>3318</v>
      </c>
      <c r="B3263" t="s">
        <v>576</v>
      </c>
      <c r="C3263" t="s">
        <v>577</v>
      </c>
      <c r="D3263" t="str">
        <f>HYPERLINK("http://service.sap.com/sap/support/notes/1414049","1414049")</f>
        <v>1414049</v>
      </c>
      <c r="F3263" t="s">
        <v>3344</v>
      </c>
    </row>
    <row r="3264" spans="1:6">
      <c r="A3264" t="s">
        <v>3318</v>
      </c>
      <c r="B3264" t="s">
        <v>576</v>
      </c>
      <c r="C3264" t="s">
        <v>577</v>
      </c>
      <c r="D3264" t="str">
        <f>HYPERLINK("http://service.sap.com/sap/support/notes/1437903","1437903")</f>
        <v>1437903</v>
      </c>
      <c r="F3264" t="s">
        <v>3345</v>
      </c>
    </row>
    <row r="3265" spans="1:6">
      <c r="A3265" t="s">
        <v>3318</v>
      </c>
      <c r="B3265" t="s">
        <v>576</v>
      </c>
      <c r="C3265" t="s">
        <v>577</v>
      </c>
      <c r="D3265" t="str">
        <f>HYPERLINK("http://service.sap.com/sap/support/notes/1456835","1456835")</f>
        <v>1456835</v>
      </c>
      <c r="F3265" t="s">
        <v>3346</v>
      </c>
    </row>
    <row r="3266" spans="1:6">
      <c r="A3266" t="s">
        <v>3318</v>
      </c>
      <c r="B3266" t="s">
        <v>576</v>
      </c>
      <c r="C3266" t="s">
        <v>577</v>
      </c>
      <c r="D3266" t="str">
        <f>HYPERLINK("http://service.sap.com/sap/support/notes/1464144","1464144")</f>
        <v>1464144</v>
      </c>
      <c r="F3266" t="s">
        <v>3347</v>
      </c>
    </row>
    <row r="3267" spans="1:6">
      <c r="A3267" t="s">
        <v>3318</v>
      </c>
      <c r="B3267" t="s">
        <v>576</v>
      </c>
      <c r="C3267" t="s">
        <v>577</v>
      </c>
      <c r="D3267" t="str">
        <f>HYPERLINK("http://service.sap.com/sap/support/notes/1465366","1465366")</f>
        <v>1465366</v>
      </c>
      <c r="F3267" t="s">
        <v>3348</v>
      </c>
    </row>
    <row r="3268" spans="1:6">
      <c r="A3268" t="s">
        <v>3318</v>
      </c>
      <c r="B3268" t="s">
        <v>576</v>
      </c>
      <c r="C3268" t="s">
        <v>577</v>
      </c>
      <c r="D3268" t="str">
        <f>HYPERLINK("http://service.sap.com/sap/support/notes/1468091","1468091")</f>
        <v>1468091</v>
      </c>
      <c r="F3268" t="s">
        <v>3349</v>
      </c>
    </row>
    <row r="3269" spans="1:6">
      <c r="A3269" t="s">
        <v>3318</v>
      </c>
      <c r="B3269" t="s">
        <v>582</v>
      </c>
      <c r="C3269" t="s">
        <v>583</v>
      </c>
      <c r="D3269" t="str">
        <f>HYPERLINK("http://service.sap.com/sap/support/notes/1088838","1088838")</f>
        <v>1088838</v>
      </c>
      <c r="F3269" t="s">
        <v>3350</v>
      </c>
    </row>
    <row r="3270" spans="1:6">
      <c r="A3270" t="s">
        <v>3318</v>
      </c>
      <c r="B3270" t="s">
        <v>582</v>
      </c>
      <c r="C3270" t="s">
        <v>583</v>
      </c>
      <c r="D3270" t="str">
        <f>HYPERLINK("http://service.sap.com/sap/support/notes/1413806","1413806")</f>
        <v>1413806</v>
      </c>
      <c r="F3270" t="s">
        <v>3351</v>
      </c>
    </row>
    <row r="3271" spans="1:6">
      <c r="A3271" t="s">
        <v>3318</v>
      </c>
      <c r="B3271" t="s">
        <v>582</v>
      </c>
      <c r="C3271" t="s">
        <v>583</v>
      </c>
      <c r="D3271" t="str">
        <f>HYPERLINK("http://service.sap.com/sap/support/notes/1415361","1415361")</f>
        <v>1415361</v>
      </c>
      <c r="F3271" t="s">
        <v>3352</v>
      </c>
    </row>
    <row r="3272" spans="1:6">
      <c r="A3272" t="s">
        <v>3318</v>
      </c>
      <c r="B3272" t="s">
        <v>582</v>
      </c>
      <c r="C3272" t="s">
        <v>583</v>
      </c>
      <c r="D3272" t="str">
        <f>HYPERLINK("http://service.sap.com/sap/support/notes/1422383","1422383")</f>
        <v>1422383</v>
      </c>
      <c r="F3272" t="s">
        <v>3353</v>
      </c>
    </row>
    <row r="3273" spans="1:6">
      <c r="A3273" t="s">
        <v>3318</v>
      </c>
      <c r="B3273" t="s">
        <v>582</v>
      </c>
      <c r="C3273" t="s">
        <v>583</v>
      </c>
      <c r="D3273" t="str">
        <f>HYPERLINK("http://service.sap.com/sap/support/notes/1465833","1465833")</f>
        <v>1465833</v>
      </c>
      <c r="F3273" t="s">
        <v>3354</v>
      </c>
    </row>
    <row r="3274" spans="1:6">
      <c r="A3274" t="s">
        <v>3318</v>
      </c>
      <c r="B3274" t="s">
        <v>582</v>
      </c>
      <c r="C3274" t="s">
        <v>583</v>
      </c>
      <c r="D3274" t="str">
        <f>HYPERLINK("http://service.sap.com/sap/support/notes/1472074","1472074")</f>
        <v>1472074</v>
      </c>
      <c r="F3274" t="s">
        <v>3355</v>
      </c>
    </row>
    <row r="3275" spans="1:6">
      <c r="A3275" t="s">
        <v>3318</v>
      </c>
      <c r="B3275" t="s">
        <v>599</v>
      </c>
      <c r="C3275" t="s">
        <v>600</v>
      </c>
      <c r="D3275" t="str">
        <f>HYPERLINK("http://service.sap.com/sap/support/notes/1394912","1394912")</f>
        <v>1394912</v>
      </c>
      <c r="F3275" t="s">
        <v>3356</v>
      </c>
    </row>
    <row r="3276" spans="1:6">
      <c r="A3276" t="s">
        <v>3318</v>
      </c>
      <c r="B3276" t="s">
        <v>599</v>
      </c>
      <c r="C3276" t="s">
        <v>600</v>
      </c>
      <c r="D3276" t="str">
        <f>HYPERLINK("http://service.sap.com/sap/support/notes/1409186","1409186")</f>
        <v>1409186</v>
      </c>
      <c r="F3276" t="s">
        <v>3357</v>
      </c>
    </row>
    <row r="3277" spans="1:6">
      <c r="A3277" t="s">
        <v>3318</v>
      </c>
      <c r="B3277" t="s">
        <v>599</v>
      </c>
      <c r="C3277" t="s">
        <v>600</v>
      </c>
      <c r="D3277" t="str">
        <f>HYPERLINK("http://service.sap.com/sap/support/notes/1422889","1422889")</f>
        <v>1422889</v>
      </c>
      <c r="F3277" t="s">
        <v>3358</v>
      </c>
    </row>
    <row r="3278" spans="1:6">
      <c r="A3278" t="s">
        <v>3318</v>
      </c>
      <c r="B3278" t="s">
        <v>599</v>
      </c>
      <c r="C3278" t="s">
        <v>600</v>
      </c>
      <c r="D3278" t="str">
        <f>HYPERLINK("http://service.sap.com/sap/support/notes/1424279","1424279")</f>
        <v>1424279</v>
      </c>
      <c r="F3278" t="s">
        <v>3359</v>
      </c>
    </row>
    <row r="3279" spans="1:6">
      <c r="A3279" t="s">
        <v>3318</v>
      </c>
      <c r="B3279" t="s">
        <v>599</v>
      </c>
      <c r="C3279" t="s">
        <v>600</v>
      </c>
      <c r="D3279" t="str">
        <f>HYPERLINK("http://service.sap.com/sap/support/notes/1433374","1433374")</f>
        <v>1433374</v>
      </c>
      <c r="F3279" t="s">
        <v>3360</v>
      </c>
    </row>
    <row r="3280" spans="1:6">
      <c r="A3280" t="s">
        <v>3318</v>
      </c>
      <c r="B3280" t="s">
        <v>599</v>
      </c>
      <c r="C3280" t="s">
        <v>600</v>
      </c>
      <c r="D3280" t="str">
        <f>HYPERLINK("http://service.sap.com/sap/support/notes/1434715","1434715")</f>
        <v>1434715</v>
      </c>
      <c r="F3280" t="s">
        <v>3361</v>
      </c>
    </row>
    <row r="3281" spans="1:6">
      <c r="A3281" t="s">
        <v>3318</v>
      </c>
      <c r="B3281" t="s">
        <v>599</v>
      </c>
      <c r="C3281" t="s">
        <v>600</v>
      </c>
      <c r="D3281" t="str">
        <f>HYPERLINK("http://service.sap.com/sap/support/notes/1441624","1441624")</f>
        <v>1441624</v>
      </c>
      <c r="F3281" t="s">
        <v>3362</v>
      </c>
    </row>
    <row r="3282" spans="1:6">
      <c r="A3282" t="s">
        <v>3318</v>
      </c>
      <c r="B3282" t="s">
        <v>599</v>
      </c>
      <c r="C3282" t="s">
        <v>600</v>
      </c>
      <c r="D3282" t="str">
        <f>HYPERLINK("http://service.sap.com/sap/support/notes/1444899","1444899")</f>
        <v>1444899</v>
      </c>
      <c r="F3282" t="s">
        <v>3363</v>
      </c>
    </row>
    <row r="3283" spans="1:6">
      <c r="A3283" t="s">
        <v>3318</v>
      </c>
      <c r="B3283" t="s">
        <v>599</v>
      </c>
      <c r="C3283" t="s">
        <v>600</v>
      </c>
      <c r="D3283" t="str">
        <f>HYPERLINK("http://service.sap.com/sap/support/notes/1452723","1452723")</f>
        <v>1452723</v>
      </c>
      <c r="F3283" t="s">
        <v>3364</v>
      </c>
    </row>
    <row r="3284" spans="1:6">
      <c r="A3284" t="s">
        <v>3318</v>
      </c>
      <c r="B3284" t="s">
        <v>599</v>
      </c>
      <c r="C3284" t="s">
        <v>600</v>
      </c>
      <c r="D3284" t="str">
        <f>HYPERLINK("http://service.sap.com/sap/support/notes/1455524","1455524")</f>
        <v>1455524</v>
      </c>
      <c r="F3284" t="s">
        <v>3365</v>
      </c>
    </row>
    <row r="3285" spans="1:6">
      <c r="A3285" t="s">
        <v>3318</v>
      </c>
      <c r="B3285" t="s">
        <v>599</v>
      </c>
      <c r="C3285" t="s">
        <v>600</v>
      </c>
      <c r="D3285" t="str">
        <f>HYPERLINK("http://service.sap.com/sap/support/notes/1460350","1460350")</f>
        <v>1460350</v>
      </c>
      <c r="F3285" t="s">
        <v>3366</v>
      </c>
    </row>
    <row r="3286" spans="1:6">
      <c r="A3286" t="s">
        <v>3318</v>
      </c>
      <c r="B3286" t="s">
        <v>3367</v>
      </c>
      <c r="C3286" t="s">
        <v>3368</v>
      </c>
      <c r="D3286" t="str">
        <f>HYPERLINK("http://service.sap.com/sap/support/notes/1398788","1398788")</f>
        <v>1398788</v>
      </c>
      <c r="F3286" t="s">
        <v>3369</v>
      </c>
    </row>
    <row r="3287" spans="1:6">
      <c r="A3287" t="s">
        <v>3318</v>
      </c>
      <c r="B3287" t="s">
        <v>606</v>
      </c>
      <c r="C3287" t="s">
        <v>607</v>
      </c>
      <c r="D3287" t="str">
        <f>HYPERLINK("http://service.sap.com/sap/support/notes/1394888","1394888")</f>
        <v>1394888</v>
      </c>
      <c r="F3287" t="s">
        <v>3370</v>
      </c>
    </row>
    <row r="3288" spans="1:6">
      <c r="A3288" t="s">
        <v>3318</v>
      </c>
      <c r="B3288" t="s">
        <v>609</v>
      </c>
      <c r="C3288" t="s">
        <v>610</v>
      </c>
      <c r="D3288" t="str">
        <f>HYPERLINK("http://service.sap.com/sap/support/notes/1302927","1302927")</f>
        <v>1302927</v>
      </c>
      <c r="F3288" t="s">
        <v>3371</v>
      </c>
    </row>
    <row r="3289" spans="1:6">
      <c r="A3289" t="s">
        <v>3318</v>
      </c>
      <c r="B3289" t="s">
        <v>609</v>
      </c>
      <c r="C3289" t="s">
        <v>610</v>
      </c>
      <c r="D3289" t="str">
        <f>HYPERLINK("http://service.sap.com/sap/support/notes/1366437","1366437")</f>
        <v>1366437</v>
      </c>
      <c r="F3289" t="s">
        <v>3372</v>
      </c>
    </row>
    <row r="3290" spans="1:6">
      <c r="A3290" t="s">
        <v>3318</v>
      </c>
      <c r="B3290" t="s">
        <v>609</v>
      </c>
      <c r="C3290" t="s">
        <v>610</v>
      </c>
      <c r="D3290" t="str">
        <f>HYPERLINK("http://service.sap.com/sap/support/notes/1412040","1412040")</f>
        <v>1412040</v>
      </c>
      <c r="F3290" t="s">
        <v>3373</v>
      </c>
    </row>
    <row r="3291" spans="1:6">
      <c r="A3291" t="s">
        <v>3318</v>
      </c>
      <c r="B3291" t="s">
        <v>609</v>
      </c>
      <c r="C3291" t="s">
        <v>610</v>
      </c>
      <c r="D3291" t="str">
        <f>HYPERLINK("http://service.sap.com/sap/support/notes/1424323","1424323")</f>
        <v>1424323</v>
      </c>
      <c r="F3291" t="s">
        <v>3374</v>
      </c>
    </row>
    <row r="3292" spans="1:6">
      <c r="A3292" t="s">
        <v>3318</v>
      </c>
      <c r="B3292" t="s">
        <v>609</v>
      </c>
      <c r="C3292" t="s">
        <v>610</v>
      </c>
      <c r="D3292" t="str">
        <f>HYPERLINK("http://service.sap.com/sap/support/notes/1434022","1434022")</f>
        <v>1434022</v>
      </c>
      <c r="F3292" t="s">
        <v>3375</v>
      </c>
    </row>
    <row r="3293" spans="1:6">
      <c r="A3293" t="s">
        <v>3318</v>
      </c>
      <c r="B3293" t="s">
        <v>609</v>
      </c>
      <c r="C3293" t="s">
        <v>610</v>
      </c>
      <c r="D3293" t="str">
        <f>HYPERLINK("http://service.sap.com/sap/support/notes/1448073","1448073")</f>
        <v>1448073</v>
      </c>
      <c r="F3293" t="s">
        <v>3376</v>
      </c>
    </row>
    <row r="3294" spans="1:6">
      <c r="A3294" t="s">
        <v>3318</v>
      </c>
      <c r="B3294" t="s">
        <v>609</v>
      </c>
      <c r="C3294" t="s">
        <v>610</v>
      </c>
      <c r="D3294" t="str">
        <f>HYPERLINK("http://service.sap.com/sap/support/notes/1454792","1454792")</f>
        <v>1454792</v>
      </c>
      <c r="F3294" t="s">
        <v>3377</v>
      </c>
    </row>
    <row r="3295" spans="1:6">
      <c r="A3295" t="s">
        <v>3318</v>
      </c>
      <c r="B3295" t="s">
        <v>609</v>
      </c>
      <c r="C3295" t="s">
        <v>610</v>
      </c>
      <c r="D3295" t="str">
        <f>HYPERLINK("http://service.sap.com/sap/support/notes/1471970","1471970")</f>
        <v>1471970</v>
      </c>
      <c r="F3295" t="s">
        <v>3378</v>
      </c>
    </row>
    <row r="3296" spans="1:6">
      <c r="A3296" t="s">
        <v>3318</v>
      </c>
      <c r="B3296" t="s">
        <v>38</v>
      </c>
      <c r="C3296" t="s">
        <v>614</v>
      </c>
      <c r="D3296" t="str">
        <f>HYPERLINK("http://service.sap.com/sap/support/notes/1316012","1316012")</f>
        <v>1316012</v>
      </c>
      <c r="F3296" t="s">
        <v>3379</v>
      </c>
    </row>
    <row r="3297" spans="1:6">
      <c r="A3297" t="s">
        <v>3318</v>
      </c>
      <c r="B3297" t="s">
        <v>618</v>
      </c>
      <c r="C3297" t="s">
        <v>619</v>
      </c>
      <c r="D3297" t="str">
        <f>HYPERLINK("http://service.sap.com/sap/support/notes/1439807","1439807")</f>
        <v>1439807</v>
      </c>
      <c r="F3297" t="s">
        <v>3380</v>
      </c>
    </row>
    <row r="3298" spans="1:6">
      <c r="A3298" t="s">
        <v>3318</v>
      </c>
      <c r="B3298" t="s">
        <v>618</v>
      </c>
      <c r="C3298" t="s">
        <v>619</v>
      </c>
      <c r="D3298" t="str">
        <f>HYPERLINK("http://service.sap.com/sap/support/notes/1467950","1467950")</f>
        <v>1467950</v>
      </c>
      <c r="F3298" t="s">
        <v>3381</v>
      </c>
    </row>
    <row r="3299" spans="1:6">
      <c r="A3299" t="s">
        <v>3318</v>
      </c>
      <c r="B3299" t="s">
        <v>622</v>
      </c>
      <c r="C3299" t="s">
        <v>623</v>
      </c>
      <c r="D3299" t="str">
        <f>HYPERLINK("http://service.sap.com/sap/support/notes/1391987","1391987")</f>
        <v>1391987</v>
      </c>
      <c r="F3299" t="s">
        <v>3382</v>
      </c>
    </row>
    <row r="3300" spans="1:6">
      <c r="A3300" t="s">
        <v>3318</v>
      </c>
      <c r="B3300" t="s">
        <v>622</v>
      </c>
      <c r="C3300" t="s">
        <v>623</v>
      </c>
      <c r="D3300" t="str">
        <f>HYPERLINK("http://service.sap.com/sap/support/notes/1417141","1417141")</f>
        <v>1417141</v>
      </c>
      <c r="F3300" t="s">
        <v>3383</v>
      </c>
    </row>
    <row r="3301" spans="1:6">
      <c r="A3301" t="s">
        <v>3318</v>
      </c>
      <c r="B3301" t="s">
        <v>622</v>
      </c>
      <c r="C3301" t="s">
        <v>623</v>
      </c>
      <c r="D3301" t="str">
        <f>HYPERLINK("http://service.sap.com/sap/support/notes/1443661","1443661")</f>
        <v>1443661</v>
      </c>
      <c r="F3301" t="s">
        <v>3384</v>
      </c>
    </row>
    <row r="3302" spans="1:6">
      <c r="A3302" t="s">
        <v>3318</v>
      </c>
      <c r="B3302" t="s">
        <v>622</v>
      </c>
      <c r="C3302" t="s">
        <v>623</v>
      </c>
      <c r="D3302" t="str">
        <f>HYPERLINK("http://service.sap.com/sap/support/notes/1453381","1453381")</f>
        <v>1453381</v>
      </c>
      <c r="F3302" t="s">
        <v>3385</v>
      </c>
    </row>
    <row r="3303" spans="1:6">
      <c r="A3303" t="s">
        <v>3318</v>
      </c>
      <c r="B3303" t="s">
        <v>622</v>
      </c>
      <c r="C3303" t="s">
        <v>623</v>
      </c>
      <c r="D3303" t="str">
        <f>HYPERLINK("http://service.sap.com/sap/support/notes/1455954","1455954")</f>
        <v>1455954</v>
      </c>
      <c r="F3303" t="s">
        <v>3386</v>
      </c>
    </row>
    <row r="3304" spans="1:6">
      <c r="A3304" t="s">
        <v>3318</v>
      </c>
      <c r="B3304" t="s">
        <v>622</v>
      </c>
      <c r="C3304" t="s">
        <v>623</v>
      </c>
      <c r="D3304" t="str">
        <f>HYPERLINK("http://service.sap.com/sap/support/notes/1463262","1463262")</f>
        <v>1463262</v>
      </c>
      <c r="F3304" t="s">
        <v>3387</v>
      </c>
    </row>
    <row r="3305" spans="1:6">
      <c r="A3305" t="s">
        <v>3318</v>
      </c>
      <c r="B3305" t="s">
        <v>622</v>
      </c>
      <c r="C3305" t="s">
        <v>623</v>
      </c>
      <c r="D3305" t="str">
        <f>HYPERLINK("http://service.sap.com/sap/support/notes/1467594","1467594")</f>
        <v>1467594</v>
      </c>
      <c r="F3305" t="s">
        <v>3388</v>
      </c>
    </row>
    <row r="3306" spans="1:6">
      <c r="A3306" t="s">
        <v>3318</v>
      </c>
      <c r="B3306" t="s">
        <v>631</v>
      </c>
      <c r="C3306" t="s">
        <v>632</v>
      </c>
      <c r="D3306" t="str">
        <f>HYPERLINK("http://service.sap.com/sap/support/notes/1412676","1412676")</f>
        <v>1412676</v>
      </c>
      <c r="F3306" t="s">
        <v>3389</v>
      </c>
    </row>
    <row r="3307" spans="1:6">
      <c r="A3307" t="s">
        <v>3318</v>
      </c>
      <c r="B3307" t="s">
        <v>634</v>
      </c>
      <c r="C3307" t="s">
        <v>635</v>
      </c>
      <c r="D3307" t="str">
        <f>HYPERLINK("http://service.sap.com/sap/support/notes/1431568","1431568")</f>
        <v>1431568</v>
      </c>
      <c r="F3307" t="s">
        <v>3390</v>
      </c>
    </row>
    <row r="3308" spans="1:6">
      <c r="A3308" t="s">
        <v>3318</v>
      </c>
      <c r="B3308" t="s">
        <v>634</v>
      </c>
      <c r="C3308" t="s">
        <v>635</v>
      </c>
      <c r="D3308" t="str">
        <f>HYPERLINK("http://service.sap.com/sap/support/notes/1433895","1433895")</f>
        <v>1433895</v>
      </c>
      <c r="F3308" t="s">
        <v>3391</v>
      </c>
    </row>
    <row r="3309" spans="1:6">
      <c r="A3309" t="s">
        <v>3318</v>
      </c>
      <c r="B3309" t="s">
        <v>634</v>
      </c>
      <c r="C3309" t="s">
        <v>635</v>
      </c>
      <c r="D3309" t="str">
        <f>HYPERLINK("http://service.sap.com/sap/support/notes/1436890","1436890")</f>
        <v>1436890</v>
      </c>
      <c r="F3309" t="s">
        <v>3392</v>
      </c>
    </row>
    <row r="3310" spans="1:6">
      <c r="A3310" t="s">
        <v>3318</v>
      </c>
      <c r="B3310" t="s">
        <v>634</v>
      </c>
      <c r="C3310" t="s">
        <v>635</v>
      </c>
      <c r="D3310" t="str">
        <f>HYPERLINK("http://service.sap.com/sap/support/notes/1465552","1465552")</f>
        <v>1465552</v>
      </c>
      <c r="F3310" t="s">
        <v>3393</v>
      </c>
    </row>
    <row r="3311" spans="1:6">
      <c r="A3311" t="s">
        <v>3318</v>
      </c>
      <c r="B3311" t="s">
        <v>44</v>
      </c>
      <c r="C3311" t="s">
        <v>3394</v>
      </c>
      <c r="D3311" t="str">
        <f>HYPERLINK("http://service.sap.com/sap/support/notes/750086","750086")</f>
        <v>750086</v>
      </c>
      <c r="F3311" t="s">
        <v>3395</v>
      </c>
    </row>
    <row r="3312" spans="1:6">
      <c r="A3312" t="s">
        <v>3318</v>
      </c>
      <c r="B3312" t="s">
        <v>49</v>
      </c>
      <c r="C3312" t="s">
        <v>50</v>
      </c>
      <c r="D3312" t="str">
        <f>HYPERLINK("http://service.sap.com/sap/support/notes/1425249","1425249")</f>
        <v>1425249</v>
      </c>
      <c r="F3312" t="s">
        <v>3396</v>
      </c>
    </row>
    <row r="3313" spans="1:6">
      <c r="A3313" t="s">
        <v>3318</v>
      </c>
      <c r="B3313" t="s">
        <v>49</v>
      </c>
      <c r="C3313" t="s">
        <v>50</v>
      </c>
      <c r="D3313" t="str">
        <f>HYPERLINK("http://service.sap.com/sap/support/notes/1436744","1436744")</f>
        <v>1436744</v>
      </c>
      <c r="F3313" t="s">
        <v>2264</v>
      </c>
    </row>
    <row r="3314" spans="1:6">
      <c r="A3314" t="s">
        <v>3318</v>
      </c>
      <c r="B3314" t="s">
        <v>49</v>
      </c>
      <c r="C3314" t="s">
        <v>50</v>
      </c>
      <c r="D3314" t="str">
        <f>HYPERLINK("http://service.sap.com/sap/support/notes/1462724","1462724")</f>
        <v>1462724</v>
      </c>
      <c r="F3314" t="s">
        <v>3397</v>
      </c>
    </row>
    <row r="3315" spans="1:6">
      <c r="A3315" t="s">
        <v>3318</v>
      </c>
      <c r="B3315" t="s">
        <v>2638</v>
      </c>
      <c r="C3315" t="s">
        <v>219</v>
      </c>
      <c r="D3315" t="str">
        <f>HYPERLINK("http://service.sap.com/sap/support/notes/1444894","1444894")</f>
        <v>1444894</v>
      </c>
      <c r="F3315" t="s">
        <v>701</v>
      </c>
    </row>
    <row r="3316" spans="1:6">
      <c r="A3316" t="s">
        <v>3318</v>
      </c>
      <c r="B3316" t="s">
        <v>65</v>
      </c>
      <c r="C3316" t="s">
        <v>66</v>
      </c>
      <c r="D3316" t="str">
        <f>HYPERLINK("http://service.sap.com/sap/support/notes/1468250","1468250")</f>
        <v>1468250</v>
      </c>
      <c r="F3316" t="s">
        <v>3398</v>
      </c>
    </row>
    <row r="3317" spans="1:6">
      <c r="A3317" t="s">
        <v>3318</v>
      </c>
      <c r="B3317" t="s">
        <v>68</v>
      </c>
      <c r="C3317" t="s">
        <v>69</v>
      </c>
      <c r="D3317" t="str">
        <f>HYPERLINK("http://service.sap.com/sap/support/notes/1454002","1454002")</f>
        <v>1454002</v>
      </c>
      <c r="F3317" t="s">
        <v>3399</v>
      </c>
    </row>
    <row r="3318" spans="1:6">
      <c r="A3318" t="s">
        <v>3318</v>
      </c>
      <c r="B3318" t="s">
        <v>68</v>
      </c>
      <c r="C3318" t="s">
        <v>69</v>
      </c>
      <c r="D3318" t="str">
        <f>HYPERLINK("http://service.sap.com/sap/support/notes/1456215","1456215")</f>
        <v>1456215</v>
      </c>
      <c r="F3318" t="s">
        <v>3400</v>
      </c>
    </row>
    <row r="3319" spans="1:6">
      <c r="A3319" t="s">
        <v>3318</v>
      </c>
      <c r="B3319" t="s">
        <v>71</v>
      </c>
      <c r="C3319" t="s">
        <v>72</v>
      </c>
      <c r="D3319" t="str">
        <f>HYPERLINK("http://service.sap.com/sap/support/notes/1453541","1453541")</f>
        <v>1453541</v>
      </c>
      <c r="F3319" t="s">
        <v>3401</v>
      </c>
    </row>
    <row r="3320" spans="1:6">
      <c r="A3320" t="s">
        <v>3318</v>
      </c>
      <c r="B3320" t="s">
        <v>75</v>
      </c>
      <c r="C3320" t="s">
        <v>76</v>
      </c>
      <c r="D3320" t="str">
        <f>HYPERLINK("http://service.sap.com/sap/support/notes/700094","700094")</f>
        <v>700094</v>
      </c>
      <c r="F3320" t="s">
        <v>77</v>
      </c>
    </row>
    <row r="3321" spans="1:6">
      <c r="A3321" t="s">
        <v>3318</v>
      </c>
      <c r="B3321" t="s">
        <v>79</v>
      </c>
      <c r="C3321" t="s">
        <v>658</v>
      </c>
      <c r="D3321" t="str">
        <f>HYPERLINK("http://service.sap.com/sap/support/notes/1412330","1412330")</f>
        <v>1412330</v>
      </c>
      <c r="F3321" t="s">
        <v>3402</v>
      </c>
    </row>
    <row r="3322" spans="1:6">
      <c r="A3322" t="s">
        <v>3318</v>
      </c>
      <c r="B3322" t="s">
        <v>79</v>
      </c>
      <c r="C3322" t="s">
        <v>658</v>
      </c>
      <c r="D3322" t="str">
        <f>HYPERLINK("http://service.sap.com/sap/support/notes/1424867","1424867")</f>
        <v>1424867</v>
      </c>
      <c r="F3322" t="s">
        <v>3403</v>
      </c>
    </row>
    <row r="3323" spans="1:6">
      <c r="A3323" t="s">
        <v>3318</v>
      </c>
      <c r="B3323" t="s">
        <v>79</v>
      </c>
      <c r="C3323" t="s">
        <v>658</v>
      </c>
      <c r="D3323" t="str">
        <f>HYPERLINK("http://service.sap.com/sap/support/notes/1464636","1464636")</f>
        <v>1464636</v>
      </c>
      <c r="F3323" t="s">
        <v>3404</v>
      </c>
    </row>
    <row r="3324" spans="1:6">
      <c r="A3324" t="s">
        <v>3318</v>
      </c>
      <c r="B3324" t="s">
        <v>79</v>
      </c>
      <c r="C3324" t="s">
        <v>658</v>
      </c>
      <c r="D3324" t="str">
        <f>HYPERLINK("http://service.sap.com/sap/support/notes/1465305","1465305")</f>
        <v>1465305</v>
      </c>
      <c r="F3324" t="s">
        <v>3405</v>
      </c>
    </row>
    <row r="3325" spans="1:6">
      <c r="A3325" t="s">
        <v>3318</v>
      </c>
      <c r="B3325" t="s">
        <v>79</v>
      </c>
      <c r="C3325" t="s">
        <v>658</v>
      </c>
      <c r="D3325" t="str">
        <f>HYPERLINK("http://service.sap.com/sap/support/notes/1465384","1465384")</f>
        <v>1465384</v>
      </c>
      <c r="F3325" t="s">
        <v>3406</v>
      </c>
    </row>
    <row r="3326" spans="1:6">
      <c r="A3326" t="s">
        <v>3318</v>
      </c>
      <c r="B3326" t="s">
        <v>79</v>
      </c>
      <c r="C3326" t="s">
        <v>658</v>
      </c>
      <c r="D3326" t="str">
        <f>HYPERLINK("http://service.sap.com/sap/support/notes/1465732","1465732")</f>
        <v>1465732</v>
      </c>
      <c r="F3326" t="s">
        <v>3407</v>
      </c>
    </row>
    <row r="3327" spans="1:6">
      <c r="A3327" t="s">
        <v>3318</v>
      </c>
      <c r="B3327" t="s">
        <v>79</v>
      </c>
      <c r="C3327" t="s">
        <v>658</v>
      </c>
      <c r="D3327" t="str">
        <f>HYPERLINK("http://service.sap.com/sap/support/notes/1466693","1466693")</f>
        <v>1466693</v>
      </c>
      <c r="F3327" t="s">
        <v>3408</v>
      </c>
    </row>
    <row r="3328" spans="1:6">
      <c r="A3328" t="s">
        <v>3318</v>
      </c>
      <c r="B3328" t="s">
        <v>79</v>
      </c>
      <c r="C3328" t="s">
        <v>658</v>
      </c>
      <c r="D3328" t="str">
        <f>HYPERLINK("http://service.sap.com/sap/support/notes/1470813","1470813")</f>
        <v>1470813</v>
      </c>
      <c r="F3328" t="s">
        <v>3409</v>
      </c>
    </row>
    <row r="3329" spans="1:6">
      <c r="A3329" t="s">
        <v>3318</v>
      </c>
      <c r="B3329" t="s">
        <v>662</v>
      </c>
      <c r="C3329" t="s">
        <v>411</v>
      </c>
      <c r="D3329" t="str">
        <f>HYPERLINK("http://service.sap.com/sap/support/notes/1375834","1375834")</f>
        <v>1375834</v>
      </c>
      <c r="F3329" t="s">
        <v>3410</v>
      </c>
    </row>
    <row r="3330" spans="1:6">
      <c r="A3330" t="s">
        <v>3318</v>
      </c>
      <c r="B3330" t="s">
        <v>662</v>
      </c>
      <c r="C3330" t="s">
        <v>411</v>
      </c>
      <c r="D3330" t="str">
        <f>HYPERLINK("http://service.sap.com/sap/support/notes/1425049","1425049")</f>
        <v>1425049</v>
      </c>
      <c r="F3330" t="s">
        <v>3411</v>
      </c>
    </row>
    <row r="3331" spans="1:6">
      <c r="A3331" t="s">
        <v>3318</v>
      </c>
      <c r="B3331" t="s">
        <v>662</v>
      </c>
      <c r="C3331" t="s">
        <v>411</v>
      </c>
      <c r="D3331" t="str">
        <f>HYPERLINK("http://service.sap.com/sap/support/notes/1452857","1452857")</f>
        <v>1452857</v>
      </c>
      <c r="F3331" t="s">
        <v>3412</v>
      </c>
    </row>
    <row r="3332" spans="1:6">
      <c r="A3332" t="s">
        <v>3318</v>
      </c>
      <c r="B3332" t="s">
        <v>665</v>
      </c>
      <c r="C3332" t="s">
        <v>425</v>
      </c>
      <c r="D3332" t="str">
        <f>HYPERLINK("http://service.sap.com/sap/support/notes/448307","448307")</f>
        <v>448307</v>
      </c>
      <c r="F3332" t="s">
        <v>666</v>
      </c>
    </row>
    <row r="3333" spans="1:6">
      <c r="A3333" t="s">
        <v>3318</v>
      </c>
      <c r="B3333" t="s">
        <v>667</v>
      </c>
      <c r="C3333" t="s">
        <v>442</v>
      </c>
      <c r="D3333" t="str">
        <f>HYPERLINK("http://service.sap.com/sap/support/notes/1453605","1453605")</f>
        <v>1453605</v>
      </c>
      <c r="F3333" t="s">
        <v>3401</v>
      </c>
    </row>
    <row r="3334" spans="1:6">
      <c r="A3334" t="s">
        <v>3318</v>
      </c>
      <c r="B3334" t="s">
        <v>667</v>
      </c>
      <c r="C3334" t="s">
        <v>442</v>
      </c>
      <c r="D3334" t="str">
        <f>HYPERLINK("http://service.sap.com/sap/support/notes/1463765","1463765")</f>
        <v>1463765</v>
      </c>
      <c r="F3334" t="s">
        <v>3413</v>
      </c>
    </row>
    <row r="3335" spans="1:6">
      <c r="A3335" t="s">
        <v>3318</v>
      </c>
      <c r="B3335" t="s">
        <v>667</v>
      </c>
      <c r="C3335" t="s">
        <v>442</v>
      </c>
      <c r="D3335" t="str">
        <f>HYPERLINK("http://service.sap.com/sap/support/notes/1467713","1467713")</f>
        <v>1467713</v>
      </c>
      <c r="F3335" t="s">
        <v>3414</v>
      </c>
    </row>
    <row r="3336" spans="1:6">
      <c r="A3336" t="s">
        <v>3318</v>
      </c>
      <c r="B3336" t="s">
        <v>86</v>
      </c>
      <c r="C3336" t="s">
        <v>87</v>
      </c>
      <c r="D3336" t="str">
        <f>HYPERLINK("http://service.sap.com/sap/support/notes/1468848","1468848")</f>
        <v>1468848</v>
      </c>
      <c r="F3336" t="s">
        <v>3415</v>
      </c>
    </row>
    <row r="3337" spans="1:6">
      <c r="A3337" t="s">
        <v>3318</v>
      </c>
      <c r="B3337" t="s">
        <v>86</v>
      </c>
      <c r="C3337" t="s">
        <v>87</v>
      </c>
      <c r="D3337" t="str">
        <f>HYPERLINK("http://service.sap.com/sap/support/notes/1469926","1469926")</f>
        <v>1469926</v>
      </c>
      <c r="F3337" t="s">
        <v>3416</v>
      </c>
    </row>
    <row r="3338" spans="1:6">
      <c r="A3338" t="s">
        <v>3318</v>
      </c>
      <c r="B3338" t="s">
        <v>92</v>
      </c>
      <c r="C3338" t="s">
        <v>93</v>
      </c>
      <c r="D3338" t="str">
        <f>HYPERLINK("http://service.sap.com/sap/support/notes/1433469","1433469")</f>
        <v>1433469</v>
      </c>
      <c r="F3338" t="s">
        <v>3417</v>
      </c>
    </row>
    <row r="3339" spans="1:6">
      <c r="A3339" t="s">
        <v>3318</v>
      </c>
      <c r="B3339" t="s">
        <v>92</v>
      </c>
      <c r="C3339" t="s">
        <v>93</v>
      </c>
      <c r="D3339" t="str">
        <f>HYPERLINK("http://service.sap.com/sap/support/notes/1444923","1444923")</f>
        <v>1444923</v>
      </c>
      <c r="F3339" t="s">
        <v>3418</v>
      </c>
    </row>
    <row r="3340" spans="1:6">
      <c r="A3340" t="s">
        <v>3318</v>
      </c>
      <c r="B3340" t="s">
        <v>92</v>
      </c>
      <c r="C3340" t="s">
        <v>93</v>
      </c>
      <c r="D3340" t="str">
        <f>HYPERLINK("http://service.sap.com/sap/support/notes/1445735","1445735")</f>
        <v>1445735</v>
      </c>
      <c r="F3340" t="s">
        <v>3419</v>
      </c>
    </row>
    <row r="3341" spans="1:6">
      <c r="A3341" t="s">
        <v>3318</v>
      </c>
      <c r="B3341" t="s">
        <v>92</v>
      </c>
      <c r="C3341" t="s">
        <v>93</v>
      </c>
      <c r="D3341" t="str">
        <f>HYPERLINK("http://service.sap.com/sap/support/notes/1463031","1463031")</f>
        <v>1463031</v>
      </c>
      <c r="F3341" t="s">
        <v>3420</v>
      </c>
    </row>
    <row r="3342" spans="1:6">
      <c r="A3342" t="s">
        <v>3318</v>
      </c>
      <c r="B3342" t="s">
        <v>92</v>
      </c>
      <c r="C3342" t="s">
        <v>93</v>
      </c>
      <c r="D3342" t="str">
        <f>HYPERLINK("http://service.sap.com/sap/support/notes/1465603","1465603")</f>
        <v>1465603</v>
      </c>
      <c r="F3342" t="s">
        <v>3421</v>
      </c>
    </row>
    <row r="3343" spans="1:6">
      <c r="A3343" t="s">
        <v>3318</v>
      </c>
      <c r="B3343" t="s">
        <v>92</v>
      </c>
      <c r="C3343" t="s">
        <v>93</v>
      </c>
      <c r="D3343" t="str">
        <f>HYPERLINK("http://service.sap.com/sap/support/notes/1469326","1469326")</f>
        <v>1469326</v>
      </c>
      <c r="F3343" t="s">
        <v>3422</v>
      </c>
    </row>
    <row r="3344" spans="1:6">
      <c r="A3344" t="s">
        <v>3318</v>
      </c>
      <c r="B3344" t="s">
        <v>92</v>
      </c>
      <c r="C3344" t="s">
        <v>93</v>
      </c>
      <c r="D3344" t="str">
        <f>HYPERLINK("http://service.sap.com/sap/support/notes/1470330","1470330")</f>
        <v>1470330</v>
      </c>
      <c r="F3344" t="s">
        <v>3423</v>
      </c>
    </row>
    <row r="3345" spans="1:6">
      <c r="A3345" t="s">
        <v>3318</v>
      </c>
      <c r="B3345" t="s">
        <v>99</v>
      </c>
      <c r="C3345" t="s">
        <v>683</v>
      </c>
      <c r="D3345" t="str">
        <f>HYPERLINK("http://service.sap.com/sap/support/notes/960754","960754")</f>
        <v>960754</v>
      </c>
      <c r="F3345" t="s">
        <v>684</v>
      </c>
    </row>
    <row r="3346" spans="1:6">
      <c r="A3346" t="s">
        <v>3318</v>
      </c>
      <c r="B3346" t="s">
        <v>99</v>
      </c>
      <c r="C3346" t="s">
        <v>683</v>
      </c>
      <c r="D3346" t="str">
        <f>HYPERLINK("http://service.sap.com/sap/support/notes/1420287","1420287")</f>
        <v>1420287</v>
      </c>
      <c r="F3346" t="s">
        <v>3424</v>
      </c>
    </row>
    <row r="3347" spans="1:6">
      <c r="A3347" t="s">
        <v>3318</v>
      </c>
      <c r="B3347" t="s">
        <v>99</v>
      </c>
      <c r="C3347" t="s">
        <v>683</v>
      </c>
      <c r="D3347" t="str">
        <f>HYPERLINK("http://service.sap.com/sap/support/notes/1422571","1422571")</f>
        <v>1422571</v>
      </c>
      <c r="F3347" t="s">
        <v>3425</v>
      </c>
    </row>
    <row r="3348" spans="1:6">
      <c r="A3348" t="s">
        <v>3318</v>
      </c>
      <c r="B3348" t="s">
        <v>99</v>
      </c>
      <c r="C3348" t="s">
        <v>683</v>
      </c>
      <c r="D3348" t="str">
        <f>HYPERLINK("http://service.sap.com/sap/support/notes/1434735","1434735")</f>
        <v>1434735</v>
      </c>
      <c r="F3348" t="s">
        <v>2297</v>
      </c>
    </row>
    <row r="3349" spans="1:6">
      <c r="A3349" t="s">
        <v>3318</v>
      </c>
      <c r="B3349" t="s">
        <v>99</v>
      </c>
      <c r="C3349" t="s">
        <v>683</v>
      </c>
      <c r="D3349" t="str">
        <f>HYPERLINK("http://service.sap.com/sap/support/notes/1463300","1463300")</f>
        <v>1463300</v>
      </c>
      <c r="F3349" t="s">
        <v>3426</v>
      </c>
    </row>
    <row r="3350" spans="1:6">
      <c r="A3350" t="s">
        <v>3318</v>
      </c>
      <c r="B3350" t="s">
        <v>99</v>
      </c>
      <c r="C3350" t="s">
        <v>683</v>
      </c>
      <c r="D3350" t="str">
        <f>HYPERLINK("http://service.sap.com/sap/support/notes/1464584","1464584")</f>
        <v>1464584</v>
      </c>
      <c r="F3350" t="s">
        <v>3427</v>
      </c>
    </row>
    <row r="3351" spans="1:6">
      <c r="A3351" t="s">
        <v>3318</v>
      </c>
      <c r="B3351" t="s">
        <v>99</v>
      </c>
      <c r="C3351" t="s">
        <v>683</v>
      </c>
      <c r="D3351" t="str">
        <f>HYPERLINK("http://service.sap.com/sap/support/notes/1468618","1468618")</f>
        <v>1468618</v>
      </c>
      <c r="F3351" t="s">
        <v>3428</v>
      </c>
    </row>
    <row r="3352" spans="1:6">
      <c r="A3352" t="s">
        <v>3318</v>
      </c>
      <c r="B3352" t="s">
        <v>99</v>
      </c>
      <c r="C3352" t="s">
        <v>683</v>
      </c>
      <c r="D3352" t="str">
        <f>HYPERLINK("http://service.sap.com/sap/support/notes/1468689","1468689")</f>
        <v>1468689</v>
      </c>
      <c r="F3352" t="s">
        <v>3429</v>
      </c>
    </row>
    <row r="3353" spans="1:6">
      <c r="A3353" t="s">
        <v>3318</v>
      </c>
      <c r="B3353" t="s">
        <v>99</v>
      </c>
      <c r="C3353" t="s">
        <v>683</v>
      </c>
      <c r="D3353" t="str">
        <f>HYPERLINK("http://service.sap.com/sap/support/notes/1469195","1469195")</f>
        <v>1469195</v>
      </c>
      <c r="F3353" t="s">
        <v>3430</v>
      </c>
    </row>
    <row r="3354" spans="1:6">
      <c r="A3354" t="s">
        <v>3318</v>
      </c>
      <c r="B3354" t="s">
        <v>99</v>
      </c>
      <c r="C3354" t="s">
        <v>683</v>
      </c>
      <c r="D3354" t="str">
        <f>HYPERLINK("http://service.sap.com/sap/support/notes/1469307","1469307")</f>
        <v>1469307</v>
      </c>
      <c r="F3354" t="s">
        <v>3431</v>
      </c>
    </row>
    <row r="3355" spans="1:6">
      <c r="A3355" t="s">
        <v>3318</v>
      </c>
      <c r="B3355" t="s">
        <v>99</v>
      </c>
      <c r="C3355" t="s">
        <v>683</v>
      </c>
      <c r="D3355" t="str">
        <f>HYPERLINK("http://service.sap.com/sap/support/notes/1470746","1470746")</f>
        <v>1470746</v>
      </c>
      <c r="F3355" t="s">
        <v>3432</v>
      </c>
    </row>
    <row r="3356" spans="1:6">
      <c r="A3356" t="s">
        <v>3318</v>
      </c>
      <c r="B3356" t="s">
        <v>99</v>
      </c>
      <c r="C3356" t="s">
        <v>683</v>
      </c>
      <c r="D3356" t="str">
        <f>HYPERLINK("http://service.sap.com/sap/support/notes/1471797","1471797")</f>
        <v>1471797</v>
      </c>
      <c r="F3356" t="s">
        <v>3433</v>
      </c>
    </row>
    <row r="3357" spans="1:6">
      <c r="A3357" t="s">
        <v>3318</v>
      </c>
      <c r="B3357" t="s">
        <v>109</v>
      </c>
      <c r="C3357" t="s">
        <v>110</v>
      </c>
      <c r="D3357" t="str">
        <f>HYPERLINK("http://service.sap.com/sap/support/notes/1421315","1421315")</f>
        <v>1421315</v>
      </c>
      <c r="F3357" t="s">
        <v>3434</v>
      </c>
    </row>
    <row r="3358" spans="1:6">
      <c r="A3358" t="s">
        <v>3318</v>
      </c>
      <c r="B3358" t="s">
        <v>702</v>
      </c>
      <c r="C3358" t="s">
        <v>514</v>
      </c>
      <c r="D3358" t="str">
        <f>HYPERLINK("http://service.sap.com/sap/support/notes/1466692","1466692")</f>
        <v>1466692</v>
      </c>
      <c r="F3358" t="s">
        <v>3435</v>
      </c>
    </row>
    <row r="3359" spans="1:6">
      <c r="A3359" t="s">
        <v>3318</v>
      </c>
      <c r="B3359" t="s">
        <v>702</v>
      </c>
      <c r="C3359" t="s">
        <v>514</v>
      </c>
      <c r="D3359" t="str">
        <f>HYPERLINK("http://service.sap.com/sap/support/notes/1469012","1469012")</f>
        <v>1469012</v>
      </c>
      <c r="F3359" t="s">
        <v>3436</v>
      </c>
    </row>
    <row r="3360" spans="1:6">
      <c r="A3360" t="s">
        <v>3318</v>
      </c>
      <c r="B3360" t="s">
        <v>116</v>
      </c>
      <c r="C3360" t="s">
        <v>117</v>
      </c>
      <c r="D3360" t="str">
        <f>HYPERLINK("http://service.sap.com/sap/support/notes/1412328","1412328")</f>
        <v>1412328</v>
      </c>
      <c r="F3360" t="s">
        <v>3437</v>
      </c>
    </row>
    <row r="3361" spans="1:6">
      <c r="A3361" t="s">
        <v>3318</v>
      </c>
      <c r="B3361" t="s">
        <v>116</v>
      </c>
      <c r="C3361" t="s">
        <v>117</v>
      </c>
      <c r="D3361" t="str">
        <f>HYPERLINK("http://service.sap.com/sap/support/notes/1422740","1422740")</f>
        <v>1422740</v>
      </c>
      <c r="F3361" t="s">
        <v>1962</v>
      </c>
    </row>
    <row r="3362" spans="1:6">
      <c r="A3362" t="s">
        <v>3318</v>
      </c>
      <c r="B3362" t="s">
        <v>116</v>
      </c>
      <c r="C3362" t="s">
        <v>117</v>
      </c>
      <c r="D3362" t="str">
        <f>HYPERLINK("http://service.sap.com/sap/support/notes/1450440","1450440")</f>
        <v>1450440</v>
      </c>
      <c r="F3362" t="s">
        <v>3438</v>
      </c>
    </row>
    <row r="3363" spans="1:6">
      <c r="A3363" t="s">
        <v>3318</v>
      </c>
      <c r="B3363" t="s">
        <v>116</v>
      </c>
      <c r="C3363" t="s">
        <v>117</v>
      </c>
      <c r="D3363" t="str">
        <f>HYPERLINK("http://service.sap.com/sap/support/notes/1454710","1454710")</f>
        <v>1454710</v>
      </c>
      <c r="F3363" t="s">
        <v>3439</v>
      </c>
    </row>
    <row r="3364" spans="1:6">
      <c r="A3364" t="s">
        <v>3318</v>
      </c>
      <c r="B3364" t="s">
        <v>122</v>
      </c>
      <c r="C3364" t="s">
        <v>123</v>
      </c>
      <c r="D3364" t="str">
        <f>HYPERLINK("http://service.sap.com/sap/support/notes/1426294","1426294")</f>
        <v>1426294</v>
      </c>
      <c r="F3364" t="s">
        <v>3440</v>
      </c>
    </row>
    <row r="3365" spans="1:6">
      <c r="A3365" t="s">
        <v>3318</v>
      </c>
      <c r="B3365" t="s">
        <v>122</v>
      </c>
      <c r="C3365" t="s">
        <v>123</v>
      </c>
      <c r="D3365" t="str">
        <f>HYPERLINK("http://service.sap.com/sap/support/notes/1466187","1466187")</f>
        <v>1466187</v>
      </c>
      <c r="F3365" t="s">
        <v>3441</v>
      </c>
    </row>
    <row r="3366" spans="1:6">
      <c r="A3366" t="s">
        <v>3318</v>
      </c>
      <c r="B3366" t="s">
        <v>125</v>
      </c>
      <c r="C3366" t="s">
        <v>126</v>
      </c>
      <c r="D3366" t="str">
        <f>HYPERLINK("http://service.sap.com/sap/support/notes/1278382","1278382")</f>
        <v>1278382</v>
      </c>
      <c r="F3366" t="s">
        <v>3442</v>
      </c>
    </row>
    <row r="3367" spans="1:6">
      <c r="A3367" t="s">
        <v>3318</v>
      </c>
      <c r="B3367" t="s">
        <v>125</v>
      </c>
      <c r="C3367" t="s">
        <v>126</v>
      </c>
      <c r="D3367" t="str">
        <f>HYPERLINK("http://service.sap.com/sap/support/notes/1336028","1336028")</f>
        <v>1336028</v>
      </c>
      <c r="F3367" t="s">
        <v>3443</v>
      </c>
    </row>
    <row r="3368" spans="1:6">
      <c r="A3368" t="s">
        <v>3318</v>
      </c>
      <c r="B3368" t="s">
        <v>125</v>
      </c>
      <c r="C3368" t="s">
        <v>126</v>
      </c>
      <c r="D3368" t="str">
        <f>HYPERLINK("http://service.sap.com/sap/support/notes/1410664","1410664")</f>
        <v>1410664</v>
      </c>
      <c r="F3368" t="s">
        <v>3444</v>
      </c>
    </row>
    <row r="3369" spans="1:6">
      <c r="A3369" t="s">
        <v>3318</v>
      </c>
      <c r="B3369" t="s">
        <v>125</v>
      </c>
      <c r="C3369" t="s">
        <v>126</v>
      </c>
      <c r="D3369" t="str">
        <f>HYPERLINK("http://service.sap.com/sap/support/notes/1411541","1411541")</f>
        <v>1411541</v>
      </c>
      <c r="F3369" t="s">
        <v>3445</v>
      </c>
    </row>
    <row r="3370" spans="1:6">
      <c r="A3370" t="s">
        <v>3318</v>
      </c>
      <c r="B3370" t="s">
        <v>125</v>
      </c>
      <c r="C3370" t="s">
        <v>126</v>
      </c>
      <c r="D3370" t="str">
        <f>HYPERLINK("http://service.sap.com/sap/support/notes/1411866","1411866")</f>
        <v>1411866</v>
      </c>
      <c r="F3370" t="s">
        <v>3446</v>
      </c>
    </row>
    <row r="3371" spans="1:6">
      <c r="A3371" t="s">
        <v>3318</v>
      </c>
      <c r="B3371" t="s">
        <v>125</v>
      </c>
      <c r="C3371" t="s">
        <v>126</v>
      </c>
      <c r="D3371" t="str">
        <f>HYPERLINK("http://service.sap.com/sap/support/notes/1412927","1412927")</f>
        <v>1412927</v>
      </c>
      <c r="F3371" t="s">
        <v>3447</v>
      </c>
    </row>
    <row r="3372" spans="1:6">
      <c r="A3372" t="s">
        <v>3318</v>
      </c>
      <c r="B3372" t="s">
        <v>125</v>
      </c>
      <c r="C3372" t="s">
        <v>126</v>
      </c>
      <c r="D3372" t="str">
        <f>HYPERLINK("http://service.sap.com/sap/support/notes/1413254","1413254")</f>
        <v>1413254</v>
      </c>
      <c r="F3372" t="s">
        <v>3448</v>
      </c>
    </row>
    <row r="3373" spans="1:6">
      <c r="A3373" t="s">
        <v>3318</v>
      </c>
      <c r="B3373" t="s">
        <v>125</v>
      </c>
      <c r="C3373" t="s">
        <v>126</v>
      </c>
      <c r="D3373" t="str">
        <f>HYPERLINK("http://service.sap.com/sap/support/notes/1414178","1414178")</f>
        <v>1414178</v>
      </c>
      <c r="F3373" t="s">
        <v>3449</v>
      </c>
    </row>
    <row r="3374" spans="1:6">
      <c r="A3374" t="s">
        <v>3318</v>
      </c>
      <c r="B3374" t="s">
        <v>125</v>
      </c>
      <c r="C3374" t="s">
        <v>126</v>
      </c>
      <c r="D3374" t="str">
        <f>HYPERLINK("http://service.sap.com/sap/support/notes/1414581","1414581")</f>
        <v>1414581</v>
      </c>
      <c r="F3374" t="s">
        <v>3450</v>
      </c>
    </row>
    <row r="3375" spans="1:6">
      <c r="A3375" t="s">
        <v>3318</v>
      </c>
      <c r="B3375" t="s">
        <v>125</v>
      </c>
      <c r="C3375" t="s">
        <v>126</v>
      </c>
      <c r="D3375" t="str">
        <f>HYPERLINK("http://service.sap.com/sap/support/notes/1415108","1415108")</f>
        <v>1415108</v>
      </c>
      <c r="F3375" t="s">
        <v>3451</v>
      </c>
    </row>
    <row r="3376" spans="1:6">
      <c r="A3376" t="s">
        <v>3318</v>
      </c>
      <c r="B3376" t="s">
        <v>125</v>
      </c>
      <c r="C3376" t="s">
        <v>126</v>
      </c>
      <c r="D3376" t="str">
        <f>HYPERLINK("http://service.sap.com/sap/support/notes/1415394","1415394")</f>
        <v>1415394</v>
      </c>
      <c r="F3376" t="s">
        <v>3452</v>
      </c>
    </row>
    <row r="3377" spans="1:6">
      <c r="A3377" t="s">
        <v>3318</v>
      </c>
      <c r="B3377" t="s">
        <v>125</v>
      </c>
      <c r="C3377" t="s">
        <v>126</v>
      </c>
      <c r="D3377" t="str">
        <f>HYPERLINK("http://service.sap.com/sap/support/notes/1415594","1415594")</f>
        <v>1415594</v>
      </c>
      <c r="F3377" t="s">
        <v>3453</v>
      </c>
    </row>
    <row r="3378" spans="1:6">
      <c r="A3378" t="s">
        <v>3318</v>
      </c>
      <c r="B3378" t="s">
        <v>125</v>
      </c>
      <c r="C3378" t="s">
        <v>126</v>
      </c>
      <c r="D3378" t="str">
        <f>HYPERLINK("http://service.sap.com/sap/support/notes/1416582","1416582")</f>
        <v>1416582</v>
      </c>
      <c r="F3378" t="s">
        <v>3454</v>
      </c>
    </row>
    <row r="3379" spans="1:6">
      <c r="A3379" t="s">
        <v>3318</v>
      </c>
      <c r="B3379" t="s">
        <v>125</v>
      </c>
      <c r="C3379" t="s">
        <v>126</v>
      </c>
      <c r="D3379" t="str">
        <f>HYPERLINK("http://service.sap.com/sap/support/notes/1417410","1417410")</f>
        <v>1417410</v>
      </c>
      <c r="F3379" t="s">
        <v>3455</v>
      </c>
    </row>
    <row r="3380" spans="1:6">
      <c r="A3380" t="s">
        <v>3318</v>
      </c>
      <c r="B3380" t="s">
        <v>125</v>
      </c>
      <c r="C3380" t="s">
        <v>126</v>
      </c>
      <c r="D3380" t="str">
        <f>HYPERLINK("http://service.sap.com/sap/support/notes/1418773","1418773")</f>
        <v>1418773</v>
      </c>
      <c r="F3380" t="s">
        <v>3456</v>
      </c>
    </row>
    <row r="3381" spans="1:6">
      <c r="A3381" t="s">
        <v>3318</v>
      </c>
      <c r="B3381" t="s">
        <v>125</v>
      </c>
      <c r="C3381" t="s">
        <v>126</v>
      </c>
      <c r="D3381" t="str">
        <f>HYPERLINK("http://service.sap.com/sap/support/notes/1421733","1421733")</f>
        <v>1421733</v>
      </c>
      <c r="F3381" t="s">
        <v>3457</v>
      </c>
    </row>
    <row r="3382" spans="1:6">
      <c r="A3382" t="s">
        <v>3318</v>
      </c>
      <c r="B3382" t="s">
        <v>125</v>
      </c>
      <c r="C3382" t="s">
        <v>126</v>
      </c>
      <c r="D3382" t="str">
        <f>HYPERLINK("http://service.sap.com/sap/support/notes/1422209","1422209")</f>
        <v>1422209</v>
      </c>
      <c r="F3382" t="s">
        <v>3458</v>
      </c>
    </row>
    <row r="3383" spans="1:6">
      <c r="A3383" t="s">
        <v>3318</v>
      </c>
      <c r="B3383" t="s">
        <v>125</v>
      </c>
      <c r="C3383" t="s">
        <v>126</v>
      </c>
      <c r="D3383" t="str">
        <f>HYPERLINK("http://service.sap.com/sap/support/notes/1422584","1422584")</f>
        <v>1422584</v>
      </c>
      <c r="F3383" t="s">
        <v>3459</v>
      </c>
    </row>
    <row r="3384" spans="1:6">
      <c r="A3384" t="s">
        <v>3318</v>
      </c>
      <c r="B3384" t="s">
        <v>125</v>
      </c>
      <c r="C3384" t="s">
        <v>126</v>
      </c>
      <c r="D3384" t="str">
        <f>HYPERLINK("http://service.sap.com/sap/support/notes/1422836","1422836")</f>
        <v>1422836</v>
      </c>
      <c r="F3384" t="s">
        <v>3460</v>
      </c>
    </row>
    <row r="3385" spans="1:6">
      <c r="A3385" t="s">
        <v>3318</v>
      </c>
      <c r="B3385" t="s">
        <v>125</v>
      </c>
      <c r="C3385" t="s">
        <v>126</v>
      </c>
      <c r="D3385" t="str">
        <f>HYPERLINK("http://service.sap.com/sap/support/notes/1422985","1422985")</f>
        <v>1422985</v>
      </c>
      <c r="F3385" t="s">
        <v>3461</v>
      </c>
    </row>
    <row r="3386" spans="1:6">
      <c r="A3386" t="s">
        <v>3318</v>
      </c>
      <c r="B3386" t="s">
        <v>125</v>
      </c>
      <c r="C3386" t="s">
        <v>126</v>
      </c>
      <c r="D3386" t="str">
        <f>HYPERLINK("http://service.sap.com/sap/support/notes/1423795","1423795")</f>
        <v>1423795</v>
      </c>
      <c r="F3386" t="s">
        <v>3462</v>
      </c>
    </row>
    <row r="3387" spans="1:6">
      <c r="A3387" t="s">
        <v>3318</v>
      </c>
      <c r="B3387" t="s">
        <v>125</v>
      </c>
      <c r="C3387" t="s">
        <v>126</v>
      </c>
      <c r="D3387" t="str">
        <f>HYPERLINK("http://service.sap.com/sap/support/notes/1425146","1425146")</f>
        <v>1425146</v>
      </c>
      <c r="F3387" t="s">
        <v>3463</v>
      </c>
    </row>
    <row r="3388" spans="1:6">
      <c r="A3388" t="s">
        <v>3318</v>
      </c>
      <c r="B3388" t="s">
        <v>125</v>
      </c>
      <c r="C3388" t="s">
        <v>126</v>
      </c>
      <c r="D3388" t="str">
        <f>HYPERLINK("http://service.sap.com/sap/support/notes/1426140","1426140")</f>
        <v>1426140</v>
      </c>
      <c r="F3388" t="s">
        <v>3464</v>
      </c>
    </row>
    <row r="3389" spans="1:6">
      <c r="A3389" t="s">
        <v>3318</v>
      </c>
      <c r="B3389" t="s">
        <v>125</v>
      </c>
      <c r="C3389" t="s">
        <v>126</v>
      </c>
      <c r="D3389" t="str">
        <f>HYPERLINK("http://service.sap.com/sap/support/notes/1426982","1426982")</f>
        <v>1426982</v>
      </c>
      <c r="F3389" t="s">
        <v>3465</v>
      </c>
    </row>
    <row r="3390" spans="1:6">
      <c r="A3390" t="s">
        <v>3318</v>
      </c>
      <c r="B3390" t="s">
        <v>125</v>
      </c>
      <c r="C3390" t="s">
        <v>126</v>
      </c>
      <c r="D3390" t="str">
        <f>HYPERLINK("http://service.sap.com/sap/support/notes/1427558","1427558")</f>
        <v>1427558</v>
      </c>
      <c r="F3390" t="s">
        <v>3466</v>
      </c>
    </row>
    <row r="3391" spans="1:6">
      <c r="A3391" t="s">
        <v>3318</v>
      </c>
      <c r="B3391" t="s">
        <v>125</v>
      </c>
      <c r="C3391" t="s">
        <v>126</v>
      </c>
      <c r="D3391" t="str">
        <f>HYPERLINK("http://service.sap.com/sap/support/notes/1427654","1427654")</f>
        <v>1427654</v>
      </c>
      <c r="F3391" t="s">
        <v>3467</v>
      </c>
    </row>
    <row r="3392" spans="1:6">
      <c r="A3392" t="s">
        <v>3318</v>
      </c>
      <c r="B3392" t="s">
        <v>125</v>
      </c>
      <c r="C3392" t="s">
        <v>126</v>
      </c>
      <c r="D3392" t="str">
        <f>HYPERLINK("http://service.sap.com/sap/support/notes/1427987","1427987")</f>
        <v>1427987</v>
      </c>
      <c r="F3392" t="s">
        <v>3468</v>
      </c>
    </row>
    <row r="3393" spans="1:6">
      <c r="A3393" t="s">
        <v>3318</v>
      </c>
      <c r="B3393" t="s">
        <v>125</v>
      </c>
      <c r="C3393" t="s">
        <v>126</v>
      </c>
      <c r="D3393" t="str">
        <f>HYPERLINK("http://service.sap.com/sap/support/notes/1428716","1428716")</f>
        <v>1428716</v>
      </c>
      <c r="F3393" t="s">
        <v>3469</v>
      </c>
    </row>
    <row r="3394" spans="1:6">
      <c r="A3394" t="s">
        <v>3318</v>
      </c>
      <c r="B3394" t="s">
        <v>125</v>
      </c>
      <c r="C3394" t="s">
        <v>126</v>
      </c>
      <c r="D3394" t="str">
        <f>HYPERLINK("http://service.sap.com/sap/support/notes/1428984","1428984")</f>
        <v>1428984</v>
      </c>
      <c r="F3394" t="s">
        <v>3470</v>
      </c>
    </row>
    <row r="3395" spans="1:6">
      <c r="A3395" t="s">
        <v>3318</v>
      </c>
      <c r="B3395" t="s">
        <v>125</v>
      </c>
      <c r="C3395" t="s">
        <v>126</v>
      </c>
      <c r="D3395" t="str">
        <f>HYPERLINK("http://service.sap.com/sap/support/notes/1429432","1429432")</f>
        <v>1429432</v>
      </c>
      <c r="F3395" t="s">
        <v>3471</v>
      </c>
    </row>
    <row r="3396" spans="1:6">
      <c r="A3396" t="s">
        <v>3318</v>
      </c>
      <c r="B3396" t="s">
        <v>125</v>
      </c>
      <c r="C3396" t="s">
        <v>126</v>
      </c>
      <c r="D3396" t="str">
        <f>HYPERLINK("http://service.sap.com/sap/support/notes/1430462","1430462")</f>
        <v>1430462</v>
      </c>
      <c r="F3396" t="s">
        <v>3472</v>
      </c>
    </row>
    <row r="3397" spans="1:6">
      <c r="A3397" t="s">
        <v>3318</v>
      </c>
      <c r="B3397" t="s">
        <v>125</v>
      </c>
      <c r="C3397" t="s">
        <v>126</v>
      </c>
      <c r="D3397" t="str">
        <f>HYPERLINK("http://service.sap.com/sap/support/notes/1431510","1431510")</f>
        <v>1431510</v>
      </c>
      <c r="F3397" t="s">
        <v>3473</v>
      </c>
    </row>
    <row r="3398" spans="1:6">
      <c r="A3398" t="s">
        <v>3318</v>
      </c>
      <c r="B3398" t="s">
        <v>125</v>
      </c>
      <c r="C3398" t="s">
        <v>126</v>
      </c>
      <c r="D3398" t="str">
        <f>HYPERLINK("http://service.sap.com/sap/support/notes/1432213","1432213")</f>
        <v>1432213</v>
      </c>
      <c r="F3398" t="s">
        <v>3474</v>
      </c>
    </row>
    <row r="3399" spans="1:6">
      <c r="A3399" t="s">
        <v>3318</v>
      </c>
      <c r="B3399" t="s">
        <v>125</v>
      </c>
      <c r="C3399" t="s">
        <v>126</v>
      </c>
      <c r="D3399" t="str">
        <f>HYPERLINK("http://service.sap.com/sap/support/notes/1433008","1433008")</f>
        <v>1433008</v>
      </c>
      <c r="F3399" t="s">
        <v>3475</v>
      </c>
    </row>
    <row r="3400" spans="1:6">
      <c r="A3400" t="s">
        <v>3318</v>
      </c>
      <c r="B3400" t="s">
        <v>125</v>
      </c>
      <c r="C3400" t="s">
        <v>126</v>
      </c>
      <c r="D3400" t="str">
        <f>HYPERLINK("http://service.sap.com/sap/support/notes/1433119","1433119")</f>
        <v>1433119</v>
      </c>
      <c r="F3400" t="s">
        <v>3476</v>
      </c>
    </row>
    <row r="3401" spans="1:6">
      <c r="A3401" t="s">
        <v>3318</v>
      </c>
      <c r="B3401" t="s">
        <v>125</v>
      </c>
      <c r="C3401" t="s">
        <v>126</v>
      </c>
      <c r="D3401" t="str">
        <f>HYPERLINK("http://service.sap.com/sap/support/notes/1433726","1433726")</f>
        <v>1433726</v>
      </c>
      <c r="F3401" t="s">
        <v>3477</v>
      </c>
    </row>
    <row r="3402" spans="1:6">
      <c r="A3402" t="s">
        <v>3318</v>
      </c>
      <c r="B3402" t="s">
        <v>125</v>
      </c>
      <c r="C3402" t="s">
        <v>126</v>
      </c>
      <c r="D3402" t="str">
        <f>HYPERLINK("http://service.sap.com/sap/support/notes/1435188","1435188")</f>
        <v>1435188</v>
      </c>
      <c r="F3402" t="s">
        <v>3478</v>
      </c>
    </row>
    <row r="3403" spans="1:6">
      <c r="A3403" t="s">
        <v>3318</v>
      </c>
      <c r="B3403" t="s">
        <v>125</v>
      </c>
      <c r="C3403" t="s">
        <v>126</v>
      </c>
      <c r="D3403" t="str">
        <f>HYPERLINK("http://service.sap.com/sap/support/notes/1435454","1435454")</f>
        <v>1435454</v>
      </c>
      <c r="F3403" t="s">
        <v>3479</v>
      </c>
    </row>
    <row r="3404" spans="1:6">
      <c r="A3404" t="s">
        <v>3318</v>
      </c>
      <c r="B3404" t="s">
        <v>125</v>
      </c>
      <c r="C3404" t="s">
        <v>126</v>
      </c>
      <c r="D3404" t="str">
        <f>HYPERLINK("http://service.sap.com/sap/support/notes/1437742","1437742")</f>
        <v>1437742</v>
      </c>
      <c r="F3404" t="s">
        <v>3480</v>
      </c>
    </row>
    <row r="3405" spans="1:6">
      <c r="A3405" t="s">
        <v>3318</v>
      </c>
      <c r="B3405" t="s">
        <v>125</v>
      </c>
      <c r="C3405" t="s">
        <v>126</v>
      </c>
      <c r="D3405" t="str">
        <f>HYPERLINK("http://service.sap.com/sap/support/notes/1437929","1437929")</f>
        <v>1437929</v>
      </c>
      <c r="F3405" t="s">
        <v>3481</v>
      </c>
    </row>
    <row r="3406" spans="1:6">
      <c r="A3406" t="s">
        <v>3318</v>
      </c>
      <c r="B3406" t="s">
        <v>125</v>
      </c>
      <c r="C3406" t="s">
        <v>126</v>
      </c>
      <c r="D3406" t="str">
        <f>HYPERLINK("http://service.sap.com/sap/support/notes/1438452","1438452")</f>
        <v>1438452</v>
      </c>
      <c r="F3406" t="s">
        <v>3482</v>
      </c>
    </row>
    <row r="3407" spans="1:6">
      <c r="A3407" t="s">
        <v>3318</v>
      </c>
      <c r="B3407" t="s">
        <v>125</v>
      </c>
      <c r="C3407" t="s">
        <v>126</v>
      </c>
      <c r="D3407" t="str">
        <f>HYPERLINK("http://service.sap.com/sap/support/notes/1442687","1442687")</f>
        <v>1442687</v>
      </c>
      <c r="F3407" t="s">
        <v>3483</v>
      </c>
    </row>
    <row r="3408" spans="1:6">
      <c r="A3408" t="s">
        <v>3318</v>
      </c>
      <c r="B3408" t="s">
        <v>125</v>
      </c>
      <c r="C3408" t="s">
        <v>126</v>
      </c>
      <c r="D3408" t="str">
        <f>HYPERLINK("http://service.sap.com/sap/support/notes/1442770","1442770")</f>
        <v>1442770</v>
      </c>
      <c r="F3408" t="s">
        <v>3484</v>
      </c>
    </row>
    <row r="3409" spans="1:6">
      <c r="A3409" t="s">
        <v>3318</v>
      </c>
      <c r="B3409" t="s">
        <v>125</v>
      </c>
      <c r="C3409" t="s">
        <v>126</v>
      </c>
      <c r="D3409" t="str">
        <f>HYPERLINK("http://service.sap.com/sap/support/notes/1444051","1444051")</f>
        <v>1444051</v>
      </c>
      <c r="F3409" t="s">
        <v>3485</v>
      </c>
    </row>
    <row r="3410" spans="1:6">
      <c r="A3410" t="s">
        <v>3318</v>
      </c>
      <c r="B3410" t="s">
        <v>125</v>
      </c>
      <c r="C3410" t="s">
        <v>126</v>
      </c>
      <c r="D3410" t="str">
        <f>HYPERLINK("http://service.sap.com/sap/support/notes/1444324","1444324")</f>
        <v>1444324</v>
      </c>
      <c r="F3410" t="s">
        <v>3486</v>
      </c>
    </row>
    <row r="3411" spans="1:6">
      <c r="A3411" t="s">
        <v>3318</v>
      </c>
      <c r="B3411" t="s">
        <v>125</v>
      </c>
      <c r="C3411" t="s">
        <v>126</v>
      </c>
      <c r="D3411" t="str">
        <f>HYPERLINK("http://service.sap.com/sap/support/notes/1444825","1444825")</f>
        <v>1444825</v>
      </c>
      <c r="F3411" t="s">
        <v>3487</v>
      </c>
    </row>
    <row r="3412" spans="1:6">
      <c r="A3412" t="s">
        <v>3318</v>
      </c>
      <c r="B3412" t="s">
        <v>125</v>
      </c>
      <c r="C3412" t="s">
        <v>126</v>
      </c>
      <c r="D3412" t="str">
        <f>HYPERLINK("http://service.sap.com/sap/support/notes/1444834","1444834")</f>
        <v>1444834</v>
      </c>
      <c r="F3412" t="s">
        <v>3488</v>
      </c>
    </row>
    <row r="3413" spans="1:6">
      <c r="A3413" t="s">
        <v>3318</v>
      </c>
      <c r="B3413" t="s">
        <v>125</v>
      </c>
      <c r="C3413" t="s">
        <v>126</v>
      </c>
      <c r="D3413" t="str">
        <f>HYPERLINK("http://service.sap.com/sap/support/notes/1445417","1445417")</f>
        <v>1445417</v>
      </c>
      <c r="F3413" t="s">
        <v>3489</v>
      </c>
    </row>
    <row r="3414" spans="1:6">
      <c r="A3414" t="s">
        <v>3318</v>
      </c>
      <c r="B3414" t="s">
        <v>125</v>
      </c>
      <c r="C3414" t="s">
        <v>126</v>
      </c>
      <c r="D3414" t="str">
        <f>HYPERLINK("http://service.sap.com/sap/support/notes/1446822","1446822")</f>
        <v>1446822</v>
      </c>
      <c r="F3414" t="s">
        <v>3490</v>
      </c>
    </row>
    <row r="3415" spans="1:6">
      <c r="A3415" t="s">
        <v>3318</v>
      </c>
      <c r="B3415" t="s">
        <v>125</v>
      </c>
      <c r="C3415" t="s">
        <v>126</v>
      </c>
      <c r="D3415" t="str">
        <f>HYPERLINK("http://service.sap.com/sap/support/notes/1448617","1448617")</f>
        <v>1448617</v>
      </c>
      <c r="F3415" t="s">
        <v>3491</v>
      </c>
    </row>
    <row r="3416" spans="1:6">
      <c r="A3416" t="s">
        <v>3318</v>
      </c>
      <c r="B3416" t="s">
        <v>125</v>
      </c>
      <c r="C3416" t="s">
        <v>126</v>
      </c>
      <c r="D3416" t="str">
        <f>HYPERLINK("http://service.sap.com/sap/support/notes/1448708","1448708")</f>
        <v>1448708</v>
      </c>
      <c r="F3416" t="s">
        <v>3492</v>
      </c>
    </row>
    <row r="3417" spans="1:6">
      <c r="A3417" t="s">
        <v>3318</v>
      </c>
      <c r="B3417" t="s">
        <v>125</v>
      </c>
      <c r="C3417" t="s">
        <v>126</v>
      </c>
      <c r="D3417" t="str">
        <f>HYPERLINK("http://service.sap.com/sap/support/notes/1449855","1449855")</f>
        <v>1449855</v>
      </c>
      <c r="F3417" t="s">
        <v>3493</v>
      </c>
    </row>
    <row r="3418" spans="1:6">
      <c r="A3418" t="s">
        <v>3318</v>
      </c>
      <c r="B3418" t="s">
        <v>125</v>
      </c>
      <c r="C3418" t="s">
        <v>126</v>
      </c>
      <c r="D3418" t="str">
        <f>HYPERLINK("http://service.sap.com/sap/support/notes/1450311","1450311")</f>
        <v>1450311</v>
      </c>
      <c r="F3418" t="s">
        <v>3494</v>
      </c>
    </row>
    <row r="3419" spans="1:6">
      <c r="A3419" t="s">
        <v>3318</v>
      </c>
      <c r="B3419" t="s">
        <v>125</v>
      </c>
      <c r="C3419" t="s">
        <v>126</v>
      </c>
      <c r="D3419" t="str">
        <f>HYPERLINK("http://service.sap.com/sap/support/notes/1451400","1451400")</f>
        <v>1451400</v>
      </c>
      <c r="F3419" t="s">
        <v>3495</v>
      </c>
    </row>
    <row r="3420" spans="1:6">
      <c r="A3420" t="s">
        <v>3318</v>
      </c>
      <c r="B3420" t="s">
        <v>125</v>
      </c>
      <c r="C3420" t="s">
        <v>126</v>
      </c>
      <c r="D3420" t="str">
        <f>HYPERLINK("http://service.sap.com/sap/support/notes/1451870","1451870")</f>
        <v>1451870</v>
      </c>
      <c r="F3420" t="s">
        <v>3496</v>
      </c>
    </row>
    <row r="3421" spans="1:6">
      <c r="A3421" t="s">
        <v>3318</v>
      </c>
      <c r="B3421" t="s">
        <v>125</v>
      </c>
      <c r="C3421" t="s">
        <v>126</v>
      </c>
      <c r="D3421" t="str">
        <f>HYPERLINK("http://service.sap.com/sap/support/notes/1453514","1453514")</f>
        <v>1453514</v>
      </c>
      <c r="F3421" t="s">
        <v>3497</v>
      </c>
    </row>
    <row r="3422" spans="1:6">
      <c r="A3422" t="s">
        <v>3318</v>
      </c>
      <c r="B3422" t="s">
        <v>125</v>
      </c>
      <c r="C3422" t="s">
        <v>126</v>
      </c>
      <c r="D3422" t="str">
        <f>HYPERLINK("http://service.sap.com/sap/support/notes/1455927","1455927")</f>
        <v>1455927</v>
      </c>
      <c r="F3422" t="s">
        <v>3498</v>
      </c>
    </row>
    <row r="3423" spans="1:6">
      <c r="A3423" t="s">
        <v>3318</v>
      </c>
      <c r="B3423" t="s">
        <v>125</v>
      </c>
      <c r="C3423" t="s">
        <v>126</v>
      </c>
      <c r="D3423" t="str">
        <f>HYPERLINK("http://service.sap.com/sap/support/notes/1456149","1456149")</f>
        <v>1456149</v>
      </c>
      <c r="F3423" t="s">
        <v>3499</v>
      </c>
    </row>
    <row r="3424" spans="1:6">
      <c r="A3424" t="s">
        <v>3318</v>
      </c>
      <c r="B3424" t="s">
        <v>125</v>
      </c>
      <c r="C3424" t="s">
        <v>126</v>
      </c>
      <c r="D3424" t="str">
        <f>HYPERLINK("http://service.sap.com/sap/support/notes/1458046","1458046")</f>
        <v>1458046</v>
      </c>
      <c r="F3424" t="s">
        <v>3500</v>
      </c>
    </row>
    <row r="3425" spans="1:6">
      <c r="A3425" t="s">
        <v>3318</v>
      </c>
      <c r="B3425" t="s">
        <v>125</v>
      </c>
      <c r="C3425" t="s">
        <v>126</v>
      </c>
      <c r="D3425" t="str">
        <f>HYPERLINK("http://service.sap.com/sap/support/notes/1458066","1458066")</f>
        <v>1458066</v>
      </c>
      <c r="F3425" t="s">
        <v>3501</v>
      </c>
    </row>
    <row r="3426" spans="1:6">
      <c r="A3426" t="s">
        <v>3318</v>
      </c>
      <c r="B3426" t="s">
        <v>125</v>
      </c>
      <c r="C3426" t="s">
        <v>126</v>
      </c>
      <c r="D3426" t="str">
        <f>HYPERLINK("http://service.sap.com/sap/support/notes/1459267","1459267")</f>
        <v>1459267</v>
      </c>
      <c r="F3426" t="s">
        <v>3502</v>
      </c>
    </row>
    <row r="3427" spans="1:6">
      <c r="A3427" t="s">
        <v>3318</v>
      </c>
      <c r="B3427" t="s">
        <v>125</v>
      </c>
      <c r="C3427" t="s">
        <v>126</v>
      </c>
      <c r="D3427" t="str">
        <f>HYPERLINK("http://service.sap.com/sap/support/notes/1460205","1460205")</f>
        <v>1460205</v>
      </c>
      <c r="F3427" t="s">
        <v>3503</v>
      </c>
    </row>
    <row r="3428" spans="1:6">
      <c r="A3428" t="s">
        <v>3318</v>
      </c>
      <c r="B3428" t="s">
        <v>125</v>
      </c>
      <c r="C3428" t="s">
        <v>126</v>
      </c>
      <c r="D3428" t="str">
        <f>HYPERLINK("http://service.sap.com/sap/support/notes/1460439","1460439")</f>
        <v>1460439</v>
      </c>
      <c r="F3428" t="s">
        <v>3504</v>
      </c>
    </row>
    <row r="3429" spans="1:6">
      <c r="A3429" t="s">
        <v>3318</v>
      </c>
      <c r="B3429" t="s">
        <v>125</v>
      </c>
      <c r="C3429" t="s">
        <v>126</v>
      </c>
      <c r="D3429" t="str">
        <f>HYPERLINK("http://service.sap.com/sap/support/notes/1462567","1462567")</f>
        <v>1462567</v>
      </c>
      <c r="F3429" t="s">
        <v>3505</v>
      </c>
    </row>
    <row r="3430" spans="1:6">
      <c r="A3430" t="s">
        <v>3318</v>
      </c>
      <c r="B3430" t="s">
        <v>125</v>
      </c>
      <c r="C3430" t="s">
        <v>126</v>
      </c>
      <c r="D3430" t="str">
        <f>HYPERLINK("http://service.sap.com/sap/support/notes/1464635","1464635")</f>
        <v>1464635</v>
      </c>
      <c r="F3430" t="s">
        <v>3506</v>
      </c>
    </row>
    <row r="3431" spans="1:6">
      <c r="A3431" t="s">
        <v>3318</v>
      </c>
      <c r="B3431" t="s">
        <v>125</v>
      </c>
      <c r="C3431" t="s">
        <v>126</v>
      </c>
      <c r="D3431" t="str">
        <f>HYPERLINK("http://service.sap.com/sap/support/notes/1468315","1468315")</f>
        <v>1468315</v>
      </c>
      <c r="F3431" t="s">
        <v>3507</v>
      </c>
    </row>
    <row r="3432" spans="1:6">
      <c r="A3432" t="s">
        <v>3318</v>
      </c>
      <c r="B3432" t="s">
        <v>125</v>
      </c>
      <c r="C3432" t="s">
        <v>126</v>
      </c>
      <c r="D3432" t="str">
        <f>HYPERLINK("http://service.sap.com/sap/support/notes/1468440","1468440")</f>
        <v>1468440</v>
      </c>
      <c r="F3432" t="s">
        <v>3508</v>
      </c>
    </row>
    <row r="3433" spans="1:6">
      <c r="A3433" t="s">
        <v>3318</v>
      </c>
      <c r="B3433" t="s">
        <v>125</v>
      </c>
      <c r="C3433" t="s">
        <v>126</v>
      </c>
      <c r="D3433" t="str">
        <f>HYPERLINK("http://service.sap.com/sap/support/notes/1468470","1468470")</f>
        <v>1468470</v>
      </c>
      <c r="F3433" t="s">
        <v>3509</v>
      </c>
    </row>
    <row r="3434" spans="1:6">
      <c r="A3434" t="s">
        <v>3318</v>
      </c>
      <c r="B3434" t="s">
        <v>125</v>
      </c>
      <c r="C3434" t="s">
        <v>126</v>
      </c>
      <c r="D3434" t="str">
        <f>HYPERLINK("http://service.sap.com/sap/support/notes/1468564","1468564")</f>
        <v>1468564</v>
      </c>
      <c r="F3434" t="s">
        <v>3510</v>
      </c>
    </row>
    <row r="3435" spans="1:6">
      <c r="A3435" t="s">
        <v>3318</v>
      </c>
      <c r="B3435" t="s">
        <v>125</v>
      </c>
      <c r="C3435" t="s">
        <v>126</v>
      </c>
      <c r="D3435" t="str">
        <f>HYPERLINK("http://service.sap.com/sap/support/notes/1469659","1469659")</f>
        <v>1469659</v>
      </c>
      <c r="F3435" t="s">
        <v>3511</v>
      </c>
    </row>
    <row r="3436" spans="1:6">
      <c r="A3436" t="s">
        <v>3318</v>
      </c>
      <c r="B3436" t="s">
        <v>125</v>
      </c>
      <c r="C3436" t="s">
        <v>126</v>
      </c>
      <c r="D3436" t="str">
        <f>HYPERLINK("http://service.sap.com/sap/support/notes/1469700","1469700")</f>
        <v>1469700</v>
      </c>
      <c r="F3436" t="s">
        <v>3512</v>
      </c>
    </row>
    <row r="3437" spans="1:6">
      <c r="A3437" t="s">
        <v>3318</v>
      </c>
      <c r="B3437" t="s">
        <v>125</v>
      </c>
      <c r="C3437" t="s">
        <v>126</v>
      </c>
      <c r="D3437" t="str">
        <f>HYPERLINK("http://service.sap.com/sap/support/notes/1471107","1471107")</f>
        <v>1471107</v>
      </c>
      <c r="F3437" t="s">
        <v>3513</v>
      </c>
    </row>
    <row r="3438" spans="1:6">
      <c r="A3438" t="s">
        <v>3318</v>
      </c>
      <c r="B3438" t="s">
        <v>125</v>
      </c>
      <c r="C3438" t="s">
        <v>126</v>
      </c>
      <c r="D3438" t="str">
        <f>HYPERLINK("http://service.sap.com/sap/support/notes/1471419","1471419")</f>
        <v>1471419</v>
      </c>
      <c r="F3438" t="s">
        <v>3514</v>
      </c>
    </row>
    <row r="3439" spans="1:6">
      <c r="A3439" t="s">
        <v>3318</v>
      </c>
      <c r="B3439" t="s">
        <v>781</v>
      </c>
    </row>
    <row r="3440" spans="1:6">
      <c r="A3440" t="s">
        <v>3318</v>
      </c>
      <c r="B3440" t="s">
        <v>784</v>
      </c>
      <c r="C3440" t="s">
        <v>785</v>
      </c>
      <c r="D3440" t="str">
        <f>HYPERLINK("http://service.sap.com/sap/support/notes/1431179","1431179")</f>
        <v>1431179</v>
      </c>
      <c r="F3440" t="s">
        <v>3515</v>
      </c>
    </row>
    <row r="3441" spans="1:6">
      <c r="A3441" t="s">
        <v>3318</v>
      </c>
      <c r="B3441" t="s">
        <v>784</v>
      </c>
      <c r="C3441" t="s">
        <v>785</v>
      </c>
      <c r="D3441" t="str">
        <f>HYPERLINK("http://service.sap.com/sap/support/notes/1451449","1451449")</f>
        <v>1451449</v>
      </c>
      <c r="F3441" t="s">
        <v>3516</v>
      </c>
    </row>
    <row r="3442" spans="1:6">
      <c r="A3442" t="s">
        <v>3318</v>
      </c>
      <c r="B3442" t="s">
        <v>784</v>
      </c>
      <c r="C3442" t="s">
        <v>785</v>
      </c>
      <c r="D3442" t="str">
        <f>HYPERLINK("http://service.sap.com/sap/support/notes/1462640","1462640")</f>
        <v>1462640</v>
      </c>
      <c r="F3442" t="s">
        <v>3517</v>
      </c>
    </row>
    <row r="3443" spans="1:6">
      <c r="A3443" t="s">
        <v>3318</v>
      </c>
      <c r="B3443" t="s">
        <v>784</v>
      </c>
      <c r="C3443" t="s">
        <v>785</v>
      </c>
      <c r="D3443" t="str">
        <f>HYPERLINK("http://service.sap.com/sap/support/notes/1466041","1466041")</f>
        <v>1466041</v>
      </c>
      <c r="F3443" t="s">
        <v>3518</v>
      </c>
    </row>
    <row r="3444" spans="1:6">
      <c r="A3444" t="s">
        <v>3318</v>
      </c>
      <c r="B3444" t="s">
        <v>784</v>
      </c>
      <c r="C3444" t="s">
        <v>785</v>
      </c>
      <c r="D3444" t="str">
        <f>HYPERLINK("http://service.sap.com/sap/support/notes/1469350","1469350")</f>
        <v>1469350</v>
      </c>
      <c r="F3444" t="s">
        <v>3519</v>
      </c>
    </row>
    <row r="3445" spans="1:6">
      <c r="A3445" t="s">
        <v>3318</v>
      </c>
      <c r="B3445" t="s">
        <v>784</v>
      </c>
      <c r="C3445" t="s">
        <v>785</v>
      </c>
      <c r="D3445" t="str">
        <f>HYPERLINK("http://service.sap.com/sap/support/notes/1469618","1469618")</f>
        <v>1469618</v>
      </c>
      <c r="F3445" t="s">
        <v>3520</v>
      </c>
    </row>
    <row r="3446" spans="1:6">
      <c r="A3446" t="s">
        <v>3318</v>
      </c>
      <c r="B3446" t="s">
        <v>784</v>
      </c>
      <c r="C3446" t="s">
        <v>785</v>
      </c>
      <c r="D3446" t="str">
        <f>HYPERLINK("http://service.sap.com/sap/support/notes/1469678","1469678")</f>
        <v>1469678</v>
      </c>
      <c r="F3446" t="s">
        <v>3521</v>
      </c>
    </row>
    <row r="3447" spans="1:6">
      <c r="A3447" t="s">
        <v>3318</v>
      </c>
      <c r="B3447" t="s">
        <v>3522</v>
      </c>
      <c r="C3447" t="s">
        <v>3523</v>
      </c>
      <c r="D3447" t="str">
        <f>HYPERLINK("http://service.sap.com/sap/support/notes/1444897","1444897")</f>
        <v>1444897</v>
      </c>
      <c r="F3447" t="s">
        <v>3524</v>
      </c>
    </row>
    <row r="3448" spans="1:6">
      <c r="A3448" t="s">
        <v>3318</v>
      </c>
      <c r="B3448" t="s">
        <v>3525</v>
      </c>
    </row>
    <row r="3449" spans="1:6">
      <c r="A3449" t="s">
        <v>3318</v>
      </c>
      <c r="B3449" t="s">
        <v>3526</v>
      </c>
      <c r="C3449" t="s">
        <v>3527</v>
      </c>
      <c r="D3449" t="str">
        <f>HYPERLINK("http://service.sap.com/sap/support/notes/1432921","1432921")</f>
        <v>1432921</v>
      </c>
      <c r="F3449" t="s">
        <v>3528</v>
      </c>
    </row>
    <row r="3450" spans="1:6">
      <c r="A3450" t="s">
        <v>3318</v>
      </c>
      <c r="B3450" t="s">
        <v>792</v>
      </c>
    </row>
    <row r="3451" spans="1:6">
      <c r="A3451" t="s">
        <v>3318</v>
      </c>
      <c r="B3451" t="s">
        <v>793</v>
      </c>
      <c r="C3451" t="s">
        <v>794</v>
      </c>
      <c r="D3451" t="str">
        <f>HYPERLINK("http://service.sap.com/sap/support/notes/1433690","1433690")</f>
        <v>1433690</v>
      </c>
      <c r="F3451" t="s">
        <v>3529</v>
      </c>
    </row>
    <row r="3452" spans="1:6">
      <c r="A3452" t="s">
        <v>3318</v>
      </c>
      <c r="B3452" t="s">
        <v>793</v>
      </c>
      <c r="C3452" t="s">
        <v>794</v>
      </c>
      <c r="D3452" t="str">
        <f>HYPERLINK("http://service.sap.com/sap/support/notes/1434281","1434281")</f>
        <v>1434281</v>
      </c>
      <c r="F3452" t="s">
        <v>3530</v>
      </c>
    </row>
    <row r="3453" spans="1:6">
      <c r="A3453" t="s">
        <v>3318</v>
      </c>
      <c r="B3453" t="s">
        <v>793</v>
      </c>
      <c r="C3453" t="s">
        <v>794</v>
      </c>
      <c r="D3453" t="str">
        <f>HYPERLINK("http://service.sap.com/sap/support/notes/1446981","1446981")</f>
        <v>1446981</v>
      </c>
      <c r="F3453" t="s">
        <v>3531</v>
      </c>
    </row>
    <row r="3454" spans="1:6">
      <c r="A3454" t="s">
        <v>3318</v>
      </c>
      <c r="B3454" t="s">
        <v>128</v>
      </c>
    </row>
    <row r="3455" spans="1:6">
      <c r="A3455" t="s">
        <v>3318</v>
      </c>
      <c r="B3455" t="s">
        <v>3032</v>
      </c>
      <c r="C3455" t="s">
        <v>3532</v>
      </c>
      <c r="D3455" t="str">
        <f>HYPERLINK("http://service.sap.com/sap/support/notes/1418054","1418054")</f>
        <v>1418054</v>
      </c>
      <c r="F3455" t="s">
        <v>3533</v>
      </c>
    </row>
    <row r="3456" spans="1:6">
      <c r="A3456" t="s">
        <v>3318</v>
      </c>
      <c r="B3456" t="s">
        <v>3032</v>
      </c>
      <c r="C3456" t="s">
        <v>3532</v>
      </c>
      <c r="D3456" t="str">
        <f>HYPERLINK("http://service.sap.com/sap/support/notes/1428679","1428679")</f>
        <v>1428679</v>
      </c>
      <c r="F3456" t="s">
        <v>3534</v>
      </c>
    </row>
    <row r="3457" spans="1:6">
      <c r="A3457" t="s">
        <v>3318</v>
      </c>
      <c r="B3457" t="s">
        <v>3032</v>
      </c>
      <c r="C3457" t="s">
        <v>3532</v>
      </c>
      <c r="D3457" t="str">
        <f>HYPERLINK("http://service.sap.com/sap/support/notes/1456068","1456068")</f>
        <v>1456068</v>
      </c>
      <c r="F3457" t="s">
        <v>3535</v>
      </c>
    </row>
    <row r="3458" spans="1:6">
      <c r="A3458" t="s">
        <v>3318</v>
      </c>
      <c r="B3458" t="s">
        <v>3032</v>
      </c>
      <c r="C3458" t="s">
        <v>3532</v>
      </c>
      <c r="D3458" t="str">
        <f>HYPERLINK("http://service.sap.com/sap/support/notes/1458257","1458257")</f>
        <v>1458257</v>
      </c>
      <c r="F3458" t="s">
        <v>3536</v>
      </c>
    </row>
    <row r="3459" spans="1:6">
      <c r="A3459" t="s">
        <v>3318</v>
      </c>
      <c r="B3459" t="s">
        <v>3032</v>
      </c>
      <c r="C3459" t="s">
        <v>3532</v>
      </c>
      <c r="D3459" t="str">
        <f>HYPERLINK("http://service.sap.com/sap/support/notes/1464529","1464529")</f>
        <v>1464529</v>
      </c>
      <c r="F3459" t="s">
        <v>3537</v>
      </c>
    </row>
    <row r="3460" spans="1:6">
      <c r="A3460" t="s">
        <v>3318</v>
      </c>
      <c r="B3460" t="s">
        <v>3032</v>
      </c>
      <c r="C3460" t="s">
        <v>3532</v>
      </c>
      <c r="D3460" t="str">
        <f>HYPERLINK("http://service.sap.com/sap/support/notes/1467219","1467219")</f>
        <v>1467219</v>
      </c>
      <c r="F3460" t="s">
        <v>3538</v>
      </c>
    </row>
    <row r="3461" spans="1:6">
      <c r="A3461" t="s">
        <v>3318</v>
      </c>
      <c r="B3461" t="s">
        <v>130</v>
      </c>
      <c r="C3461" t="s">
        <v>800</v>
      </c>
      <c r="D3461" t="str">
        <f>HYPERLINK("http://service.sap.com/sap/support/notes/1444359","1444359")</f>
        <v>1444359</v>
      </c>
      <c r="F3461" t="s">
        <v>3539</v>
      </c>
    </row>
    <row r="3462" spans="1:6">
      <c r="A3462" t="s">
        <v>3318</v>
      </c>
      <c r="B3462" t="s">
        <v>130</v>
      </c>
      <c r="C3462" t="s">
        <v>800</v>
      </c>
      <c r="D3462" t="str">
        <f>HYPERLINK("http://service.sap.com/sap/support/notes/1452922","1452922")</f>
        <v>1452922</v>
      </c>
      <c r="F3462" t="s">
        <v>3540</v>
      </c>
    </row>
    <row r="3463" spans="1:6">
      <c r="A3463" t="s">
        <v>3318</v>
      </c>
      <c r="B3463" t="s">
        <v>130</v>
      </c>
      <c r="C3463" t="s">
        <v>800</v>
      </c>
      <c r="D3463" t="str">
        <f>HYPERLINK("http://service.sap.com/sap/support/notes/1465276","1465276")</f>
        <v>1465276</v>
      </c>
      <c r="F3463" t="s">
        <v>3541</v>
      </c>
    </row>
    <row r="3464" spans="1:6">
      <c r="A3464" t="s">
        <v>3318</v>
      </c>
      <c r="B3464" t="s">
        <v>130</v>
      </c>
      <c r="C3464" t="s">
        <v>800</v>
      </c>
      <c r="D3464" t="str">
        <f>HYPERLINK("http://service.sap.com/sap/support/notes/1468397","1468397")</f>
        <v>1468397</v>
      </c>
      <c r="F3464" t="s">
        <v>3542</v>
      </c>
    </row>
    <row r="3465" spans="1:6">
      <c r="A3465" t="s">
        <v>3318</v>
      </c>
      <c r="B3465" t="s">
        <v>130</v>
      </c>
      <c r="C3465" t="s">
        <v>800</v>
      </c>
      <c r="D3465" t="str">
        <f>HYPERLINK("http://service.sap.com/sap/support/notes/1469526","1469526")</f>
        <v>1469526</v>
      </c>
      <c r="F3465" t="s">
        <v>3543</v>
      </c>
    </row>
    <row r="3466" spans="1:6">
      <c r="A3466" t="s">
        <v>3318</v>
      </c>
      <c r="B3466" t="s">
        <v>811</v>
      </c>
      <c r="C3466" t="s">
        <v>812</v>
      </c>
      <c r="D3466" t="str">
        <f>HYPERLINK("http://service.sap.com/sap/support/notes/1442563","1442563")</f>
        <v>1442563</v>
      </c>
      <c r="F3466" t="s">
        <v>3544</v>
      </c>
    </row>
    <row r="3467" spans="1:6">
      <c r="A3467" t="s">
        <v>3318</v>
      </c>
      <c r="B3467" t="s">
        <v>811</v>
      </c>
      <c r="C3467" t="s">
        <v>812</v>
      </c>
      <c r="D3467" t="str">
        <f>HYPERLINK("http://service.sap.com/sap/support/notes/1469070","1469070")</f>
        <v>1469070</v>
      </c>
      <c r="F3467" t="s">
        <v>3545</v>
      </c>
    </row>
    <row r="3468" spans="1:6">
      <c r="A3468" t="s">
        <v>3318</v>
      </c>
      <c r="B3468" t="s">
        <v>811</v>
      </c>
      <c r="C3468" t="s">
        <v>812</v>
      </c>
      <c r="D3468" t="str">
        <f>HYPERLINK("http://service.sap.com/sap/support/notes/1474180","1474180")</f>
        <v>1474180</v>
      </c>
      <c r="F3468" t="s">
        <v>3546</v>
      </c>
    </row>
    <row r="3469" spans="1:6">
      <c r="A3469" t="s">
        <v>3318</v>
      </c>
      <c r="B3469" t="s">
        <v>814</v>
      </c>
    </row>
    <row r="3470" spans="1:6">
      <c r="A3470" t="s">
        <v>3318</v>
      </c>
      <c r="B3470" t="s">
        <v>815</v>
      </c>
      <c r="C3470" t="s">
        <v>816</v>
      </c>
      <c r="D3470" t="str">
        <f>HYPERLINK("http://service.sap.com/sap/support/notes/1382227","1382227")</f>
        <v>1382227</v>
      </c>
      <c r="F3470" t="s">
        <v>817</v>
      </c>
    </row>
    <row r="3471" spans="1:6">
      <c r="A3471" t="s">
        <v>3318</v>
      </c>
      <c r="B3471" t="s">
        <v>815</v>
      </c>
      <c r="C3471" t="s">
        <v>816</v>
      </c>
      <c r="D3471" t="str">
        <f>HYPERLINK("http://service.sap.com/sap/support/notes/1432745","1432745")</f>
        <v>1432745</v>
      </c>
      <c r="F3471" t="s">
        <v>3547</v>
      </c>
    </row>
    <row r="3472" spans="1:6">
      <c r="A3472" t="s">
        <v>3318</v>
      </c>
      <c r="B3472" t="s">
        <v>815</v>
      </c>
      <c r="C3472" t="s">
        <v>816</v>
      </c>
      <c r="D3472" t="str">
        <f>HYPERLINK("http://service.sap.com/sap/support/notes/1448804","1448804")</f>
        <v>1448804</v>
      </c>
      <c r="F3472" t="s">
        <v>3548</v>
      </c>
    </row>
    <row r="3473" spans="1:6">
      <c r="A3473" t="s">
        <v>3318</v>
      </c>
      <c r="B3473" t="s">
        <v>3549</v>
      </c>
      <c r="C3473" t="s">
        <v>3550</v>
      </c>
      <c r="D3473" t="str">
        <f>HYPERLINK("http://service.sap.com/sap/support/notes/1447471","1447471")</f>
        <v>1447471</v>
      </c>
      <c r="F3473" t="s">
        <v>3551</v>
      </c>
    </row>
    <row r="3474" spans="1:6">
      <c r="A3474" t="s">
        <v>3318</v>
      </c>
      <c r="B3474" t="s">
        <v>823</v>
      </c>
      <c r="C3474" t="s">
        <v>824</v>
      </c>
      <c r="D3474" t="str">
        <f>HYPERLINK("http://service.sap.com/sap/support/notes/1415764","1415764")</f>
        <v>1415764</v>
      </c>
      <c r="F3474" t="s">
        <v>3552</v>
      </c>
    </row>
    <row r="3475" spans="1:6">
      <c r="A3475" t="s">
        <v>3318</v>
      </c>
      <c r="B3475" t="s">
        <v>823</v>
      </c>
      <c r="C3475" t="s">
        <v>824</v>
      </c>
      <c r="D3475" t="str">
        <f>HYPERLINK("http://service.sap.com/sap/support/notes/1423279","1423279")</f>
        <v>1423279</v>
      </c>
      <c r="F3475" t="s">
        <v>3553</v>
      </c>
    </row>
    <row r="3476" spans="1:6">
      <c r="A3476" t="s">
        <v>3318</v>
      </c>
      <c r="B3476" t="s">
        <v>823</v>
      </c>
      <c r="C3476" t="s">
        <v>824</v>
      </c>
      <c r="D3476" t="str">
        <f>HYPERLINK("http://service.sap.com/sap/support/notes/1425867","1425867")</f>
        <v>1425867</v>
      </c>
      <c r="F3476" t="s">
        <v>3554</v>
      </c>
    </row>
    <row r="3477" spans="1:6">
      <c r="A3477" t="s">
        <v>3318</v>
      </c>
      <c r="B3477" t="s">
        <v>827</v>
      </c>
      <c r="C3477" t="s">
        <v>828</v>
      </c>
      <c r="D3477" t="str">
        <f>HYPERLINK("http://service.sap.com/sap/support/notes/1066377","1066377")</f>
        <v>1066377</v>
      </c>
      <c r="F3477" t="s">
        <v>3555</v>
      </c>
    </row>
    <row r="3478" spans="1:6">
      <c r="A3478" t="s">
        <v>3318</v>
      </c>
      <c r="B3478" t="s">
        <v>827</v>
      </c>
      <c r="C3478" t="s">
        <v>828</v>
      </c>
      <c r="D3478" t="str">
        <f>HYPERLINK("http://service.sap.com/sap/support/notes/1457378","1457378")</f>
        <v>1457378</v>
      </c>
      <c r="F3478" t="s">
        <v>3556</v>
      </c>
    </row>
    <row r="3479" spans="1:6">
      <c r="A3479" t="s">
        <v>3318</v>
      </c>
      <c r="B3479" t="s">
        <v>827</v>
      </c>
      <c r="C3479" t="s">
        <v>828</v>
      </c>
      <c r="D3479" t="str">
        <f>HYPERLINK("http://service.sap.com/sap/support/notes/1467818","1467818")</f>
        <v>1467818</v>
      </c>
      <c r="F3479" t="s">
        <v>3557</v>
      </c>
    </row>
    <row r="3480" spans="1:6">
      <c r="A3480" t="s">
        <v>3318</v>
      </c>
      <c r="B3480" t="s">
        <v>137</v>
      </c>
    </row>
    <row r="3481" spans="1:6">
      <c r="A3481" t="s">
        <v>3318</v>
      </c>
      <c r="B3481" t="s">
        <v>1537</v>
      </c>
      <c r="C3481" t="s">
        <v>3558</v>
      </c>
      <c r="D3481" t="str">
        <f>HYPERLINK("http://service.sap.com/sap/support/notes/1424941","1424941")</f>
        <v>1424941</v>
      </c>
      <c r="F3481" t="s">
        <v>3559</v>
      </c>
    </row>
    <row r="3482" spans="1:6">
      <c r="A3482" t="s">
        <v>3318</v>
      </c>
      <c r="B3482" t="s">
        <v>1541</v>
      </c>
    </row>
    <row r="3483" spans="1:6">
      <c r="A3483" t="s">
        <v>3318</v>
      </c>
      <c r="B3483" t="s">
        <v>2314</v>
      </c>
      <c r="C3483" t="s">
        <v>3560</v>
      </c>
      <c r="D3483" t="str">
        <f>HYPERLINK("http://service.sap.com/sap/support/notes/892235","892235")</f>
        <v>892235</v>
      </c>
      <c r="F3483" t="s">
        <v>3561</v>
      </c>
    </row>
    <row r="3484" spans="1:6">
      <c r="A3484" t="s">
        <v>3318</v>
      </c>
      <c r="B3484" t="s">
        <v>146</v>
      </c>
    </row>
    <row r="3485" spans="1:6">
      <c r="A3485" t="s">
        <v>3318</v>
      </c>
      <c r="B3485" t="s">
        <v>839</v>
      </c>
      <c r="C3485" t="s">
        <v>840</v>
      </c>
      <c r="D3485" t="str">
        <f>HYPERLINK("http://service.sap.com/sap/support/notes/1417704","1417704")</f>
        <v>1417704</v>
      </c>
      <c r="F3485" t="s">
        <v>3562</v>
      </c>
    </row>
    <row r="3486" spans="1:6">
      <c r="A3486" t="s">
        <v>3318</v>
      </c>
      <c r="B3486" t="s">
        <v>839</v>
      </c>
      <c r="C3486" t="s">
        <v>840</v>
      </c>
      <c r="D3486" t="str">
        <f>HYPERLINK("http://service.sap.com/sap/support/notes/1449151","1449151")</f>
        <v>1449151</v>
      </c>
      <c r="F3486" t="s">
        <v>3563</v>
      </c>
    </row>
    <row r="3487" spans="1:6">
      <c r="A3487" t="s">
        <v>3318</v>
      </c>
      <c r="B3487" t="s">
        <v>839</v>
      </c>
      <c r="C3487" t="s">
        <v>840</v>
      </c>
      <c r="D3487" t="str">
        <f>HYPERLINK("http://service.sap.com/sap/support/notes/1461605","1461605")</f>
        <v>1461605</v>
      </c>
      <c r="F3487" t="s">
        <v>3564</v>
      </c>
    </row>
    <row r="3488" spans="1:6">
      <c r="A3488" t="s">
        <v>3318</v>
      </c>
      <c r="B3488" t="s">
        <v>839</v>
      </c>
      <c r="C3488" t="s">
        <v>840</v>
      </c>
      <c r="D3488" t="str">
        <f>HYPERLINK("http://service.sap.com/sap/support/notes/1462032","1462032")</f>
        <v>1462032</v>
      </c>
      <c r="F3488" t="s">
        <v>3565</v>
      </c>
    </row>
    <row r="3489" spans="1:6">
      <c r="A3489" t="s">
        <v>3318</v>
      </c>
      <c r="B3489" t="s">
        <v>855</v>
      </c>
      <c r="C3489" t="s">
        <v>856</v>
      </c>
      <c r="D3489" t="str">
        <f>HYPERLINK("http://service.sap.com/sap/support/notes/1436727","1436727")</f>
        <v>1436727</v>
      </c>
      <c r="F3489" t="s">
        <v>3566</v>
      </c>
    </row>
    <row r="3490" spans="1:6">
      <c r="A3490" t="s">
        <v>3318</v>
      </c>
      <c r="B3490" t="s">
        <v>864</v>
      </c>
      <c r="C3490" t="s">
        <v>865</v>
      </c>
      <c r="D3490" t="str">
        <f>HYPERLINK("http://service.sap.com/sap/support/notes/1372657","1372657")</f>
        <v>1372657</v>
      </c>
      <c r="F3490" t="s">
        <v>867</v>
      </c>
    </row>
    <row r="3491" spans="1:6">
      <c r="A3491" t="s">
        <v>3318</v>
      </c>
      <c r="B3491" t="s">
        <v>870</v>
      </c>
      <c r="C3491" t="s">
        <v>871</v>
      </c>
      <c r="D3491" t="str">
        <f>HYPERLINK("http://service.sap.com/sap/support/notes/1336787","1336787")</f>
        <v>1336787</v>
      </c>
      <c r="F3491" t="s">
        <v>874</v>
      </c>
    </row>
    <row r="3492" spans="1:6">
      <c r="A3492" t="s">
        <v>3318</v>
      </c>
      <c r="B3492" t="s">
        <v>870</v>
      </c>
      <c r="C3492" t="s">
        <v>871</v>
      </c>
      <c r="D3492" t="str">
        <f>HYPERLINK("http://service.sap.com/sap/support/notes/1422268","1422268")</f>
        <v>1422268</v>
      </c>
      <c r="F3492" t="s">
        <v>3567</v>
      </c>
    </row>
    <row r="3493" spans="1:6">
      <c r="A3493" t="s">
        <v>3318</v>
      </c>
      <c r="B3493" t="s">
        <v>870</v>
      </c>
      <c r="C3493" t="s">
        <v>871</v>
      </c>
      <c r="D3493" t="str">
        <f>HYPERLINK("http://service.sap.com/sap/support/notes/1422720","1422720")</f>
        <v>1422720</v>
      </c>
      <c r="F3493" t="s">
        <v>3568</v>
      </c>
    </row>
    <row r="3494" spans="1:6">
      <c r="A3494" t="s">
        <v>3318</v>
      </c>
      <c r="B3494" t="s">
        <v>870</v>
      </c>
      <c r="C3494" t="s">
        <v>871</v>
      </c>
      <c r="D3494" t="str">
        <f>HYPERLINK("http://service.sap.com/sap/support/notes/1449845","1449845")</f>
        <v>1449845</v>
      </c>
      <c r="F3494" t="s">
        <v>3569</v>
      </c>
    </row>
    <row r="3495" spans="1:6">
      <c r="A3495" t="s">
        <v>3318</v>
      </c>
      <c r="B3495" t="s">
        <v>870</v>
      </c>
      <c r="C3495" t="s">
        <v>871</v>
      </c>
      <c r="D3495" t="str">
        <f>HYPERLINK("http://service.sap.com/sap/support/notes/1454684","1454684")</f>
        <v>1454684</v>
      </c>
      <c r="F3495" t="s">
        <v>3570</v>
      </c>
    </row>
    <row r="3496" spans="1:6">
      <c r="A3496" t="s">
        <v>3318</v>
      </c>
      <c r="B3496" t="s">
        <v>870</v>
      </c>
      <c r="C3496" t="s">
        <v>871</v>
      </c>
      <c r="D3496" t="str">
        <f>HYPERLINK("http://service.sap.com/sap/support/notes/1454910","1454910")</f>
        <v>1454910</v>
      </c>
      <c r="F3496" t="s">
        <v>3571</v>
      </c>
    </row>
    <row r="3497" spans="1:6">
      <c r="A3497" t="s">
        <v>3318</v>
      </c>
      <c r="B3497" t="s">
        <v>870</v>
      </c>
      <c r="C3497" t="s">
        <v>871</v>
      </c>
      <c r="D3497" t="str">
        <f>HYPERLINK("http://service.sap.com/sap/support/notes/1454975","1454975")</f>
        <v>1454975</v>
      </c>
      <c r="F3497" t="s">
        <v>3572</v>
      </c>
    </row>
    <row r="3498" spans="1:6">
      <c r="A3498" t="s">
        <v>3318</v>
      </c>
      <c r="B3498" t="s">
        <v>870</v>
      </c>
      <c r="C3498" t="s">
        <v>871</v>
      </c>
      <c r="D3498" t="str">
        <f>HYPERLINK("http://service.sap.com/sap/support/notes/1457762","1457762")</f>
        <v>1457762</v>
      </c>
      <c r="F3498" t="s">
        <v>3573</v>
      </c>
    </row>
    <row r="3499" spans="1:6">
      <c r="A3499" t="s">
        <v>3318</v>
      </c>
      <c r="B3499" t="s">
        <v>870</v>
      </c>
      <c r="C3499" t="s">
        <v>871</v>
      </c>
      <c r="D3499" t="str">
        <f>HYPERLINK("http://service.sap.com/sap/support/notes/1458451","1458451")</f>
        <v>1458451</v>
      </c>
      <c r="F3499" t="s">
        <v>3574</v>
      </c>
    </row>
    <row r="3500" spans="1:6">
      <c r="A3500" t="s">
        <v>3318</v>
      </c>
      <c r="B3500" t="s">
        <v>870</v>
      </c>
      <c r="C3500" t="s">
        <v>871</v>
      </c>
      <c r="D3500" t="str">
        <f>HYPERLINK("http://service.sap.com/sap/support/notes/1459638","1459638")</f>
        <v>1459638</v>
      </c>
      <c r="F3500" t="s">
        <v>3575</v>
      </c>
    </row>
    <row r="3501" spans="1:6">
      <c r="A3501" t="s">
        <v>3318</v>
      </c>
      <c r="B3501" t="s">
        <v>891</v>
      </c>
      <c r="C3501" t="s">
        <v>892</v>
      </c>
      <c r="D3501" t="str">
        <f>HYPERLINK("http://service.sap.com/sap/support/notes/675820","675820")</f>
        <v>675820</v>
      </c>
      <c r="F3501" t="s">
        <v>3576</v>
      </c>
    </row>
    <row r="3502" spans="1:6">
      <c r="A3502" t="s">
        <v>3318</v>
      </c>
      <c r="B3502" t="s">
        <v>899</v>
      </c>
    </row>
    <row r="3503" spans="1:6">
      <c r="A3503" t="s">
        <v>3318</v>
      </c>
      <c r="B3503" t="s">
        <v>900</v>
      </c>
      <c r="C3503" t="s">
        <v>901</v>
      </c>
      <c r="D3503" t="str">
        <f>HYPERLINK("http://service.sap.com/sap/support/notes/1416634","1416634")</f>
        <v>1416634</v>
      </c>
      <c r="F3503" t="s">
        <v>3577</v>
      </c>
    </row>
    <row r="3504" spans="1:6">
      <c r="A3504" t="s">
        <v>3318</v>
      </c>
      <c r="B3504" t="s">
        <v>900</v>
      </c>
      <c r="C3504" t="s">
        <v>901</v>
      </c>
      <c r="D3504" t="str">
        <f>HYPERLINK("http://service.sap.com/sap/support/notes/1432161","1432161")</f>
        <v>1432161</v>
      </c>
      <c r="F3504" t="s">
        <v>3578</v>
      </c>
    </row>
    <row r="3505" spans="1:6">
      <c r="A3505" t="s">
        <v>3318</v>
      </c>
      <c r="B3505" t="s">
        <v>900</v>
      </c>
      <c r="C3505" t="s">
        <v>901</v>
      </c>
      <c r="D3505" t="str">
        <f>HYPERLINK("http://service.sap.com/sap/support/notes/1468336","1468336")</f>
        <v>1468336</v>
      </c>
      <c r="F3505" t="s">
        <v>3579</v>
      </c>
    </row>
    <row r="3506" spans="1:6">
      <c r="A3506" t="s">
        <v>3318</v>
      </c>
      <c r="B3506" t="s">
        <v>148</v>
      </c>
      <c r="C3506" t="s">
        <v>149</v>
      </c>
      <c r="D3506" t="str">
        <f>HYPERLINK("http://service.sap.com/sap/support/notes/1457280","1457280")</f>
        <v>1457280</v>
      </c>
      <c r="F3506" t="s">
        <v>3042</v>
      </c>
    </row>
    <row r="3507" spans="1:6">
      <c r="A3507" t="s">
        <v>3318</v>
      </c>
      <c r="B3507" t="s">
        <v>148</v>
      </c>
      <c r="C3507" t="s">
        <v>149</v>
      </c>
      <c r="D3507" t="str">
        <f>HYPERLINK("http://service.sap.com/sap/support/notes/1458210","1458210")</f>
        <v>1458210</v>
      </c>
      <c r="F3507" t="s">
        <v>3580</v>
      </c>
    </row>
    <row r="3508" spans="1:6">
      <c r="A3508" t="s">
        <v>3318</v>
      </c>
      <c r="B3508" t="s">
        <v>148</v>
      </c>
      <c r="C3508" t="s">
        <v>149</v>
      </c>
      <c r="D3508" t="str">
        <f>HYPERLINK("http://service.sap.com/sap/support/notes/1466994","1466994")</f>
        <v>1466994</v>
      </c>
      <c r="F3508" t="s">
        <v>3581</v>
      </c>
    </row>
    <row r="3509" spans="1:6">
      <c r="A3509" t="s">
        <v>3318</v>
      </c>
      <c r="B3509" t="s">
        <v>148</v>
      </c>
      <c r="C3509" t="s">
        <v>149</v>
      </c>
      <c r="D3509" t="str">
        <f>HYPERLINK("http://service.sap.com/sap/support/notes/1468523","1468523")</f>
        <v>1468523</v>
      </c>
      <c r="F3509" t="s">
        <v>3582</v>
      </c>
    </row>
    <row r="3510" spans="1:6">
      <c r="A3510" t="s">
        <v>3318</v>
      </c>
      <c r="B3510" t="s">
        <v>154</v>
      </c>
      <c r="C3510" t="s">
        <v>908</v>
      </c>
      <c r="D3510" t="str">
        <f>HYPERLINK("http://service.sap.com/sap/support/notes/1452689","1452689")</f>
        <v>1452689</v>
      </c>
      <c r="F3510" t="s">
        <v>3583</v>
      </c>
    </row>
    <row r="3511" spans="1:6">
      <c r="A3511" t="s">
        <v>3318</v>
      </c>
      <c r="B3511" t="s">
        <v>3584</v>
      </c>
      <c r="C3511" t="s">
        <v>3585</v>
      </c>
      <c r="D3511" t="str">
        <f>HYPERLINK("http://service.sap.com/sap/support/notes/1449282","1449282")</f>
        <v>1449282</v>
      </c>
      <c r="F3511" t="s">
        <v>3586</v>
      </c>
    </row>
    <row r="3512" spans="1:6">
      <c r="A3512" t="s">
        <v>3318</v>
      </c>
      <c r="B3512" t="s">
        <v>158</v>
      </c>
    </row>
    <row r="3513" spans="1:6">
      <c r="A3513" t="s">
        <v>3318</v>
      </c>
      <c r="B3513" t="s">
        <v>160</v>
      </c>
      <c r="C3513" t="s">
        <v>47</v>
      </c>
      <c r="D3513" t="str">
        <f>HYPERLINK("http://service.sap.com/sap/support/notes/1429103","1429103")</f>
        <v>1429103</v>
      </c>
      <c r="F3513" t="s">
        <v>3587</v>
      </c>
    </row>
    <row r="3514" spans="1:6">
      <c r="A3514" t="s">
        <v>3318</v>
      </c>
      <c r="B3514" t="s">
        <v>160</v>
      </c>
      <c r="C3514" t="s">
        <v>47</v>
      </c>
      <c r="D3514" t="str">
        <f>HYPERLINK("http://service.sap.com/sap/support/notes/1446420","1446420")</f>
        <v>1446420</v>
      </c>
      <c r="F3514" t="s">
        <v>3588</v>
      </c>
    </row>
    <row r="3515" spans="1:6">
      <c r="A3515" t="s">
        <v>3318</v>
      </c>
      <c r="B3515" t="s">
        <v>160</v>
      </c>
      <c r="C3515" t="s">
        <v>47</v>
      </c>
      <c r="D3515" t="str">
        <f>HYPERLINK("http://service.sap.com/sap/support/notes/1448003","1448003")</f>
        <v>1448003</v>
      </c>
      <c r="F3515" t="s">
        <v>3589</v>
      </c>
    </row>
    <row r="3516" spans="1:6">
      <c r="A3516" t="s">
        <v>3318</v>
      </c>
      <c r="B3516" t="s">
        <v>160</v>
      </c>
      <c r="C3516" t="s">
        <v>47</v>
      </c>
      <c r="D3516" t="str">
        <f>HYPERLINK("http://service.sap.com/sap/support/notes/1455948","1455948")</f>
        <v>1455948</v>
      </c>
      <c r="F3516" t="s">
        <v>3590</v>
      </c>
    </row>
    <row r="3517" spans="1:6">
      <c r="A3517" t="s">
        <v>3318</v>
      </c>
      <c r="B3517" t="s">
        <v>160</v>
      </c>
      <c r="C3517" t="s">
        <v>47</v>
      </c>
      <c r="D3517" t="str">
        <f>HYPERLINK("http://service.sap.com/sap/support/notes/1458836","1458836")</f>
        <v>1458836</v>
      </c>
      <c r="F3517" t="s">
        <v>3591</v>
      </c>
    </row>
    <row r="3518" spans="1:6">
      <c r="A3518" t="s">
        <v>3318</v>
      </c>
      <c r="B3518" t="s">
        <v>160</v>
      </c>
      <c r="C3518" t="s">
        <v>47</v>
      </c>
      <c r="D3518" t="str">
        <f>HYPERLINK("http://service.sap.com/sap/support/notes/1459614","1459614")</f>
        <v>1459614</v>
      </c>
      <c r="F3518" t="s">
        <v>3592</v>
      </c>
    </row>
    <row r="3519" spans="1:6">
      <c r="A3519" t="s">
        <v>3318</v>
      </c>
      <c r="B3519" t="s">
        <v>160</v>
      </c>
      <c r="C3519" t="s">
        <v>47</v>
      </c>
      <c r="D3519" t="str">
        <f>HYPERLINK("http://service.sap.com/sap/support/notes/1463240","1463240")</f>
        <v>1463240</v>
      </c>
      <c r="F3519" t="s">
        <v>3593</v>
      </c>
    </row>
    <row r="3520" spans="1:6">
      <c r="A3520" t="s">
        <v>3318</v>
      </c>
      <c r="B3520" t="s">
        <v>160</v>
      </c>
      <c r="C3520" t="s">
        <v>47</v>
      </c>
      <c r="D3520" t="str">
        <f>HYPERLINK("http://service.sap.com/sap/support/notes/1463248","1463248")</f>
        <v>1463248</v>
      </c>
      <c r="F3520" t="s">
        <v>3594</v>
      </c>
    </row>
    <row r="3521" spans="1:6">
      <c r="A3521" t="s">
        <v>3318</v>
      </c>
      <c r="B3521" t="s">
        <v>160</v>
      </c>
      <c r="C3521" t="s">
        <v>47</v>
      </c>
      <c r="D3521" t="str">
        <f>HYPERLINK("http://service.sap.com/sap/support/notes/1463970","1463970")</f>
        <v>1463970</v>
      </c>
      <c r="F3521" t="s">
        <v>3595</v>
      </c>
    </row>
    <row r="3522" spans="1:6">
      <c r="A3522" t="s">
        <v>3318</v>
      </c>
      <c r="B3522" t="s">
        <v>160</v>
      </c>
      <c r="C3522" t="s">
        <v>47</v>
      </c>
      <c r="D3522" t="str">
        <f>HYPERLINK("http://service.sap.com/sap/support/notes/1464075","1464075")</f>
        <v>1464075</v>
      </c>
      <c r="F3522" t="s">
        <v>3596</v>
      </c>
    </row>
    <row r="3523" spans="1:6">
      <c r="A3523" t="s">
        <v>3318</v>
      </c>
      <c r="B3523" t="s">
        <v>160</v>
      </c>
      <c r="C3523" t="s">
        <v>47</v>
      </c>
      <c r="D3523" t="str">
        <f>HYPERLINK("http://service.sap.com/sap/support/notes/1466617","1466617")</f>
        <v>1466617</v>
      </c>
      <c r="F3523" t="s">
        <v>3597</v>
      </c>
    </row>
    <row r="3524" spans="1:6">
      <c r="A3524" t="s">
        <v>3318</v>
      </c>
      <c r="B3524" t="s">
        <v>160</v>
      </c>
      <c r="C3524" t="s">
        <v>47</v>
      </c>
      <c r="D3524" t="str">
        <f>HYPERLINK("http://service.sap.com/sap/support/notes/1467182","1467182")</f>
        <v>1467182</v>
      </c>
      <c r="F3524" t="s">
        <v>3598</v>
      </c>
    </row>
    <row r="3525" spans="1:6">
      <c r="A3525" t="s">
        <v>3318</v>
      </c>
      <c r="B3525" t="s">
        <v>160</v>
      </c>
      <c r="C3525" t="s">
        <v>47</v>
      </c>
      <c r="D3525" t="str">
        <f>HYPERLINK("http://service.sap.com/sap/support/notes/1468619","1468619")</f>
        <v>1468619</v>
      </c>
      <c r="F3525" t="s">
        <v>3599</v>
      </c>
    </row>
    <row r="3526" spans="1:6">
      <c r="A3526" t="s">
        <v>3318</v>
      </c>
      <c r="B3526" t="s">
        <v>160</v>
      </c>
      <c r="C3526" t="s">
        <v>47</v>
      </c>
      <c r="D3526" t="str">
        <f>HYPERLINK("http://service.sap.com/sap/support/notes/1468974","1468974")</f>
        <v>1468974</v>
      </c>
      <c r="F3526" t="s">
        <v>3600</v>
      </c>
    </row>
    <row r="3527" spans="1:6">
      <c r="A3527" t="s">
        <v>3318</v>
      </c>
      <c r="B3527" t="s">
        <v>166</v>
      </c>
      <c r="C3527" t="s">
        <v>50</v>
      </c>
      <c r="D3527" t="str">
        <f>HYPERLINK("http://service.sap.com/sap/support/notes/1389944","1389944")</f>
        <v>1389944</v>
      </c>
      <c r="F3527" t="s">
        <v>931</v>
      </c>
    </row>
    <row r="3528" spans="1:6">
      <c r="A3528" t="s">
        <v>3318</v>
      </c>
      <c r="B3528" t="s">
        <v>166</v>
      </c>
      <c r="C3528" t="s">
        <v>50</v>
      </c>
      <c r="D3528" t="str">
        <f>HYPERLINK("http://service.sap.com/sap/support/notes/1418985","1418985")</f>
        <v>1418985</v>
      </c>
      <c r="F3528" t="s">
        <v>3601</v>
      </c>
    </row>
    <row r="3529" spans="1:6">
      <c r="A3529" t="s">
        <v>3318</v>
      </c>
      <c r="B3529" t="s">
        <v>166</v>
      </c>
      <c r="C3529" t="s">
        <v>50</v>
      </c>
      <c r="D3529" t="str">
        <f>HYPERLINK("http://service.sap.com/sap/support/notes/1418989","1418989")</f>
        <v>1418989</v>
      </c>
      <c r="F3529" t="s">
        <v>3602</v>
      </c>
    </row>
    <row r="3530" spans="1:6">
      <c r="A3530" t="s">
        <v>3318</v>
      </c>
      <c r="B3530" t="s">
        <v>166</v>
      </c>
      <c r="C3530" t="s">
        <v>50</v>
      </c>
      <c r="D3530" t="str">
        <f>HYPERLINK("http://service.sap.com/sap/support/notes/1425073","1425073")</f>
        <v>1425073</v>
      </c>
      <c r="F3530" t="s">
        <v>3603</v>
      </c>
    </row>
    <row r="3531" spans="1:6">
      <c r="A3531" t="s">
        <v>3318</v>
      </c>
      <c r="B3531" t="s">
        <v>166</v>
      </c>
      <c r="C3531" t="s">
        <v>50</v>
      </c>
      <c r="D3531" t="str">
        <f>HYPERLINK("http://service.sap.com/sap/support/notes/1428248","1428248")</f>
        <v>1428248</v>
      </c>
      <c r="F3531" t="s">
        <v>3604</v>
      </c>
    </row>
    <row r="3532" spans="1:6">
      <c r="A3532" t="s">
        <v>3318</v>
      </c>
      <c r="B3532" t="s">
        <v>166</v>
      </c>
      <c r="C3532" t="s">
        <v>50</v>
      </c>
      <c r="D3532" t="str">
        <f>HYPERLINK("http://service.sap.com/sap/support/notes/1437782","1437782")</f>
        <v>1437782</v>
      </c>
      <c r="F3532" t="s">
        <v>3605</v>
      </c>
    </row>
    <row r="3533" spans="1:6">
      <c r="A3533" t="s">
        <v>3318</v>
      </c>
      <c r="B3533" t="s">
        <v>166</v>
      </c>
      <c r="C3533" t="s">
        <v>50</v>
      </c>
      <c r="D3533" t="str">
        <f>HYPERLINK("http://service.sap.com/sap/support/notes/1443763","1443763")</f>
        <v>1443763</v>
      </c>
      <c r="F3533" t="s">
        <v>3606</v>
      </c>
    </row>
    <row r="3534" spans="1:6">
      <c r="A3534" t="s">
        <v>3318</v>
      </c>
      <c r="B3534" t="s">
        <v>166</v>
      </c>
      <c r="C3534" t="s">
        <v>50</v>
      </c>
      <c r="D3534" t="str">
        <f>HYPERLINK("http://service.sap.com/sap/support/notes/1455171","1455171")</f>
        <v>1455171</v>
      </c>
      <c r="F3534" t="s">
        <v>3607</v>
      </c>
    </row>
    <row r="3535" spans="1:6">
      <c r="A3535" t="s">
        <v>3318</v>
      </c>
      <c r="B3535" t="s">
        <v>166</v>
      </c>
      <c r="C3535" t="s">
        <v>50</v>
      </c>
      <c r="D3535" t="str">
        <f>HYPERLINK("http://service.sap.com/sap/support/notes/1460688","1460688")</f>
        <v>1460688</v>
      </c>
      <c r="F3535" t="s">
        <v>3608</v>
      </c>
    </row>
    <row r="3536" spans="1:6">
      <c r="A3536" t="s">
        <v>3318</v>
      </c>
      <c r="B3536" t="s">
        <v>166</v>
      </c>
      <c r="C3536" t="s">
        <v>50</v>
      </c>
      <c r="D3536" t="str">
        <f>HYPERLINK("http://service.sap.com/sap/support/notes/1463424","1463424")</f>
        <v>1463424</v>
      </c>
      <c r="F3536" t="s">
        <v>3609</v>
      </c>
    </row>
    <row r="3537" spans="1:6">
      <c r="A3537" t="s">
        <v>3318</v>
      </c>
      <c r="B3537" t="s">
        <v>166</v>
      </c>
      <c r="C3537" t="s">
        <v>50</v>
      </c>
      <c r="D3537" t="str">
        <f>HYPERLINK("http://service.sap.com/sap/support/notes/1464307","1464307")</f>
        <v>1464307</v>
      </c>
      <c r="F3537" t="s">
        <v>3610</v>
      </c>
    </row>
    <row r="3538" spans="1:6">
      <c r="A3538" t="s">
        <v>3318</v>
      </c>
      <c r="B3538" t="s">
        <v>166</v>
      </c>
      <c r="C3538" t="s">
        <v>50</v>
      </c>
      <c r="D3538" t="str">
        <f>HYPERLINK("http://service.sap.com/sap/support/notes/1464386","1464386")</f>
        <v>1464386</v>
      </c>
      <c r="F3538" t="s">
        <v>3611</v>
      </c>
    </row>
    <row r="3539" spans="1:6">
      <c r="A3539" t="s">
        <v>3318</v>
      </c>
      <c r="B3539" t="s">
        <v>166</v>
      </c>
      <c r="C3539" t="s">
        <v>50</v>
      </c>
      <c r="D3539" t="str">
        <f>HYPERLINK("http://service.sap.com/sap/support/notes/1468100","1468100")</f>
        <v>1468100</v>
      </c>
      <c r="F3539" t="s">
        <v>3612</v>
      </c>
    </row>
    <row r="3540" spans="1:6">
      <c r="A3540" t="s">
        <v>3318</v>
      </c>
      <c r="B3540" t="s">
        <v>166</v>
      </c>
      <c r="C3540" t="s">
        <v>50</v>
      </c>
      <c r="D3540" t="str">
        <f>HYPERLINK("http://service.sap.com/sap/support/notes/1470837","1470837")</f>
        <v>1470837</v>
      </c>
      <c r="F3540" t="s">
        <v>3613</v>
      </c>
    </row>
    <row r="3541" spans="1:6">
      <c r="A3541" t="s">
        <v>3318</v>
      </c>
      <c r="B3541" t="s">
        <v>166</v>
      </c>
      <c r="C3541" t="s">
        <v>50</v>
      </c>
      <c r="D3541" t="str">
        <f>HYPERLINK("http://service.sap.com/sap/support/notes/1471623","1471623")</f>
        <v>1471623</v>
      </c>
      <c r="F3541" t="s">
        <v>3614</v>
      </c>
    </row>
    <row r="3542" spans="1:6">
      <c r="A3542" t="s">
        <v>3318</v>
      </c>
      <c r="B3542" t="s">
        <v>941</v>
      </c>
      <c r="C3542" t="s">
        <v>189</v>
      </c>
      <c r="D3542" t="str">
        <f>HYPERLINK("http://service.sap.com/sap/support/notes/1362168","1362168")</f>
        <v>1362168</v>
      </c>
      <c r="F3542" t="s">
        <v>3615</v>
      </c>
    </row>
    <row r="3543" spans="1:6">
      <c r="A3543" t="s">
        <v>3318</v>
      </c>
      <c r="B3543" t="s">
        <v>941</v>
      </c>
      <c r="C3543" t="s">
        <v>189</v>
      </c>
      <c r="D3543" t="str">
        <f>HYPERLINK("http://service.sap.com/sap/support/notes/1466021","1466021")</f>
        <v>1466021</v>
      </c>
      <c r="F3543" t="s">
        <v>3616</v>
      </c>
    </row>
    <row r="3544" spans="1:6">
      <c r="A3544" t="s">
        <v>3318</v>
      </c>
      <c r="B3544" t="s">
        <v>174</v>
      </c>
      <c r="C3544" t="s">
        <v>175</v>
      </c>
      <c r="D3544" t="str">
        <f>HYPERLINK("http://service.sap.com/sap/support/notes/1394356","1394356")</f>
        <v>1394356</v>
      </c>
      <c r="F3544" t="s">
        <v>3617</v>
      </c>
    </row>
    <row r="3545" spans="1:6">
      <c r="A3545" t="s">
        <v>3318</v>
      </c>
      <c r="B3545" t="s">
        <v>174</v>
      </c>
      <c r="C3545" t="s">
        <v>175</v>
      </c>
      <c r="D3545" t="str">
        <f>HYPERLINK("http://service.sap.com/sap/support/notes/1424179","1424179")</f>
        <v>1424179</v>
      </c>
      <c r="F3545" t="s">
        <v>3618</v>
      </c>
    </row>
    <row r="3546" spans="1:6">
      <c r="A3546" t="s">
        <v>3318</v>
      </c>
      <c r="B3546" t="s">
        <v>174</v>
      </c>
      <c r="C3546" t="s">
        <v>175</v>
      </c>
      <c r="D3546" t="str">
        <f>HYPERLINK("http://service.sap.com/sap/support/notes/1453806","1453806")</f>
        <v>1453806</v>
      </c>
      <c r="F3546" t="s">
        <v>3070</v>
      </c>
    </row>
    <row r="3547" spans="1:6">
      <c r="A3547" t="s">
        <v>3318</v>
      </c>
      <c r="B3547" t="s">
        <v>174</v>
      </c>
      <c r="C3547" t="s">
        <v>175</v>
      </c>
      <c r="D3547" t="str">
        <f>HYPERLINK("http://service.sap.com/sap/support/notes/1463713","1463713")</f>
        <v>1463713</v>
      </c>
      <c r="F3547" t="s">
        <v>3619</v>
      </c>
    </row>
    <row r="3548" spans="1:6">
      <c r="A3548" t="s">
        <v>3318</v>
      </c>
      <c r="B3548" t="s">
        <v>174</v>
      </c>
      <c r="C3548" t="s">
        <v>175</v>
      </c>
      <c r="D3548" t="str">
        <f>HYPERLINK("http://service.sap.com/sap/support/notes/1466024","1466024")</f>
        <v>1466024</v>
      </c>
      <c r="F3548" t="s">
        <v>3620</v>
      </c>
    </row>
    <row r="3549" spans="1:6">
      <c r="A3549" t="s">
        <v>3318</v>
      </c>
      <c r="B3549" t="s">
        <v>174</v>
      </c>
      <c r="C3549" t="s">
        <v>175</v>
      </c>
      <c r="D3549" t="str">
        <f>HYPERLINK("http://service.sap.com/sap/support/notes/1467549","1467549")</f>
        <v>1467549</v>
      </c>
      <c r="F3549" t="s">
        <v>3621</v>
      </c>
    </row>
    <row r="3550" spans="1:6">
      <c r="A3550" t="s">
        <v>3318</v>
      </c>
      <c r="B3550" t="s">
        <v>174</v>
      </c>
      <c r="C3550" t="s">
        <v>175</v>
      </c>
      <c r="D3550" t="str">
        <f>HYPERLINK("http://service.sap.com/sap/support/notes/1468270","1468270")</f>
        <v>1468270</v>
      </c>
      <c r="F3550" t="s">
        <v>3622</v>
      </c>
    </row>
    <row r="3551" spans="1:6">
      <c r="A3551" t="s">
        <v>3318</v>
      </c>
      <c r="B3551" t="s">
        <v>174</v>
      </c>
      <c r="C3551" t="s">
        <v>175</v>
      </c>
      <c r="D3551" t="str">
        <f>HYPERLINK("http://service.sap.com/sap/support/notes/1470782","1470782")</f>
        <v>1470782</v>
      </c>
      <c r="F3551" t="s">
        <v>3623</v>
      </c>
    </row>
    <row r="3552" spans="1:6">
      <c r="A3552" t="s">
        <v>3318</v>
      </c>
      <c r="B3552" t="s">
        <v>174</v>
      </c>
      <c r="C3552" t="s">
        <v>175</v>
      </c>
      <c r="D3552" t="str">
        <f>HYPERLINK("http://service.sap.com/sap/support/notes/1470833","1470833")</f>
        <v>1470833</v>
      </c>
      <c r="F3552" t="s">
        <v>3624</v>
      </c>
    </row>
    <row r="3553" spans="1:6">
      <c r="A3553" t="s">
        <v>3318</v>
      </c>
      <c r="B3553" t="s">
        <v>174</v>
      </c>
      <c r="C3553" t="s">
        <v>175</v>
      </c>
      <c r="D3553" t="str">
        <f>HYPERLINK("http://service.sap.com/sap/support/notes/1470835","1470835")</f>
        <v>1470835</v>
      </c>
      <c r="F3553" t="s">
        <v>3625</v>
      </c>
    </row>
    <row r="3554" spans="1:6">
      <c r="A3554" t="s">
        <v>3318</v>
      </c>
      <c r="B3554" t="s">
        <v>174</v>
      </c>
      <c r="C3554" t="s">
        <v>175</v>
      </c>
      <c r="D3554" t="str">
        <f>HYPERLINK("http://service.sap.com/sap/support/notes/1470836","1470836")</f>
        <v>1470836</v>
      </c>
      <c r="F3554" t="s">
        <v>3626</v>
      </c>
    </row>
    <row r="3555" spans="1:6">
      <c r="A3555" t="s">
        <v>3318</v>
      </c>
      <c r="B3555" t="s">
        <v>174</v>
      </c>
      <c r="C3555" t="s">
        <v>175</v>
      </c>
      <c r="D3555" t="str">
        <f>HYPERLINK("http://service.sap.com/sap/support/notes/1470873","1470873")</f>
        <v>1470873</v>
      </c>
      <c r="F3555" t="s">
        <v>3627</v>
      </c>
    </row>
    <row r="3556" spans="1:6">
      <c r="A3556" t="s">
        <v>3318</v>
      </c>
      <c r="B3556" t="s">
        <v>174</v>
      </c>
      <c r="C3556" t="s">
        <v>175</v>
      </c>
      <c r="D3556" t="str">
        <f>HYPERLINK("http://service.sap.com/sap/support/notes/1470972","1470972")</f>
        <v>1470972</v>
      </c>
      <c r="F3556" t="s">
        <v>3628</v>
      </c>
    </row>
    <row r="3557" spans="1:6">
      <c r="A3557" t="s">
        <v>3318</v>
      </c>
      <c r="B3557" t="s">
        <v>174</v>
      </c>
      <c r="C3557" t="s">
        <v>175</v>
      </c>
      <c r="D3557" t="str">
        <f>HYPERLINK("http://service.sap.com/sap/support/notes/1471967","1471967")</f>
        <v>1471967</v>
      </c>
      <c r="F3557" t="s">
        <v>3629</v>
      </c>
    </row>
    <row r="3558" spans="1:6">
      <c r="A3558" t="s">
        <v>3318</v>
      </c>
      <c r="B3558" t="s">
        <v>185</v>
      </c>
      <c r="C3558" t="s">
        <v>3630</v>
      </c>
      <c r="D3558" t="str">
        <f>HYPERLINK("http://service.sap.com/sap/support/notes/1470717","1470717")</f>
        <v>1470717</v>
      </c>
      <c r="F3558" t="s">
        <v>3631</v>
      </c>
    </row>
    <row r="3559" spans="1:6">
      <c r="A3559" t="s">
        <v>3318</v>
      </c>
      <c r="B3559" t="s">
        <v>192</v>
      </c>
      <c r="C3559" t="s">
        <v>60</v>
      </c>
      <c r="D3559" t="str">
        <f>HYPERLINK("http://service.sap.com/sap/support/notes/1408800","1408800")</f>
        <v>1408800</v>
      </c>
      <c r="F3559" t="s">
        <v>3632</v>
      </c>
    </row>
    <row r="3560" spans="1:6">
      <c r="A3560" t="s">
        <v>3318</v>
      </c>
      <c r="B3560" t="s">
        <v>192</v>
      </c>
      <c r="C3560" t="s">
        <v>60</v>
      </c>
      <c r="D3560" t="str">
        <f>HYPERLINK("http://service.sap.com/sap/support/notes/1426992","1426992")</f>
        <v>1426992</v>
      </c>
      <c r="F3560" t="s">
        <v>3633</v>
      </c>
    </row>
    <row r="3561" spans="1:6">
      <c r="A3561" t="s">
        <v>3318</v>
      </c>
      <c r="B3561" t="s">
        <v>192</v>
      </c>
      <c r="C3561" t="s">
        <v>60</v>
      </c>
      <c r="D3561" t="str">
        <f>HYPERLINK("http://service.sap.com/sap/support/notes/1464188","1464188")</f>
        <v>1464188</v>
      </c>
      <c r="F3561" t="s">
        <v>3634</v>
      </c>
    </row>
    <row r="3562" spans="1:6">
      <c r="A3562" t="s">
        <v>3318</v>
      </c>
      <c r="B3562" t="s">
        <v>192</v>
      </c>
      <c r="C3562" t="s">
        <v>60</v>
      </c>
      <c r="D3562" t="str">
        <f>HYPERLINK("http://service.sap.com/sap/support/notes/1464473","1464473")</f>
        <v>1464473</v>
      </c>
      <c r="F3562" t="s">
        <v>3635</v>
      </c>
    </row>
    <row r="3563" spans="1:6">
      <c r="A3563" t="s">
        <v>3318</v>
      </c>
      <c r="B3563" t="s">
        <v>192</v>
      </c>
      <c r="C3563" t="s">
        <v>60</v>
      </c>
      <c r="D3563" t="str">
        <f>HYPERLINK("http://service.sap.com/sap/support/notes/1467729","1467729")</f>
        <v>1467729</v>
      </c>
      <c r="F3563" t="s">
        <v>3636</v>
      </c>
    </row>
    <row r="3564" spans="1:6">
      <c r="A3564" t="s">
        <v>3318</v>
      </c>
      <c r="B3564" t="s">
        <v>192</v>
      </c>
      <c r="C3564" t="s">
        <v>60</v>
      </c>
      <c r="D3564" t="str">
        <f>HYPERLINK("http://service.sap.com/sap/support/notes/1471680","1471680")</f>
        <v>1471680</v>
      </c>
      <c r="F3564" t="s">
        <v>3637</v>
      </c>
    </row>
    <row r="3565" spans="1:6">
      <c r="A3565" t="s">
        <v>3318</v>
      </c>
      <c r="B3565" t="s">
        <v>192</v>
      </c>
      <c r="C3565" t="s">
        <v>60</v>
      </c>
      <c r="D3565" t="str">
        <f>HYPERLINK("http://service.sap.com/sap/support/notes/1471906","1471906")</f>
        <v>1471906</v>
      </c>
      <c r="F3565" t="s">
        <v>3638</v>
      </c>
    </row>
    <row r="3566" spans="1:6">
      <c r="A3566" t="s">
        <v>3318</v>
      </c>
      <c r="B3566" t="s">
        <v>204</v>
      </c>
      <c r="C3566" t="s">
        <v>205</v>
      </c>
      <c r="D3566" t="str">
        <f>HYPERLINK("http://service.sap.com/sap/support/notes/1320269","1320269")</f>
        <v>1320269</v>
      </c>
      <c r="F3566" t="s">
        <v>3639</v>
      </c>
    </row>
    <row r="3567" spans="1:6">
      <c r="A3567" t="s">
        <v>3318</v>
      </c>
      <c r="B3567" t="s">
        <v>204</v>
      </c>
      <c r="C3567" t="s">
        <v>205</v>
      </c>
      <c r="D3567" t="str">
        <f>HYPERLINK("http://service.sap.com/sap/support/notes/1469497","1469497")</f>
        <v>1469497</v>
      </c>
      <c r="F3567" t="s">
        <v>3640</v>
      </c>
    </row>
    <row r="3568" spans="1:6">
      <c r="A3568" t="s">
        <v>3318</v>
      </c>
      <c r="B3568" t="s">
        <v>204</v>
      </c>
      <c r="C3568" t="s">
        <v>205</v>
      </c>
      <c r="D3568" t="str">
        <f>HYPERLINK("http://service.sap.com/sap/support/notes/1471033","1471033")</f>
        <v>1471033</v>
      </c>
      <c r="F3568" t="s">
        <v>3641</v>
      </c>
    </row>
    <row r="3569" spans="1:6">
      <c r="A3569" t="s">
        <v>3318</v>
      </c>
      <c r="B3569" t="s">
        <v>211</v>
      </c>
      <c r="C3569" t="s">
        <v>212</v>
      </c>
      <c r="D3569" t="str">
        <f>HYPERLINK("http://service.sap.com/sap/support/notes/1456971","1456971")</f>
        <v>1456971</v>
      </c>
      <c r="F3569" t="s">
        <v>3642</v>
      </c>
    </row>
    <row r="3570" spans="1:6">
      <c r="A3570" t="s">
        <v>3318</v>
      </c>
      <c r="B3570" t="s">
        <v>218</v>
      </c>
      <c r="C3570" t="s">
        <v>219</v>
      </c>
      <c r="D3570" t="str">
        <f>HYPERLINK("http://service.sap.com/sap/support/notes/1434814","1434814")</f>
        <v>1434814</v>
      </c>
      <c r="F3570" t="s">
        <v>2387</v>
      </c>
    </row>
    <row r="3571" spans="1:6">
      <c r="A3571" t="s">
        <v>3318</v>
      </c>
      <c r="B3571" t="s">
        <v>225</v>
      </c>
      <c r="C3571" t="s">
        <v>66</v>
      </c>
      <c r="D3571" t="str">
        <f>HYPERLINK("http://service.sap.com/sap/support/notes/1462345","1462345")</f>
        <v>1462345</v>
      </c>
      <c r="F3571" t="s">
        <v>3643</v>
      </c>
    </row>
    <row r="3572" spans="1:6">
      <c r="A3572" t="s">
        <v>3318</v>
      </c>
      <c r="B3572" t="s">
        <v>228</v>
      </c>
      <c r="C3572" t="s">
        <v>69</v>
      </c>
      <c r="D3572" t="str">
        <f>HYPERLINK("http://service.sap.com/sap/support/notes/1428625","1428625")</f>
        <v>1428625</v>
      </c>
      <c r="F3572" t="s">
        <v>3644</v>
      </c>
    </row>
    <row r="3573" spans="1:6">
      <c r="A3573" t="s">
        <v>3318</v>
      </c>
      <c r="B3573" t="s">
        <v>228</v>
      </c>
      <c r="C3573" t="s">
        <v>69</v>
      </c>
      <c r="D3573" t="str">
        <f>HYPERLINK("http://service.sap.com/sap/support/notes/1461940","1461940")</f>
        <v>1461940</v>
      </c>
      <c r="F3573" t="s">
        <v>3645</v>
      </c>
    </row>
    <row r="3574" spans="1:6">
      <c r="A3574" t="s">
        <v>3318</v>
      </c>
      <c r="B3574" t="s">
        <v>1024</v>
      </c>
      <c r="C3574" t="s">
        <v>1025</v>
      </c>
      <c r="D3574" t="str">
        <f>HYPERLINK("http://service.sap.com/sap/support/notes/1460897","1460897")</f>
        <v>1460897</v>
      </c>
      <c r="F3574" t="s">
        <v>3646</v>
      </c>
    </row>
    <row r="3575" spans="1:6">
      <c r="A3575" t="s">
        <v>3318</v>
      </c>
      <c r="B3575" t="s">
        <v>1024</v>
      </c>
      <c r="C3575" t="s">
        <v>1025</v>
      </c>
      <c r="D3575" t="str">
        <f>HYPERLINK("http://service.sap.com/sap/support/notes/1465904","1465904")</f>
        <v>1465904</v>
      </c>
      <c r="F3575" t="s">
        <v>3647</v>
      </c>
    </row>
    <row r="3576" spans="1:6">
      <c r="A3576" t="s">
        <v>3318</v>
      </c>
      <c r="B3576" t="s">
        <v>1024</v>
      </c>
      <c r="C3576" t="s">
        <v>1025</v>
      </c>
      <c r="D3576" t="str">
        <f>HYPERLINK("http://service.sap.com/sap/support/notes/1470578","1470578")</f>
        <v>1470578</v>
      </c>
      <c r="F3576" t="s">
        <v>3648</v>
      </c>
    </row>
    <row r="3577" spans="1:6">
      <c r="A3577" t="s">
        <v>3318</v>
      </c>
      <c r="B3577" t="s">
        <v>233</v>
      </c>
    </row>
    <row r="3578" spans="1:6">
      <c r="A3578" t="s">
        <v>3318</v>
      </c>
      <c r="B3578" t="s">
        <v>235</v>
      </c>
      <c r="C3578" t="s">
        <v>236</v>
      </c>
      <c r="D3578" t="str">
        <f>HYPERLINK("http://service.sap.com/sap/support/notes/1443880","1443880")</f>
        <v>1443880</v>
      </c>
      <c r="F3578" t="s">
        <v>3649</v>
      </c>
    </row>
    <row r="3579" spans="1:6">
      <c r="A3579" t="s">
        <v>3318</v>
      </c>
      <c r="B3579" t="s">
        <v>235</v>
      </c>
      <c r="C3579" t="s">
        <v>236</v>
      </c>
      <c r="D3579" t="str">
        <f>HYPERLINK("http://service.sap.com/sap/support/notes/1465549","1465549")</f>
        <v>1465549</v>
      </c>
      <c r="F3579" t="s">
        <v>3650</v>
      </c>
    </row>
    <row r="3580" spans="1:6">
      <c r="A3580" t="s">
        <v>3318</v>
      </c>
      <c r="B3580" t="s">
        <v>1460</v>
      </c>
      <c r="C3580" t="s">
        <v>1461</v>
      </c>
      <c r="D3580" t="str">
        <f>HYPERLINK("http://service.sap.com/sap/support/notes/1462745","1462745")</f>
        <v>1462745</v>
      </c>
      <c r="F3580" t="s">
        <v>3651</v>
      </c>
    </row>
    <row r="3581" spans="1:6">
      <c r="A3581" t="s">
        <v>3318</v>
      </c>
      <c r="B3581" t="s">
        <v>1460</v>
      </c>
      <c r="C3581" t="s">
        <v>1461</v>
      </c>
      <c r="D3581" t="str">
        <f>HYPERLINK("http://service.sap.com/sap/support/notes/1462962","1462962")</f>
        <v>1462962</v>
      </c>
      <c r="F3581" t="s">
        <v>3652</v>
      </c>
    </row>
    <row r="3582" spans="1:6">
      <c r="A3582" t="s">
        <v>3318</v>
      </c>
      <c r="B3582" t="s">
        <v>1460</v>
      </c>
      <c r="C3582" t="s">
        <v>1461</v>
      </c>
      <c r="D3582" t="str">
        <f>HYPERLINK("http://service.sap.com/sap/support/notes/1463121","1463121")</f>
        <v>1463121</v>
      </c>
      <c r="F3582" t="s">
        <v>3653</v>
      </c>
    </row>
    <row r="3583" spans="1:6">
      <c r="A3583" t="s">
        <v>3318</v>
      </c>
      <c r="B3583" t="s">
        <v>1460</v>
      </c>
      <c r="C3583" t="s">
        <v>1461</v>
      </c>
      <c r="D3583" t="str">
        <f>HYPERLINK("http://service.sap.com/sap/support/notes/1469608","1469608")</f>
        <v>1469608</v>
      </c>
      <c r="F3583" t="s">
        <v>3654</v>
      </c>
    </row>
    <row r="3584" spans="1:6">
      <c r="A3584" t="s">
        <v>3318</v>
      </c>
      <c r="B3584" t="s">
        <v>1460</v>
      </c>
      <c r="C3584" t="s">
        <v>1461</v>
      </c>
      <c r="D3584" t="str">
        <f>HYPERLINK("http://service.sap.com/sap/support/notes/1470000","1470000")</f>
        <v>1470000</v>
      </c>
      <c r="F3584" t="s">
        <v>3655</v>
      </c>
    </row>
    <row r="3585" spans="1:6">
      <c r="A3585" t="s">
        <v>3318</v>
      </c>
      <c r="B3585" t="s">
        <v>1044</v>
      </c>
      <c r="C3585" t="s">
        <v>1045</v>
      </c>
      <c r="D3585" t="str">
        <f>HYPERLINK("http://service.sap.com/sap/support/notes/1448318","1448318")</f>
        <v>1448318</v>
      </c>
      <c r="F3585" t="s">
        <v>3656</v>
      </c>
    </row>
    <row r="3586" spans="1:6">
      <c r="A3586" t="s">
        <v>3318</v>
      </c>
      <c r="B3586" t="s">
        <v>1044</v>
      </c>
      <c r="C3586" t="s">
        <v>1045</v>
      </c>
      <c r="D3586" t="str">
        <f>HYPERLINK("http://service.sap.com/sap/support/notes/1466548","1466548")</f>
        <v>1466548</v>
      </c>
      <c r="F3586" t="s">
        <v>3657</v>
      </c>
    </row>
    <row r="3587" spans="1:6">
      <c r="A3587" t="s">
        <v>3318</v>
      </c>
      <c r="B3587" t="s">
        <v>238</v>
      </c>
    </row>
    <row r="3588" spans="1:6">
      <c r="A3588" t="s">
        <v>3318</v>
      </c>
      <c r="B3588" t="s">
        <v>240</v>
      </c>
      <c r="C3588" t="s">
        <v>241</v>
      </c>
      <c r="D3588" t="str">
        <f>HYPERLINK("http://service.sap.com/sap/support/notes/1450802","1450802")</f>
        <v>1450802</v>
      </c>
      <c r="F3588" t="s">
        <v>3658</v>
      </c>
    </row>
    <row r="3589" spans="1:6">
      <c r="A3589" t="s">
        <v>3318</v>
      </c>
      <c r="B3589" t="s">
        <v>240</v>
      </c>
      <c r="C3589" t="s">
        <v>241</v>
      </c>
      <c r="D3589" t="str">
        <f>HYPERLINK("http://service.sap.com/sap/support/notes/1463587","1463587")</f>
        <v>1463587</v>
      </c>
      <c r="F3589" t="s">
        <v>3659</v>
      </c>
    </row>
    <row r="3590" spans="1:6">
      <c r="A3590" t="s">
        <v>3318</v>
      </c>
      <c r="B3590" t="s">
        <v>240</v>
      </c>
      <c r="C3590" t="s">
        <v>241</v>
      </c>
      <c r="D3590" t="str">
        <f>HYPERLINK("http://service.sap.com/sap/support/notes/1465104","1465104")</f>
        <v>1465104</v>
      </c>
      <c r="F3590" t="s">
        <v>3660</v>
      </c>
    </row>
    <row r="3591" spans="1:6">
      <c r="A3591" t="s">
        <v>3318</v>
      </c>
      <c r="B3591" t="s">
        <v>240</v>
      </c>
      <c r="C3591" t="s">
        <v>241</v>
      </c>
      <c r="D3591" t="str">
        <f>HYPERLINK("http://service.sap.com/sap/support/notes/1468683","1468683")</f>
        <v>1468683</v>
      </c>
      <c r="F3591" t="s">
        <v>3661</v>
      </c>
    </row>
    <row r="3592" spans="1:6">
      <c r="A3592" t="s">
        <v>3318</v>
      </c>
      <c r="B3592" t="s">
        <v>240</v>
      </c>
      <c r="C3592" t="s">
        <v>241</v>
      </c>
      <c r="D3592" t="str">
        <f>HYPERLINK("http://service.sap.com/sap/support/notes/1469814","1469814")</f>
        <v>1469814</v>
      </c>
      <c r="F3592" t="s">
        <v>3662</v>
      </c>
    </row>
    <row r="3593" spans="1:6">
      <c r="A3593" t="s">
        <v>3318</v>
      </c>
      <c r="B3593" t="s">
        <v>240</v>
      </c>
      <c r="C3593" t="s">
        <v>241</v>
      </c>
      <c r="D3593" t="str">
        <f>HYPERLINK("http://service.sap.com/sap/support/notes/1471312","1471312")</f>
        <v>1471312</v>
      </c>
      <c r="F3593" t="s">
        <v>3663</v>
      </c>
    </row>
    <row r="3594" spans="1:6">
      <c r="A3594" t="s">
        <v>3318</v>
      </c>
      <c r="B3594" t="s">
        <v>244</v>
      </c>
      <c r="C3594" t="s">
        <v>245</v>
      </c>
      <c r="D3594" t="str">
        <f>HYPERLINK("http://service.sap.com/sap/support/notes/1442504","1442504")</f>
        <v>1442504</v>
      </c>
      <c r="F3594" t="s">
        <v>3664</v>
      </c>
    </row>
    <row r="3595" spans="1:6">
      <c r="A3595" t="s">
        <v>3318</v>
      </c>
      <c r="B3595" t="s">
        <v>244</v>
      </c>
      <c r="C3595" t="s">
        <v>245</v>
      </c>
      <c r="D3595" t="str">
        <f>HYPERLINK("http://service.sap.com/sap/support/notes/1461529","1461529")</f>
        <v>1461529</v>
      </c>
      <c r="F3595" t="s">
        <v>3665</v>
      </c>
    </row>
    <row r="3596" spans="1:6">
      <c r="A3596" t="s">
        <v>3318</v>
      </c>
      <c r="B3596" t="s">
        <v>244</v>
      </c>
      <c r="C3596" t="s">
        <v>245</v>
      </c>
      <c r="D3596" t="str">
        <f>HYPERLINK("http://service.sap.com/sap/support/notes/1463496","1463496")</f>
        <v>1463496</v>
      </c>
      <c r="F3596" t="s">
        <v>3666</v>
      </c>
    </row>
    <row r="3597" spans="1:6">
      <c r="A3597" t="s">
        <v>3318</v>
      </c>
      <c r="B3597" t="s">
        <v>244</v>
      </c>
      <c r="C3597" t="s">
        <v>245</v>
      </c>
      <c r="D3597" t="str">
        <f>HYPERLINK("http://service.sap.com/sap/support/notes/1465052","1465052")</f>
        <v>1465052</v>
      </c>
      <c r="F3597" t="s">
        <v>3667</v>
      </c>
    </row>
    <row r="3598" spans="1:6">
      <c r="A3598" t="s">
        <v>3318</v>
      </c>
      <c r="B3598" t="s">
        <v>244</v>
      </c>
      <c r="C3598" t="s">
        <v>245</v>
      </c>
      <c r="D3598" t="str">
        <f>HYPERLINK("http://service.sap.com/sap/support/notes/1465941","1465941")</f>
        <v>1465941</v>
      </c>
      <c r="F3598" t="s">
        <v>3668</v>
      </c>
    </row>
    <row r="3599" spans="1:6">
      <c r="A3599" t="s">
        <v>3318</v>
      </c>
      <c r="B3599" t="s">
        <v>244</v>
      </c>
      <c r="C3599" t="s">
        <v>245</v>
      </c>
      <c r="D3599" t="str">
        <f>HYPERLINK("http://service.sap.com/sap/support/notes/1466883","1466883")</f>
        <v>1466883</v>
      </c>
      <c r="F3599" t="s">
        <v>3669</v>
      </c>
    </row>
    <row r="3600" spans="1:6">
      <c r="A3600" t="s">
        <v>3318</v>
      </c>
      <c r="B3600" t="s">
        <v>244</v>
      </c>
      <c r="C3600" t="s">
        <v>245</v>
      </c>
      <c r="D3600" t="str">
        <f>HYPERLINK("http://service.sap.com/sap/support/notes/1470300","1470300")</f>
        <v>1470300</v>
      </c>
      <c r="F3600" t="s">
        <v>3670</v>
      </c>
    </row>
    <row r="3601" spans="1:6">
      <c r="A3601" t="s">
        <v>3318</v>
      </c>
      <c r="B3601" t="s">
        <v>249</v>
      </c>
      <c r="C3601" t="s">
        <v>1053</v>
      </c>
      <c r="D3601" t="str">
        <f>HYPERLINK("http://service.sap.com/sap/support/notes/1462355","1462355")</f>
        <v>1462355</v>
      </c>
      <c r="F3601" t="s">
        <v>3671</v>
      </c>
    </row>
    <row r="3602" spans="1:6">
      <c r="A3602" t="s">
        <v>3318</v>
      </c>
      <c r="B3602" t="s">
        <v>254</v>
      </c>
      <c r="C3602" t="s">
        <v>255</v>
      </c>
      <c r="D3602" t="str">
        <f>HYPERLINK("http://service.sap.com/sap/support/notes/1452933","1452933")</f>
        <v>1452933</v>
      </c>
      <c r="F3602" t="s">
        <v>3672</v>
      </c>
    </row>
    <row r="3603" spans="1:6">
      <c r="A3603" t="s">
        <v>3318</v>
      </c>
      <c r="B3603" t="s">
        <v>254</v>
      </c>
      <c r="C3603" t="s">
        <v>255</v>
      </c>
      <c r="D3603" t="str">
        <f>HYPERLINK("http://service.sap.com/sap/support/notes/1461456","1461456")</f>
        <v>1461456</v>
      </c>
      <c r="F3603" t="s">
        <v>3673</v>
      </c>
    </row>
    <row r="3604" spans="1:6">
      <c r="A3604" t="s">
        <v>3318</v>
      </c>
      <c r="B3604" t="s">
        <v>254</v>
      </c>
      <c r="C3604" t="s">
        <v>255</v>
      </c>
      <c r="D3604" t="str">
        <f>HYPERLINK("http://service.sap.com/sap/support/notes/1464950","1464950")</f>
        <v>1464950</v>
      </c>
      <c r="F3604" t="s">
        <v>3674</v>
      </c>
    </row>
    <row r="3605" spans="1:6">
      <c r="A3605" t="s">
        <v>3318</v>
      </c>
      <c r="B3605" t="s">
        <v>254</v>
      </c>
      <c r="C3605" t="s">
        <v>255</v>
      </c>
      <c r="D3605" t="str">
        <f>HYPERLINK("http://service.sap.com/sap/support/notes/1465056","1465056")</f>
        <v>1465056</v>
      </c>
      <c r="F3605" t="s">
        <v>3675</v>
      </c>
    </row>
    <row r="3606" spans="1:6">
      <c r="A3606" t="s">
        <v>3318</v>
      </c>
      <c r="B3606" t="s">
        <v>254</v>
      </c>
      <c r="C3606" t="s">
        <v>255</v>
      </c>
      <c r="D3606" t="str">
        <f>HYPERLINK("http://service.sap.com/sap/support/notes/1468489","1468489")</f>
        <v>1468489</v>
      </c>
      <c r="F3606" t="s">
        <v>3676</v>
      </c>
    </row>
    <row r="3607" spans="1:6">
      <c r="A3607" t="s">
        <v>3318</v>
      </c>
      <c r="B3607" t="s">
        <v>254</v>
      </c>
      <c r="C3607" t="s">
        <v>255</v>
      </c>
      <c r="D3607" t="str">
        <f>HYPERLINK("http://service.sap.com/sap/support/notes/1470875","1470875")</f>
        <v>1470875</v>
      </c>
      <c r="F3607" t="s">
        <v>3677</v>
      </c>
    </row>
    <row r="3608" spans="1:6">
      <c r="A3608" t="s">
        <v>3318</v>
      </c>
      <c r="B3608" t="s">
        <v>258</v>
      </c>
      <c r="C3608" t="s">
        <v>189</v>
      </c>
      <c r="D3608" t="str">
        <f>HYPERLINK("http://service.sap.com/sap/support/notes/1365125","1365125")</f>
        <v>1365125</v>
      </c>
      <c r="F3608" t="s">
        <v>1069</v>
      </c>
    </row>
    <row r="3609" spans="1:6">
      <c r="A3609" t="s">
        <v>3318</v>
      </c>
      <c r="B3609" t="s">
        <v>258</v>
      </c>
      <c r="C3609" t="s">
        <v>189</v>
      </c>
      <c r="D3609" t="str">
        <f>HYPERLINK("http://service.sap.com/sap/support/notes/1454404","1454404")</f>
        <v>1454404</v>
      </c>
      <c r="F3609" t="s">
        <v>3678</v>
      </c>
    </row>
    <row r="3610" spans="1:6">
      <c r="A3610" t="s">
        <v>3318</v>
      </c>
      <c r="B3610" t="s">
        <v>258</v>
      </c>
      <c r="C3610" t="s">
        <v>189</v>
      </c>
      <c r="D3610" t="str">
        <f>HYPERLINK("http://service.sap.com/sap/support/notes/1461550","1461550")</f>
        <v>1461550</v>
      </c>
      <c r="F3610" t="s">
        <v>3679</v>
      </c>
    </row>
    <row r="3611" spans="1:6">
      <c r="A3611" t="s">
        <v>3318</v>
      </c>
      <c r="B3611" t="s">
        <v>258</v>
      </c>
      <c r="C3611" t="s">
        <v>189</v>
      </c>
      <c r="D3611" t="str">
        <f>HYPERLINK("http://service.sap.com/sap/support/notes/1464173","1464173")</f>
        <v>1464173</v>
      </c>
      <c r="F3611" t="s">
        <v>3680</v>
      </c>
    </row>
    <row r="3612" spans="1:6">
      <c r="A3612" t="s">
        <v>3318</v>
      </c>
      <c r="B3612" t="s">
        <v>258</v>
      </c>
      <c r="C3612" t="s">
        <v>189</v>
      </c>
      <c r="D3612" t="str">
        <f>HYPERLINK("http://service.sap.com/sap/support/notes/1464408","1464408")</f>
        <v>1464408</v>
      </c>
      <c r="F3612" t="s">
        <v>3681</v>
      </c>
    </row>
    <row r="3613" spans="1:6">
      <c r="A3613" t="s">
        <v>3318</v>
      </c>
      <c r="B3613" t="s">
        <v>258</v>
      </c>
      <c r="C3613" t="s">
        <v>189</v>
      </c>
      <c r="D3613" t="str">
        <f>HYPERLINK("http://service.sap.com/sap/support/notes/1466297","1466297")</f>
        <v>1466297</v>
      </c>
      <c r="F3613" t="s">
        <v>3682</v>
      </c>
    </row>
    <row r="3614" spans="1:6">
      <c r="A3614" t="s">
        <v>3318</v>
      </c>
      <c r="B3614" t="s">
        <v>258</v>
      </c>
      <c r="C3614" t="s">
        <v>189</v>
      </c>
      <c r="D3614" t="str">
        <f>HYPERLINK("http://service.sap.com/sap/support/notes/1467471","1467471")</f>
        <v>1467471</v>
      </c>
      <c r="F3614" t="s">
        <v>3683</v>
      </c>
    </row>
    <row r="3615" spans="1:6">
      <c r="A3615" t="s">
        <v>3318</v>
      </c>
      <c r="B3615" t="s">
        <v>258</v>
      </c>
      <c r="C3615" t="s">
        <v>189</v>
      </c>
      <c r="D3615" t="str">
        <f>HYPERLINK("http://service.sap.com/sap/support/notes/1467766","1467766")</f>
        <v>1467766</v>
      </c>
      <c r="F3615" t="s">
        <v>3684</v>
      </c>
    </row>
    <row r="3616" spans="1:6">
      <c r="A3616" t="s">
        <v>3318</v>
      </c>
      <c r="B3616" t="s">
        <v>258</v>
      </c>
      <c r="C3616" t="s">
        <v>189</v>
      </c>
      <c r="D3616" t="str">
        <f>HYPERLINK("http://service.sap.com/sap/support/notes/1467783","1467783")</f>
        <v>1467783</v>
      </c>
      <c r="F3616" t="s">
        <v>3685</v>
      </c>
    </row>
    <row r="3617" spans="1:6">
      <c r="A3617" t="s">
        <v>3318</v>
      </c>
      <c r="B3617" t="s">
        <v>258</v>
      </c>
      <c r="C3617" t="s">
        <v>189</v>
      </c>
      <c r="D3617" t="str">
        <f>HYPERLINK("http://service.sap.com/sap/support/notes/1468104","1468104")</f>
        <v>1468104</v>
      </c>
      <c r="F3617" t="s">
        <v>3686</v>
      </c>
    </row>
    <row r="3618" spans="1:6">
      <c r="A3618" t="s">
        <v>3318</v>
      </c>
      <c r="B3618" t="s">
        <v>258</v>
      </c>
      <c r="C3618" t="s">
        <v>189</v>
      </c>
      <c r="D3618" t="str">
        <f>HYPERLINK("http://service.sap.com/sap/support/notes/1469950","1469950")</f>
        <v>1469950</v>
      </c>
      <c r="F3618" t="s">
        <v>3687</v>
      </c>
    </row>
    <row r="3619" spans="1:6">
      <c r="A3619" t="s">
        <v>3318</v>
      </c>
      <c r="B3619" t="s">
        <v>273</v>
      </c>
      <c r="C3619" t="s">
        <v>1086</v>
      </c>
      <c r="D3619" t="str">
        <f>HYPERLINK("http://service.sap.com/sap/support/notes/1468532","1468532")</f>
        <v>1468532</v>
      </c>
      <c r="F3619" t="s">
        <v>3688</v>
      </c>
    </row>
    <row r="3620" spans="1:6">
      <c r="A3620" t="s">
        <v>3318</v>
      </c>
      <c r="B3620" t="s">
        <v>279</v>
      </c>
      <c r="C3620" t="s">
        <v>1088</v>
      </c>
      <c r="D3620" t="str">
        <f>HYPERLINK("http://service.sap.com/sap/support/notes/1425364","1425364")</f>
        <v>1425364</v>
      </c>
      <c r="F3620" t="s">
        <v>3689</v>
      </c>
    </row>
    <row r="3621" spans="1:6">
      <c r="A3621" t="s">
        <v>3318</v>
      </c>
      <c r="B3621" t="s">
        <v>279</v>
      </c>
      <c r="C3621" t="s">
        <v>1088</v>
      </c>
      <c r="D3621" t="str">
        <f>HYPERLINK("http://service.sap.com/sap/support/notes/1429016","1429016")</f>
        <v>1429016</v>
      </c>
      <c r="F3621" t="s">
        <v>3690</v>
      </c>
    </row>
    <row r="3622" spans="1:6">
      <c r="A3622" t="s">
        <v>3318</v>
      </c>
      <c r="B3622" t="s">
        <v>279</v>
      </c>
      <c r="C3622" t="s">
        <v>1088</v>
      </c>
      <c r="D3622" t="str">
        <f>HYPERLINK("http://service.sap.com/sap/support/notes/1430563","1430563")</f>
        <v>1430563</v>
      </c>
      <c r="F3622" t="s">
        <v>3691</v>
      </c>
    </row>
    <row r="3623" spans="1:6">
      <c r="A3623" t="s">
        <v>3318</v>
      </c>
      <c r="B3623" t="s">
        <v>279</v>
      </c>
      <c r="C3623" t="s">
        <v>1088</v>
      </c>
      <c r="D3623" t="str">
        <f>HYPERLINK("http://service.sap.com/sap/support/notes/1454947","1454947")</f>
        <v>1454947</v>
      </c>
      <c r="F3623" t="s">
        <v>3692</v>
      </c>
    </row>
    <row r="3624" spans="1:6">
      <c r="A3624" t="s">
        <v>3318</v>
      </c>
      <c r="B3624" t="s">
        <v>279</v>
      </c>
      <c r="C3624" t="s">
        <v>1088</v>
      </c>
      <c r="D3624" t="str">
        <f>HYPERLINK("http://service.sap.com/sap/support/notes/1455695","1455695")</f>
        <v>1455695</v>
      </c>
      <c r="F3624" t="s">
        <v>3693</v>
      </c>
    </row>
    <row r="3625" spans="1:6">
      <c r="A3625" t="s">
        <v>3318</v>
      </c>
      <c r="B3625" t="s">
        <v>279</v>
      </c>
      <c r="C3625" t="s">
        <v>1088</v>
      </c>
      <c r="D3625" t="str">
        <f>HYPERLINK("http://service.sap.com/sap/support/notes/1462871","1462871")</f>
        <v>1462871</v>
      </c>
      <c r="F3625" t="s">
        <v>3694</v>
      </c>
    </row>
    <row r="3626" spans="1:6">
      <c r="A3626" t="s">
        <v>3318</v>
      </c>
      <c r="B3626" t="s">
        <v>279</v>
      </c>
      <c r="C3626" t="s">
        <v>1088</v>
      </c>
      <c r="D3626" t="str">
        <f>HYPERLINK("http://service.sap.com/sap/support/notes/1464026","1464026")</f>
        <v>1464026</v>
      </c>
      <c r="F3626" t="s">
        <v>3695</v>
      </c>
    </row>
    <row r="3627" spans="1:6">
      <c r="A3627" t="s">
        <v>3318</v>
      </c>
      <c r="B3627" t="s">
        <v>279</v>
      </c>
      <c r="C3627" t="s">
        <v>1088</v>
      </c>
      <c r="D3627" t="str">
        <f>HYPERLINK("http://service.sap.com/sap/support/notes/1465768","1465768")</f>
        <v>1465768</v>
      </c>
      <c r="F3627" t="s">
        <v>3696</v>
      </c>
    </row>
    <row r="3628" spans="1:6">
      <c r="A3628" t="s">
        <v>3318</v>
      </c>
      <c r="B3628" t="s">
        <v>279</v>
      </c>
      <c r="C3628" t="s">
        <v>1088</v>
      </c>
      <c r="D3628" t="str">
        <f>HYPERLINK("http://service.sap.com/sap/support/notes/1469052","1469052")</f>
        <v>1469052</v>
      </c>
      <c r="F3628" t="s">
        <v>3697</v>
      </c>
    </row>
    <row r="3629" spans="1:6">
      <c r="A3629" t="s">
        <v>3318</v>
      </c>
      <c r="B3629" t="s">
        <v>292</v>
      </c>
      <c r="C3629" t="s">
        <v>293</v>
      </c>
      <c r="D3629" t="str">
        <f>HYPERLINK("http://service.sap.com/sap/support/notes/1459076","1459076")</f>
        <v>1459076</v>
      </c>
      <c r="F3629" t="s">
        <v>3698</v>
      </c>
    </row>
    <row r="3630" spans="1:6">
      <c r="A3630" t="s">
        <v>3318</v>
      </c>
      <c r="B3630" t="s">
        <v>292</v>
      </c>
      <c r="C3630" t="s">
        <v>293</v>
      </c>
      <c r="D3630" t="str">
        <f>HYPERLINK("http://service.sap.com/sap/support/notes/1465976","1465976")</f>
        <v>1465976</v>
      </c>
      <c r="F3630" t="s">
        <v>3699</v>
      </c>
    </row>
    <row r="3631" spans="1:6">
      <c r="A3631" t="s">
        <v>3318</v>
      </c>
      <c r="B3631" t="s">
        <v>292</v>
      </c>
      <c r="C3631" t="s">
        <v>293</v>
      </c>
      <c r="D3631" t="str">
        <f>HYPERLINK("http://service.sap.com/sap/support/notes/1467798","1467798")</f>
        <v>1467798</v>
      </c>
      <c r="F3631" t="s">
        <v>3700</v>
      </c>
    </row>
    <row r="3632" spans="1:6">
      <c r="A3632" t="s">
        <v>3318</v>
      </c>
      <c r="B3632" t="s">
        <v>295</v>
      </c>
    </row>
    <row r="3633" spans="1:6">
      <c r="A3633" t="s">
        <v>3318</v>
      </c>
      <c r="B3633" t="s">
        <v>296</v>
      </c>
      <c r="C3633" t="s">
        <v>1104</v>
      </c>
      <c r="D3633" t="str">
        <f>HYPERLINK("http://service.sap.com/sap/support/notes/1458024","1458024")</f>
        <v>1458024</v>
      </c>
      <c r="F3633" t="s">
        <v>3701</v>
      </c>
    </row>
    <row r="3634" spans="1:6">
      <c r="A3634" t="s">
        <v>3318</v>
      </c>
      <c r="B3634" t="s">
        <v>299</v>
      </c>
      <c r="C3634" t="s">
        <v>300</v>
      </c>
      <c r="D3634" t="str">
        <f>HYPERLINK("http://service.sap.com/sap/support/notes/1462634","1462634")</f>
        <v>1462634</v>
      </c>
      <c r="F3634" t="s">
        <v>3702</v>
      </c>
    </row>
    <row r="3635" spans="1:6">
      <c r="A3635" t="s">
        <v>3318</v>
      </c>
      <c r="B3635" t="s">
        <v>299</v>
      </c>
      <c r="C3635" t="s">
        <v>300</v>
      </c>
      <c r="D3635" t="str">
        <f>HYPERLINK("http://service.sap.com/sap/support/notes/1462950","1462950")</f>
        <v>1462950</v>
      </c>
      <c r="F3635" t="s">
        <v>3703</v>
      </c>
    </row>
    <row r="3636" spans="1:6">
      <c r="A3636" t="s">
        <v>3318</v>
      </c>
      <c r="B3636" t="s">
        <v>299</v>
      </c>
      <c r="C3636" t="s">
        <v>300</v>
      </c>
      <c r="D3636" t="str">
        <f>HYPERLINK("http://service.sap.com/sap/support/notes/1468610","1468610")</f>
        <v>1468610</v>
      </c>
      <c r="F3636" t="s">
        <v>3704</v>
      </c>
    </row>
    <row r="3637" spans="1:6">
      <c r="A3637" t="s">
        <v>3318</v>
      </c>
      <c r="B3637" t="s">
        <v>305</v>
      </c>
      <c r="C3637" t="s">
        <v>306</v>
      </c>
      <c r="D3637" t="str">
        <f>HYPERLINK("http://service.sap.com/sap/support/notes/1017716","1017716")</f>
        <v>1017716</v>
      </c>
      <c r="F3637" t="s">
        <v>307</v>
      </c>
    </row>
    <row r="3638" spans="1:6">
      <c r="A3638" t="s">
        <v>3318</v>
      </c>
      <c r="B3638" t="s">
        <v>305</v>
      </c>
      <c r="C3638" t="s">
        <v>306</v>
      </c>
      <c r="D3638" t="str">
        <f>HYPERLINK("http://service.sap.com/sap/support/notes/1425881","1425881")</f>
        <v>1425881</v>
      </c>
      <c r="F3638" t="s">
        <v>3705</v>
      </c>
    </row>
    <row r="3639" spans="1:6">
      <c r="A3639" t="s">
        <v>3318</v>
      </c>
      <c r="B3639" t="s">
        <v>305</v>
      </c>
      <c r="C3639" t="s">
        <v>306</v>
      </c>
      <c r="D3639" t="str">
        <f>HYPERLINK("http://service.sap.com/sap/support/notes/1428227","1428227")</f>
        <v>1428227</v>
      </c>
      <c r="F3639" t="s">
        <v>3706</v>
      </c>
    </row>
    <row r="3640" spans="1:6">
      <c r="A3640" t="s">
        <v>3318</v>
      </c>
      <c r="B3640" t="s">
        <v>305</v>
      </c>
      <c r="C3640" t="s">
        <v>306</v>
      </c>
      <c r="D3640" t="str">
        <f>HYPERLINK("http://service.sap.com/sap/support/notes/1430540","1430540")</f>
        <v>1430540</v>
      </c>
      <c r="F3640" t="s">
        <v>3707</v>
      </c>
    </row>
    <row r="3641" spans="1:6">
      <c r="A3641" t="s">
        <v>3318</v>
      </c>
      <c r="B3641" t="s">
        <v>305</v>
      </c>
      <c r="C3641" t="s">
        <v>306</v>
      </c>
      <c r="D3641" t="str">
        <f>HYPERLINK("http://service.sap.com/sap/support/notes/1431787","1431787")</f>
        <v>1431787</v>
      </c>
      <c r="F3641" t="s">
        <v>3708</v>
      </c>
    </row>
    <row r="3642" spans="1:6">
      <c r="A3642" t="s">
        <v>3318</v>
      </c>
      <c r="B3642" t="s">
        <v>305</v>
      </c>
      <c r="C3642" t="s">
        <v>306</v>
      </c>
      <c r="D3642" t="str">
        <f>HYPERLINK("http://service.sap.com/sap/support/notes/1441012","1441012")</f>
        <v>1441012</v>
      </c>
      <c r="F3642" t="s">
        <v>3709</v>
      </c>
    </row>
    <row r="3643" spans="1:6">
      <c r="A3643" t="s">
        <v>3318</v>
      </c>
      <c r="B3643" t="s">
        <v>305</v>
      </c>
      <c r="C3643" t="s">
        <v>306</v>
      </c>
      <c r="D3643" t="str">
        <f>HYPERLINK("http://service.sap.com/sap/support/notes/1444015","1444015")</f>
        <v>1444015</v>
      </c>
      <c r="F3643" t="s">
        <v>3710</v>
      </c>
    </row>
    <row r="3644" spans="1:6">
      <c r="A3644" t="s">
        <v>3318</v>
      </c>
      <c r="B3644" t="s">
        <v>305</v>
      </c>
      <c r="C3644" t="s">
        <v>306</v>
      </c>
      <c r="D3644" t="str">
        <f>HYPERLINK("http://service.sap.com/sap/support/notes/1444469","1444469")</f>
        <v>1444469</v>
      </c>
      <c r="F3644" t="s">
        <v>3711</v>
      </c>
    </row>
    <row r="3645" spans="1:6">
      <c r="A3645" t="s">
        <v>3318</v>
      </c>
      <c r="B3645" t="s">
        <v>305</v>
      </c>
      <c r="C3645" t="s">
        <v>306</v>
      </c>
      <c r="D3645" t="str">
        <f>HYPERLINK("http://service.sap.com/sap/support/notes/1445021","1445021")</f>
        <v>1445021</v>
      </c>
      <c r="F3645" t="s">
        <v>3712</v>
      </c>
    </row>
    <row r="3646" spans="1:6">
      <c r="A3646" t="s">
        <v>3318</v>
      </c>
      <c r="B3646" t="s">
        <v>305</v>
      </c>
      <c r="C3646" t="s">
        <v>306</v>
      </c>
      <c r="D3646" t="str">
        <f>HYPERLINK("http://service.sap.com/sap/support/notes/1445441","1445441")</f>
        <v>1445441</v>
      </c>
      <c r="F3646" t="s">
        <v>3713</v>
      </c>
    </row>
    <row r="3647" spans="1:6">
      <c r="A3647" t="s">
        <v>3318</v>
      </c>
      <c r="B3647" t="s">
        <v>305</v>
      </c>
      <c r="C3647" t="s">
        <v>306</v>
      </c>
      <c r="D3647" t="str">
        <f>HYPERLINK("http://service.sap.com/sap/support/notes/1445963","1445963")</f>
        <v>1445963</v>
      </c>
      <c r="F3647" t="s">
        <v>3714</v>
      </c>
    </row>
    <row r="3648" spans="1:6">
      <c r="A3648" t="s">
        <v>3318</v>
      </c>
      <c r="B3648" t="s">
        <v>305</v>
      </c>
      <c r="C3648" t="s">
        <v>306</v>
      </c>
      <c r="D3648" t="str">
        <f>HYPERLINK("http://service.sap.com/sap/support/notes/1446081","1446081")</f>
        <v>1446081</v>
      </c>
      <c r="F3648" t="s">
        <v>3715</v>
      </c>
    </row>
    <row r="3649" spans="1:6">
      <c r="A3649" t="s">
        <v>3318</v>
      </c>
      <c r="B3649" t="s">
        <v>305</v>
      </c>
      <c r="C3649" t="s">
        <v>306</v>
      </c>
      <c r="D3649" t="str">
        <f>HYPERLINK("http://service.sap.com/sap/support/notes/1446623","1446623")</f>
        <v>1446623</v>
      </c>
      <c r="F3649" t="s">
        <v>3716</v>
      </c>
    </row>
    <row r="3650" spans="1:6">
      <c r="A3650" t="s">
        <v>3318</v>
      </c>
      <c r="B3650" t="s">
        <v>305</v>
      </c>
      <c r="C3650" t="s">
        <v>306</v>
      </c>
      <c r="D3650" t="str">
        <f>HYPERLINK("http://service.sap.com/sap/support/notes/1448517","1448517")</f>
        <v>1448517</v>
      </c>
      <c r="F3650" t="s">
        <v>3717</v>
      </c>
    </row>
    <row r="3651" spans="1:6">
      <c r="A3651" t="s">
        <v>3318</v>
      </c>
      <c r="B3651" t="s">
        <v>305</v>
      </c>
      <c r="C3651" t="s">
        <v>306</v>
      </c>
      <c r="D3651" t="str">
        <f>HYPERLINK("http://service.sap.com/sap/support/notes/1448757","1448757")</f>
        <v>1448757</v>
      </c>
      <c r="F3651" t="s">
        <v>3718</v>
      </c>
    </row>
    <row r="3652" spans="1:6">
      <c r="A3652" t="s">
        <v>3318</v>
      </c>
      <c r="B3652" t="s">
        <v>305</v>
      </c>
      <c r="C3652" t="s">
        <v>306</v>
      </c>
      <c r="D3652" t="str">
        <f>HYPERLINK("http://service.sap.com/sap/support/notes/1451011","1451011")</f>
        <v>1451011</v>
      </c>
      <c r="F3652" t="s">
        <v>3160</v>
      </c>
    </row>
    <row r="3653" spans="1:6">
      <c r="A3653" t="s">
        <v>3318</v>
      </c>
      <c r="B3653" t="s">
        <v>305</v>
      </c>
      <c r="C3653" t="s">
        <v>306</v>
      </c>
      <c r="D3653" t="str">
        <f>HYPERLINK("http://service.sap.com/sap/support/notes/1452129","1452129")</f>
        <v>1452129</v>
      </c>
      <c r="F3653" t="s">
        <v>3719</v>
      </c>
    </row>
    <row r="3654" spans="1:6">
      <c r="A3654" t="s">
        <v>3318</v>
      </c>
      <c r="B3654" t="s">
        <v>305</v>
      </c>
      <c r="C3654" t="s">
        <v>306</v>
      </c>
      <c r="D3654" t="str">
        <f>HYPERLINK("http://service.sap.com/sap/support/notes/1452138","1452138")</f>
        <v>1452138</v>
      </c>
      <c r="F3654" t="s">
        <v>3720</v>
      </c>
    </row>
    <row r="3655" spans="1:6">
      <c r="A3655" t="s">
        <v>3318</v>
      </c>
      <c r="B3655" t="s">
        <v>305</v>
      </c>
      <c r="C3655" t="s">
        <v>306</v>
      </c>
      <c r="D3655" t="str">
        <f>HYPERLINK("http://service.sap.com/sap/support/notes/1452148","1452148")</f>
        <v>1452148</v>
      </c>
      <c r="F3655" t="s">
        <v>3721</v>
      </c>
    </row>
    <row r="3656" spans="1:6">
      <c r="A3656" t="s">
        <v>3318</v>
      </c>
      <c r="B3656" t="s">
        <v>305</v>
      </c>
      <c r="C3656" t="s">
        <v>306</v>
      </c>
      <c r="D3656" t="str">
        <f>HYPERLINK("http://service.sap.com/sap/support/notes/1452706","1452706")</f>
        <v>1452706</v>
      </c>
      <c r="F3656" t="s">
        <v>3722</v>
      </c>
    </row>
    <row r="3657" spans="1:6">
      <c r="A3657" t="s">
        <v>3318</v>
      </c>
      <c r="B3657" t="s">
        <v>305</v>
      </c>
      <c r="C3657" t="s">
        <v>306</v>
      </c>
      <c r="D3657" t="str">
        <f>HYPERLINK("http://service.sap.com/sap/support/notes/1452710","1452710")</f>
        <v>1452710</v>
      </c>
      <c r="F3657" t="s">
        <v>3723</v>
      </c>
    </row>
    <row r="3658" spans="1:6">
      <c r="A3658" t="s">
        <v>3318</v>
      </c>
      <c r="B3658" t="s">
        <v>305</v>
      </c>
      <c r="C3658" t="s">
        <v>306</v>
      </c>
      <c r="D3658" t="str">
        <f>HYPERLINK("http://service.sap.com/sap/support/notes/1454145","1454145")</f>
        <v>1454145</v>
      </c>
      <c r="F3658" t="s">
        <v>3724</v>
      </c>
    </row>
    <row r="3659" spans="1:6">
      <c r="A3659" t="s">
        <v>3318</v>
      </c>
      <c r="B3659" t="s">
        <v>305</v>
      </c>
      <c r="C3659" t="s">
        <v>306</v>
      </c>
      <c r="D3659" t="str">
        <f>HYPERLINK("http://service.sap.com/sap/support/notes/1454617","1454617")</f>
        <v>1454617</v>
      </c>
      <c r="F3659" t="s">
        <v>3725</v>
      </c>
    </row>
    <row r="3660" spans="1:6">
      <c r="A3660" t="s">
        <v>3318</v>
      </c>
      <c r="B3660" t="s">
        <v>305</v>
      </c>
      <c r="C3660" t="s">
        <v>306</v>
      </c>
      <c r="D3660" t="str">
        <f>HYPERLINK("http://service.sap.com/sap/support/notes/1454739","1454739")</f>
        <v>1454739</v>
      </c>
      <c r="F3660" t="s">
        <v>3726</v>
      </c>
    </row>
    <row r="3661" spans="1:6">
      <c r="A3661" t="s">
        <v>3318</v>
      </c>
      <c r="B3661" t="s">
        <v>305</v>
      </c>
      <c r="C3661" t="s">
        <v>306</v>
      </c>
      <c r="D3661" t="str">
        <f>HYPERLINK("http://service.sap.com/sap/support/notes/1455195","1455195")</f>
        <v>1455195</v>
      </c>
      <c r="F3661" t="s">
        <v>3727</v>
      </c>
    </row>
    <row r="3662" spans="1:6">
      <c r="A3662" t="s">
        <v>3318</v>
      </c>
      <c r="B3662" t="s">
        <v>305</v>
      </c>
      <c r="C3662" t="s">
        <v>306</v>
      </c>
      <c r="D3662" t="str">
        <f>HYPERLINK("http://service.sap.com/sap/support/notes/1455964","1455964")</f>
        <v>1455964</v>
      </c>
      <c r="F3662" t="s">
        <v>3728</v>
      </c>
    </row>
    <row r="3663" spans="1:6">
      <c r="A3663" t="s">
        <v>3318</v>
      </c>
      <c r="B3663" t="s">
        <v>305</v>
      </c>
      <c r="C3663" t="s">
        <v>306</v>
      </c>
      <c r="D3663" t="str">
        <f>HYPERLINK("http://service.sap.com/sap/support/notes/1456927","1456927")</f>
        <v>1456927</v>
      </c>
      <c r="F3663" t="s">
        <v>3729</v>
      </c>
    </row>
    <row r="3664" spans="1:6">
      <c r="A3664" t="s">
        <v>3318</v>
      </c>
      <c r="B3664" t="s">
        <v>305</v>
      </c>
      <c r="C3664" t="s">
        <v>306</v>
      </c>
      <c r="D3664" t="str">
        <f>HYPERLINK("http://service.sap.com/sap/support/notes/1457333","1457333")</f>
        <v>1457333</v>
      </c>
      <c r="F3664" t="s">
        <v>3730</v>
      </c>
    </row>
    <row r="3665" spans="1:6">
      <c r="A3665" t="s">
        <v>3318</v>
      </c>
      <c r="B3665" t="s">
        <v>305</v>
      </c>
      <c r="C3665" t="s">
        <v>306</v>
      </c>
      <c r="D3665" t="str">
        <f>HYPERLINK("http://service.sap.com/sap/support/notes/1457340","1457340")</f>
        <v>1457340</v>
      </c>
      <c r="F3665" t="s">
        <v>3731</v>
      </c>
    </row>
    <row r="3666" spans="1:6">
      <c r="A3666" t="s">
        <v>3318</v>
      </c>
      <c r="B3666" t="s">
        <v>305</v>
      </c>
      <c r="C3666" t="s">
        <v>306</v>
      </c>
      <c r="D3666" t="str">
        <f>HYPERLINK("http://service.sap.com/sap/support/notes/1457374","1457374")</f>
        <v>1457374</v>
      </c>
      <c r="F3666" t="s">
        <v>3732</v>
      </c>
    </row>
    <row r="3667" spans="1:6">
      <c r="A3667" t="s">
        <v>3318</v>
      </c>
      <c r="B3667" t="s">
        <v>305</v>
      </c>
      <c r="C3667" t="s">
        <v>306</v>
      </c>
      <c r="D3667" t="str">
        <f>HYPERLINK("http://service.sap.com/sap/support/notes/1457905","1457905")</f>
        <v>1457905</v>
      </c>
      <c r="F3667" t="s">
        <v>3733</v>
      </c>
    </row>
    <row r="3668" spans="1:6">
      <c r="A3668" t="s">
        <v>3318</v>
      </c>
      <c r="B3668" t="s">
        <v>305</v>
      </c>
      <c r="C3668" t="s">
        <v>306</v>
      </c>
      <c r="D3668" t="str">
        <f>HYPERLINK("http://service.sap.com/sap/support/notes/1458660","1458660")</f>
        <v>1458660</v>
      </c>
      <c r="F3668" t="s">
        <v>3734</v>
      </c>
    </row>
    <row r="3669" spans="1:6">
      <c r="A3669" t="s">
        <v>3318</v>
      </c>
      <c r="B3669" t="s">
        <v>305</v>
      </c>
      <c r="C3669" t="s">
        <v>306</v>
      </c>
      <c r="D3669" t="str">
        <f>HYPERLINK("http://service.sap.com/sap/support/notes/1458849","1458849")</f>
        <v>1458849</v>
      </c>
      <c r="F3669" t="s">
        <v>3735</v>
      </c>
    </row>
    <row r="3670" spans="1:6">
      <c r="A3670" t="s">
        <v>3318</v>
      </c>
      <c r="B3670" t="s">
        <v>305</v>
      </c>
      <c r="C3670" t="s">
        <v>306</v>
      </c>
      <c r="D3670" t="str">
        <f>HYPERLINK("http://service.sap.com/sap/support/notes/1459321","1459321")</f>
        <v>1459321</v>
      </c>
      <c r="F3670" t="s">
        <v>3736</v>
      </c>
    </row>
    <row r="3671" spans="1:6">
      <c r="A3671" t="s">
        <v>3318</v>
      </c>
      <c r="B3671" t="s">
        <v>305</v>
      </c>
      <c r="C3671" t="s">
        <v>306</v>
      </c>
      <c r="D3671" t="str">
        <f>HYPERLINK("http://service.sap.com/sap/support/notes/1460765","1460765")</f>
        <v>1460765</v>
      </c>
      <c r="F3671" t="s">
        <v>3737</v>
      </c>
    </row>
    <row r="3672" spans="1:6">
      <c r="A3672" t="s">
        <v>3318</v>
      </c>
      <c r="B3672" t="s">
        <v>305</v>
      </c>
      <c r="C3672" t="s">
        <v>306</v>
      </c>
      <c r="D3672" t="str">
        <f>HYPERLINK("http://service.sap.com/sap/support/notes/1460769","1460769")</f>
        <v>1460769</v>
      </c>
      <c r="F3672" t="s">
        <v>3738</v>
      </c>
    </row>
    <row r="3673" spans="1:6">
      <c r="A3673" t="s">
        <v>3318</v>
      </c>
      <c r="B3673" t="s">
        <v>305</v>
      </c>
      <c r="C3673" t="s">
        <v>306</v>
      </c>
      <c r="D3673" t="str">
        <f>HYPERLINK("http://service.sap.com/sap/support/notes/1460775","1460775")</f>
        <v>1460775</v>
      </c>
      <c r="F3673" t="s">
        <v>3739</v>
      </c>
    </row>
    <row r="3674" spans="1:6">
      <c r="A3674" t="s">
        <v>3318</v>
      </c>
      <c r="B3674" t="s">
        <v>305</v>
      </c>
      <c r="C3674" t="s">
        <v>306</v>
      </c>
      <c r="D3674" t="str">
        <f>HYPERLINK("http://service.sap.com/sap/support/notes/1462109","1462109")</f>
        <v>1462109</v>
      </c>
      <c r="F3674" t="s">
        <v>3740</v>
      </c>
    </row>
    <row r="3675" spans="1:6">
      <c r="A3675" t="s">
        <v>3318</v>
      </c>
      <c r="B3675" t="s">
        <v>305</v>
      </c>
      <c r="C3675" t="s">
        <v>306</v>
      </c>
      <c r="D3675" t="str">
        <f>HYPERLINK("http://service.sap.com/sap/support/notes/1462706","1462706")</f>
        <v>1462706</v>
      </c>
      <c r="F3675" t="s">
        <v>3741</v>
      </c>
    </row>
    <row r="3676" spans="1:6">
      <c r="A3676" t="s">
        <v>3318</v>
      </c>
      <c r="B3676" t="s">
        <v>305</v>
      </c>
      <c r="C3676" t="s">
        <v>306</v>
      </c>
      <c r="D3676" t="str">
        <f>HYPERLINK("http://service.sap.com/sap/support/notes/1462756","1462756")</f>
        <v>1462756</v>
      </c>
      <c r="F3676" t="s">
        <v>3742</v>
      </c>
    </row>
    <row r="3677" spans="1:6">
      <c r="A3677" t="s">
        <v>3318</v>
      </c>
      <c r="B3677" t="s">
        <v>305</v>
      </c>
      <c r="C3677" t="s">
        <v>306</v>
      </c>
      <c r="D3677" t="str">
        <f>HYPERLINK("http://service.sap.com/sap/support/notes/1463264","1463264")</f>
        <v>1463264</v>
      </c>
      <c r="F3677" t="s">
        <v>3743</v>
      </c>
    </row>
    <row r="3678" spans="1:6">
      <c r="A3678" t="s">
        <v>3318</v>
      </c>
      <c r="B3678" t="s">
        <v>305</v>
      </c>
      <c r="C3678" t="s">
        <v>306</v>
      </c>
      <c r="D3678" t="str">
        <f>HYPERLINK("http://service.sap.com/sap/support/notes/1463268","1463268")</f>
        <v>1463268</v>
      </c>
      <c r="F3678" t="s">
        <v>3744</v>
      </c>
    </row>
    <row r="3679" spans="1:6">
      <c r="A3679" t="s">
        <v>3318</v>
      </c>
      <c r="B3679" t="s">
        <v>305</v>
      </c>
      <c r="C3679" t="s">
        <v>306</v>
      </c>
      <c r="D3679" t="str">
        <f>HYPERLINK("http://service.sap.com/sap/support/notes/1463270","1463270")</f>
        <v>1463270</v>
      </c>
      <c r="F3679" t="s">
        <v>3745</v>
      </c>
    </row>
    <row r="3680" spans="1:6">
      <c r="A3680" t="s">
        <v>3318</v>
      </c>
      <c r="B3680" t="s">
        <v>305</v>
      </c>
      <c r="C3680" t="s">
        <v>306</v>
      </c>
      <c r="D3680" t="str">
        <f>HYPERLINK("http://service.sap.com/sap/support/notes/1464296","1464296")</f>
        <v>1464296</v>
      </c>
      <c r="F3680" t="s">
        <v>3746</v>
      </c>
    </row>
    <row r="3681" spans="1:6">
      <c r="A3681" t="s">
        <v>3318</v>
      </c>
      <c r="B3681" t="s">
        <v>305</v>
      </c>
      <c r="C3681" t="s">
        <v>306</v>
      </c>
      <c r="D3681" t="str">
        <f>HYPERLINK("http://service.sap.com/sap/support/notes/1465621","1465621")</f>
        <v>1465621</v>
      </c>
      <c r="F3681" t="s">
        <v>3747</v>
      </c>
    </row>
    <row r="3682" spans="1:6">
      <c r="A3682" t="s">
        <v>3318</v>
      </c>
      <c r="B3682" t="s">
        <v>305</v>
      </c>
      <c r="C3682" t="s">
        <v>306</v>
      </c>
      <c r="D3682" t="str">
        <f>HYPERLINK("http://service.sap.com/sap/support/notes/1465647","1465647")</f>
        <v>1465647</v>
      </c>
      <c r="F3682" t="s">
        <v>3748</v>
      </c>
    </row>
    <row r="3683" spans="1:6">
      <c r="A3683" t="s">
        <v>3318</v>
      </c>
      <c r="B3683" t="s">
        <v>305</v>
      </c>
      <c r="C3683" t="s">
        <v>306</v>
      </c>
      <c r="D3683" t="str">
        <f>HYPERLINK("http://service.sap.com/sap/support/notes/1465703","1465703")</f>
        <v>1465703</v>
      </c>
      <c r="F3683" t="s">
        <v>3749</v>
      </c>
    </row>
    <row r="3684" spans="1:6">
      <c r="A3684" t="s">
        <v>3318</v>
      </c>
      <c r="B3684" t="s">
        <v>305</v>
      </c>
      <c r="C3684" t="s">
        <v>306</v>
      </c>
      <c r="D3684" t="str">
        <f>HYPERLINK("http://service.sap.com/sap/support/notes/1466160","1466160")</f>
        <v>1466160</v>
      </c>
      <c r="F3684" t="s">
        <v>3750</v>
      </c>
    </row>
    <row r="3685" spans="1:6">
      <c r="A3685" t="s">
        <v>3318</v>
      </c>
      <c r="B3685" t="s">
        <v>305</v>
      </c>
      <c r="C3685" t="s">
        <v>306</v>
      </c>
      <c r="D3685" t="str">
        <f>HYPERLINK("http://service.sap.com/sap/support/notes/1468042","1468042")</f>
        <v>1468042</v>
      </c>
      <c r="F3685" t="s">
        <v>3751</v>
      </c>
    </row>
    <row r="3686" spans="1:6">
      <c r="A3686" t="s">
        <v>3318</v>
      </c>
      <c r="B3686" t="s">
        <v>305</v>
      </c>
      <c r="C3686" t="s">
        <v>306</v>
      </c>
      <c r="D3686" t="str">
        <f>HYPERLINK("http://service.sap.com/sap/support/notes/1468088","1468088")</f>
        <v>1468088</v>
      </c>
      <c r="F3686" t="s">
        <v>3752</v>
      </c>
    </row>
    <row r="3687" spans="1:6">
      <c r="A3687" t="s">
        <v>3318</v>
      </c>
      <c r="B3687" t="s">
        <v>305</v>
      </c>
      <c r="C3687" t="s">
        <v>306</v>
      </c>
      <c r="D3687" t="str">
        <f>HYPERLINK("http://service.sap.com/sap/support/notes/1468151","1468151")</f>
        <v>1468151</v>
      </c>
      <c r="F3687" t="s">
        <v>3753</v>
      </c>
    </row>
    <row r="3688" spans="1:6">
      <c r="A3688" t="s">
        <v>3318</v>
      </c>
      <c r="B3688" t="s">
        <v>305</v>
      </c>
      <c r="C3688" t="s">
        <v>306</v>
      </c>
      <c r="D3688" t="str">
        <f>HYPERLINK("http://service.sap.com/sap/support/notes/1471506","1471506")</f>
        <v>1471506</v>
      </c>
      <c r="F3688" t="s">
        <v>3754</v>
      </c>
    </row>
    <row r="3689" spans="1:6">
      <c r="A3689" t="s">
        <v>3318</v>
      </c>
      <c r="B3689" t="s">
        <v>352</v>
      </c>
      <c r="C3689" t="s">
        <v>353</v>
      </c>
      <c r="D3689" t="str">
        <f>HYPERLINK("http://service.sap.com/sap/support/notes/1456155","1456155")</f>
        <v>1456155</v>
      </c>
      <c r="F3689" t="s">
        <v>3755</v>
      </c>
    </row>
    <row r="3690" spans="1:6">
      <c r="A3690" t="s">
        <v>3318</v>
      </c>
      <c r="B3690" t="s">
        <v>352</v>
      </c>
      <c r="C3690" t="s">
        <v>353</v>
      </c>
      <c r="D3690" t="str">
        <f>HYPERLINK("http://service.sap.com/sap/support/notes/1460958","1460958")</f>
        <v>1460958</v>
      </c>
      <c r="F3690" t="s">
        <v>3756</v>
      </c>
    </row>
    <row r="3691" spans="1:6">
      <c r="A3691" t="s">
        <v>3318</v>
      </c>
      <c r="B3691" t="s">
        <v>352</v>
      </c>
      <c r="C3691" t="s">
        <v>353</v>
      </c>
      <c r="D3691" t="str">
        <f>HYPERLINK("http://service.sap.com/sap/support/notes/1463260","1463260")</f>
        <v>1463260</v>
      </c>
      <c r="F3691" t="s">
        <v>3757</v>
      </c>
    </row>
    <row r="3692" spans="1:6">
      <c r="A3692" t="s">
        <v>3318</v>
      </c>
      <c r="B3692" t="s">
        <v>352</v>
      </c>
      <c r="C3692" t="s">
        <v>353</v>
      </c>
      <c r="D3692" t="str">
        <f>HYPERLINK("http://service.sap.com/sap/support/notes/1465348","1465348")</f>
        <v>1465348</v>
      </c>
      <c r="F3692" t="s">
        <v>3758</v>
      </c>
    </row>
    <row r="3693" spans="1:6">
      <c r="A3693" t="s">
        <v>3318</v>
      </c>
      <c r="B3693" t="s">
        <v>357</v>
      </c>
      <c r="C3693" t="s">
        <v>76</v>
      </c>
      <c r="D3693" t="str">
        <f>HYPERLINK("http://service.sap.com/sap/support/notes/1314250","1314250")</f>
        <v>1314250</v>
      </c>
      <c r="F3693" t="s">
        <v>3759</v>
      </c>
    </row>
    <row r="3694" spans="1:6">
      <c r="A3694" t="s">
        <v>3318</v>
      </c>
      <c r="B3694" t="s">
        <v>357</v>
      </c>
      <c r="C3694" t="s">
        <v>76</v>
      </c>
      <c r="D3694" t="str">
        <f>HYPERLINK("http://service.sap.com/sap/support/notes/1410934","1410934")</f>
        <v>1410934</v>
      </c>
      <c r="F3694" t="s">
        <v>3760</v>
      </c>
    </row>
    <row r="3695" spans="1:6">
      <c r="A3695" t="s">
        <v>3318</v>
      </c>
      <c r="B3695" t="s">
        <v>357</v>
      </c>
      <c r="C3695" t="s">
        <v>76</v>
      </c>
      <c r="D3695" t="str">
        <f>HYPERLINK("http://service.sap.com/sap/support/notes/1455846","1455846")</f>
        <v>1455846</v>
      </c>
      <c r="F3695" t="s">
        <v>3761</v>
      </c>
    </row>
    <row r="3696" spans="1:6">
      <c r="A3696" t="s">
        <v>3318</v>
      </c>
      <c r="B3696" t="s">
        <v>357</v>
      </c>
      <c r="C3696" t="s">
        <v>76</v>
      </c>
      <c r="D3696" t="str">
        <f>HYPERLINK("http://service.sap.com/sap/support/notes/1463059","1463059")</f>
        <v>1463059</v>
      </c>
      <c r="F3696" t="s">
        <v>3762</v>
      </c>
    </row>
    <row r="3697" spans="1:6">
      <c r="A3697" t="s">
        <v>3318</v>
      </c>
      <c r="B3697" t="s">
        <v>357</v>
      </c>
      <c r="C3697" t="s">
        <v>76</v>
      </c>
      <c r="D3697" t="str">
        <f>HYPERLINK("http://service.sap.com/sap/support/notes/1463132","1463132")</f>
        <v>1463132</v>
      </c>
      <c r="F3697" t="s">
        <v>3763</v>
      </c>
    </row>
    <row r="3698" spans="1:6">
      <c r="A3698" t="s">
        <v>3318</v>
      </c>
      <c r="B3698" t="s">
        <v>357</v>
      </c>
      <c r="C3698" t="s">
        <v>76</v>
      </c>
      <c r="D3698" t="str">
        <f>HYPERLINK("http://service.sap.com/sap/support/notes/1464045","1464045")</f>
        <v>1464045</v>
      </c>
      <c r="F3698" t="s">
        <v>3764</v>
      </c>
    </row>
    <row r="3699" spans="1:6">
      <c r="A3699" t="s">
        <v>3318</v>
      </c>
      <c r="B3699" t="s">
        <v>357</v>
      </c>
      <c r="C3699" t="s">
        <v>76</v>
      </c>
      <c r="D3699" t="str">
        <f>HYPERLINK("http://service.sap.com/sap/support/notes/1464569","1464569")</f>
        <v>1464569</v>
      </c>
      <c r="F3699" t="s">
        <v>3765</v>
      </c>
    </row>
    <row r="3700" spans="1:6">
      <c r="A3700" t="s">
        <v>3318</v>
      </c>
      <c r="B3700" t="s">
        <v>357</v>
      </c>
      <c r="C3700" t="s">
        <v>76</v>
      </c>
      <c r="D3700" t="str">
        <f>HYPERLINK("http://service.sap.com/sap/support/notes/1464622","1464622")</f>
        <v>1464622</v>
      </c>
      <c r="F3700" t="s">
        <v>3766</v>
      </c>
    </row>
    <row r="3701" spans="1:6">
      <c r="A3701" t="s">
        <v>3318</v>
      </c>
      <c r="B3701" t="s">
        <v>357</v>
      </c>
      <c r="C3701" t="s">
        <v>76</v>
      </c>
      <c r="D3701" t="str">
        <f>HYPERLINK("http://service.sap.com/sap/support/notes/1467919","1467919")</f>
        <v>1467919</v>
      </c>
      <c r="F3701" t="s">
        <v>3767</v>
      </c>
    </row>
    <row r="3702" spans="1:6">
      <c r="A3702" t="s">
        <v>3318</v>
      </c>
      <c r="B3702" t="s">
        <v>357</v>
      </c>
      <c r="C3702" t="s">
        <v>76</v>
      </c>
      <c r="D3702" t="str">
        <f>HYPERLINK("http://service.sap.com/sap/support/notes/1469748","1469748")</f>
        <v>1469748</v>
      </c>
      <c r="F3702" t="s">
        <v>3768</v>
      </c>
    </row>
    <row r="3703" spans="1:6">
      <c r="A3703" t="s">
        <v>3318</v>
      </c>
      <c r="B3703" t="s">
        <v>357</v>
      </c>
      <c r="C3703" t="s">
        <v>76</v>
      </c>
      <c r="D3703" t="str">
        <f>HYPERLINK("http://service.sap.com/sap/support/notes/1470282","1470282")</f>
        <v>1470282</v>
      </c>
      <c r="F3703" t="s">
        <v>3769</v>
      </c>
    </row>
    <row r="3704" spans="1:6">
      <c r="A3704" t="s">
        <v>3318</v>
      </c>
      <c r="B3704" t="s">
        <v>3770</v>
      </c>
      <c r="C3704" t="s">
        <v>3771</v>
      </c>
      <c r="D3704" t="str">
        <f>HYPERLINK("http://service.sap.com/sap/support/notes/1460520","1460520")</f>
        <v>1460520</v>
      </c>
      <c r="F3704" t="s">
        <v>3772</v>
      </c>
    </row>
    <row r="3705" spans="1:6">
      <c r="A3705" t="s">
        <v>3318</v>
      </c>
      <c r="B3705" t="s">
        <v>367</v>
      </c>
      <c r="C3705" t="s">
        <v>189</v>
      </c>
      <c r="D3705" t="str">
        <f>HYPERLINK("http://service.sap.com/sap/support/notes/1455782","1455782")</f>
        <v>1455782</v>
      </c>
      <c r="F3705" t="s">
        <v>3773</v>
      </c>
    </row>
    <row r="3706" spans="1:6">
      <c r="A3706" t="s">
        <v>3318</v>
      </c>
      <c r="B3706" t="s">
        <v>367</v>
      </c>
      <c r="C3706" t="s">
        <v>189</v>
      </c>
      <c r="D3706" t="str">
        <f>HYPERLINK("http://service.sap.com/sap/support/notes/1464933","1464933")</f>
        <v>1464933</v>
      </c>
      <c r="F3706" t="s">
        <v>3774</v>
      </c>
    </row>
    <row r="3707" spans="1:6">
      <c r="A3707" t="s">
        <v>3318</v>
      </c>
      <c r="B3707" t="s">
        <v>369</v>
      </c>
    </row>
    <row r="3708" spans="1:6">
      <c r="A3708" t="s">
        <v>3318</v>
      </c>
      <c r="B3708" t="s">
        <v>1170</v>
      </c>
    </row>
    <row r="3709" spans="1:6">
      <c r="A3709" t="s">
        <v>3318</v>
      </c>
      <c r="B3709" t="s">
        <v>1171</v>
      </c>
      <c r="C3709" t="s">
        <v>1172</v>
      </c>
      <c r="D3709" t="str">
        <f>HYPERLINK("http://service.sap.com/sap/support/notes/1445975","1445975")</f>
        <v>1445975</v>
      </c>
      <c r="F3709" t="s">
        <v>3775</v>
      </c>
    </row>
    <row r="3710" spans="1:6">
      <c r="A3710" t="s">
        <v>3318</v>
      </c>
      <c r="B3710" t="s">
        <v>374</v>
      </c>
      <c r="C3710" t="s">
        <v>189</v>
      </c>
      <c r="D3710" t="str">
        <f>HYPERLINK("http://service.sap.com/sap/support/notes/1461840","1461840")</f>
        <v>1461840</v>
      </c>
      <c r="F3710" t="s">
        <v>3776</v>
      </c>
    </row>
    <row r="3711" spans="1:6">
      <c r="A3711" t="s">
        <v>3318</v>
      </c>
      <c r="B3711" t="s">
        <v>374</v>
      </c>
      <c r="C3711" t="s">
        <v>189</v>
      </c>
      <c r="D3711" t="str">
        <f>HYPERLINK("http://service.sap.com/sap/support/notes/1468486","1468486")</f>
        <v>1468486</v>
      </c>
      <c r="F3711" t="s">
        <v>3777</v>
      </c>
    </row>
    <row r="3712" spans="1:6">
      <c r="A3712" t="s">
        <v>3318</v>
      </c>
      <c r="B3712" t="s">
        <v>385</v>
      </c>
    </row>
    <row r="3713" spans="1:6">
      <c r="A3713" t="s">
        <v>3318</v>
      </c>
      <c r="B3713" t="s">
        <v>386</v>
      </c>
      <c r="C3713" t="s">
        <v>387</v>
      </c>
      <c r="D3713" t="str">
        <f>HYPERLINK("http://service.sap.com/sap/support/notes/1422534","1422534")</f>
        <v>1422534</v>
      </c>
      <c r="F3713" t="s">
        <v>3778</v>
      </c>
    </row>
    <row r="3714" spans="1:6">
      <c r="A3714" t="s">
        <v>3318</v>
      </c>
      <c r="B3714" t="s">
        <v>386</v>
      </c>
      <c r="C3714" t="s">
        <v>387</v>
      </c>
      <c r="D3714" t="str">
        <f>HYPERLINK("http://service.sap.com/sap/support/notes/1435894","1435894")</f>
        <v>1435894</v>
      </c>
      <c r="F3714" t="s">
        <v>3779</v>
      </c>
    </row>
    <row r="3715" spans="1:6">
      <c r="A3715" t="s">
        <v>3318</v>
      </c>
      <c r="B3715" t="s">
        <v>386</v>
      </c>
      <c r="C3715" t="s">
        <v>387</v>
      </c>
      <c r="D3715" t="str">
        <f>HYPERLINK("http://service.sap.com/sap/support/notes/1449214","1449214")</f>
        <v>1449214</v>
      </c>
      <c r="F3715" t="s">
        <v>3780</v>
      </c>
    </row>
    <row r="3716" spans="1:6">
      <c r="A3716" t="s">
        <v>3318</v>
      </c>
      <c r="B3716" t="s">
        <v>386</v>
      </c>
      <c r="C3716" t="s">
        <v>387</v>
      </c>
      <c r="D3716" t="str">
        <f>HYPERLINK("http://service.sap.com/sap/support/notes/1462600","1462600")</f>
        <v>1462600</v>
      </c>
      <c r="F3716" t="s">
        <v>3781</v>
      </c>
    </row>
    <row r="3717" spans="1:6">
      <c r="A3717" t="s">
        <v>3318</v>
      </c>
      <c r="B3717" t="s">
        <v>386</v>
      </c>
      <c r="C3717" t="s">
        <v>387</v>
      </c>
      <c r="D3717" t="str">
        <f>HYPERLINK("http://service.sap.com/sap/support/notes/1463428","1463428")</f>
        <v>1463428</v>
      </c>
      <c r="F3717" t="s">
        <v>3782</v>
      </c>
    </row>
    <row r="3718" spans="1:6">
      <c r="A3718" t="s">
        <v>3318</v>
      </c>
      <c r="B3718" t="s">
        <v>386</v>
      </c>
      <c r="C3718" t="s">
        <v>387</v>
      </c>
      <c r="D3718" t="str">
        <f>HYPERLINK("http://service.sap.com/sap/support/notes/1466400","1466400")</f>
        <v>1466400</v>
      </c>
      <c r="F3718" t="s">
        <v>3783</v>
      </c>
    </row>
    <row r="3719" spans="1:6">
      <c r="A3719" t="s">
        <v>3318</v>
      </c>
      <c r="B3719" t="s">
        <v>391</v>
      </c>
      <c r="C3719" t="s">
        <v>392</v>
      </c>
      <c r="D3719" t="str">
        <f>HYPERLINK("http://service.sap.com/sap/support/notes/1466351","1466351")</f>
        <v>1466351</v>
      </c>
      <c r="F3719" t="s">
        <v>3784</v>
      </c>
    </row>
    <row r="3720" spans="1:6">
      <c r="A3720" t="s">
        <v>3318</v>
      </c>
      <c r="B3720" t="s">
        <v>391</v>
      </c>
      <c r="C3720" t="s">
        <v>392</v>
      </c>
      <c r="D3720" t="str">
        <f>HYPERLINK("http://service.sap.com/sap/support/notes/1466914","1466914")</f>
        <v>1466914</v>
      </c>
      <c r="F3720" t="s">
        <v>3785</v>
      </c>
    </row>
    <row r="3721" spans="1:6">
      <c r="A3721" t="s">
        <v>3318</v>
      </c>
      <c r="B3721" t="s">
        <v>391</v>
      </c>
      <c r="C3721" t="s">
        <v>392</v>
      </c>
      <c r="D3721" t="str">
        <f>HYPERLINK("http://service.sap.com/sap/support/notes/1467751","1467751")</f>
        <v>1467751</v>
      </c>
      <c r="F3721" t="s">
        <v>3786</v>
      </c>
    </row>
    <row r="3722" spans="1:6">
      <c r="A3722" t="s">
        <v>3318</v>
      </c>
      <c r="B3722" t="s">
        <v>391</v>
      </c>
      <c r="C3722" t="s">
        <v>392</v>
      </c>
      <c r="D3722" t="str">
        <f>HYPERLINK("http://service.sap.com/sap/support/notes/1468972","1468972")</f>
        <v>1468972</v>
      </c>
      <c r="F3722" t="s">
        <v>3787</v>
      </c>
    </row>
    <row r="3723" spans="1:6">
      <c r="A3723" t="s">
        <v>3318</v>
      </c>
      <c r="B3723" t="s">
        <v>397</v>
      </c>
      <c r="C3723" t="s">
        <v>398</v>
      </c>
      <c r="D3723" t="str">
        <f>HYPERLINK("http://service.sap.com/sap/support/notes/1466468","1466468")</f>
        <v>1466468</v>
      </c>
      <c r="F3723" t="s">
        <v>3788</v>
      </c>
    </row>
    <row r="3724" spans="1:6">
      <c r="A3724" t="s">
        <v>3318</v>
      </c>
      <c r="B3724" t="s">
        <v>401</v>
      </c>
      <c r="C3724" t="s">
        <v>402</v>
      </c>
      <c r="D3724" t="str">
        <f>HYPERLINK("http://service.sap.com/sap/support/notes/1442432","1442432")</f>
        <v>1442432</v>
      </c>
      <c r="F3724" t="s">
        <v>3789</v>
      </c>
    </row>
    <row r="3725" spans="1:6">
      <c r="A3725" t="s">
        <v>3318</v>
      </c>
      <c r="B3725" t="s">
        <v>401</v>
      </c>
      <c r="C3725" t="s">
        <v>402</v>
      </c>
      <c r="D3725" t="str">
        <f>HYPERLINK("http://service.sap.com/sap/support/notes/1471792","1471792")</f>
        <v>1471792</v>
      </c>
      <c r="F3725" t="s">
        <v>3790</v>
      </c>
    </row>
    <row r="3726" spans="1:6">
      <c r="A3726" t="s">
        <v>3318</v>
      </c>
      <c r="B3726" t="s">
        <v>3791</v>
      </c>
    </row>
    <row r="3727" spans="1:6">
      <c r="A3727" t="s">
        <v>3318</v>
      </c>
      <c r="B3727" t="s">
        <v>3792</v>
      </c>
      <c r="C3727" t="s">
        <v>387</v>
      </c>
      <c r="D3727" t="str">
        <f>HYPERLINK("http://service.sap.com/sap/support/notes/1444030","1444030")</f>
        <v>1444030</v>
      </c>
      <c r="F3727" t="s">
        <v>3793</v>
      </c>
    </row>
    <row r="3728" spans="1:6">
      <c r="A3728" t="s">
        <v>3318</v>
      </c>
      <c r="B3728" t="s">
        <v>410</v>
      </c>
      <c r="C3728" t="s">
        <v>411</v>
      </c>
      <c r="D3728" t="str">
        <f>HYPERLINK("http://service.sap.com/sap/support/notes/778621","778621")</f>
        <v>778621</v>
      </c>
      <c r="F3728" t="s">
        <v>2506</v>
      </c>
    </row>
    <row r="3729" spans="1:6">
      <c r="A3729" t="s">
        <v>3318</v>
      </c>
      <c r="B3729" t="s">
        <v>410</v>
      </c>
      <c r="C3729" t="s">
        <v>411</v>
      </c>
      <c r="D3729" t="str">
        <f>HYPERLINK("http://service.sap.com/sap/support/notes/1337155","1337155")</f>
        <v>1337155</v>
      </c>
      <c r="F3729" t="s">
        <v>3206</v>
      </c>
    </row>
    <row r="3730" spans="1:6">
      <c r="A3730" t="s">
        <v>3318</v>
      </c>
      <c r="B3730" t="s">
        <v>410</v>
      </c>
      <c r="C3730" t="s">
        <v>411</v>
      </c>
      <c r="D3730" t="str">
        <f>HYPERLINK("http://service.sap.com/sap/support/notes/1388909","1388909")</f>
        <v>1388909</v>
      </c>
      <c r="F3730" t="s">
        <v>3794</v>
      </c>
    </row>
    <row r="3731" spans="1:6">
      <c r="A3731" t="s">
        <v>3318</v>
      </c>
      <c r="B3731" t="s">
        <v>410</v>
      </c>
      <c r="C3731" t="s">
        <v>411</v>
      </c>
      <c r="D3731" t="str">
        <f>HYPERLINK("http://service.sap.com/sap/support/notes/1417496","1417496")</f>
        <v>1417496</v>
      </c>
      <c r="F3731" t="s">
        <v>3795</v>
      </c>
    </row>
    <row r="3732" spans="1:6">
      <c r="A3732" t="s">
        <v>3318</v>
      </c>
      <c r="B3732" t="s">
        <v>410</v>
      </c>
      <c r="C3732" t="s">
        <v>411</v>
      </c>
      <c r="D3732" t="str">
        <f>HYPERLINK("http://service.sap.com/sap/support/notes/1435103","1435103")</f>
        <v>1435103</v>
      </c>
      <c r="F3732" t="s">
        <v>2522</v>
      </c>
    </row>
    <row r="3733" spans="1:6">
      <c r="A3733" t="s">
        <v>3318</v>
      </c>
      <c r="B3733" t="s">
        <v>410</v>
      </c>
      <c r="C3733" t="s">
        <v>411</v>
      </c>
      <c r="D3733" t="str">
        <f>HYPERLINK("http://service.sap.com/sap/support/notes/1436030","1436030")</f>
        <v>1436030</v>
      </c>
      <c r="F3733" t="s">
        <v>3796</v>
      </c>
    </row>
    <row r="3734" spans="1:6">
      <c r="A3734" t="s">
        <v>3318</v>
      </c>
      <c r="B3734" t="s">
        <v>410</v>
      </c>
      <c r="C3734" t="s">
        <v>411</v>
      </c>
      <c r="D3734" t="str">
        <f>HYPERLINK("http://service.sap.com/sap/support/notes/1446390","1446390")</f>
        <v>1446390</v>
      </c>
      <c r="F3734" t="s">
        <v>3797</v>
      </c>
    </row>
    <row r="3735" spans="1:6">
      <c r="A3735" t="s">
        <v>3318</v>
      </c>
      <c r="B3735" t="s">
        <v>410</v>
      </c>
      <c r="C3735" t="s">
        <v>411</v>
      </c>
      <c r="D3735" t="str">
        <f>HYPERLINK("http://service.sap.com/sap/support/notes/1450471","1450471")</f>
        <v>1450471</v>
      </c>
      <c r="F3735" t="s">
        <v>3798</v>
      </c>
    </row>
    <row r="3736" spans="1:6">
      <c r="A3736" t="s">
        <v>3318</v>
      </c>
      <c r="B3736" t="s">
        <v>410</v>
      </c>
      <c r="C3736" t="s">
        <v>411</v>
      </c>
      <c r="D3736" t="str">
        <f>HYPERLINK("http://service.sap.com/sap/support/notes/1454345","1454345")</f>
        <v>1454345</v>
      </c>
      <c r="F3736" t="s">
        <v>3799</v>
      </c>
    </row>
    <row r="3737" spans="1:6">
      <c r="A3737" t="s">
        <v>3318</v>
      </c>
      <c r="B3737" t="s">
        <v>410</v>
      </c>
      <c r="C3737" t="s">
        <v>411</v>
      </c>
      <c r="D3737" t="str">
        <f>HYPERLINK("http://service.sap.com/sap/support/notes/1455400","1455400")</f>
        <v>1455400</v>
      </c>
      <c r="F3737" t="s">
        <v>3800</v>
      </c>
    </row>
    <row r="3738" spans="1:6">
      <c r="A3738" t="s">
        <v>3318</v>
      </c>
      <c r="B3738" t="s">
        <v>410</v>
      </c>
      <c r="C3738" t="s">
        <v>411</v>
      </c>
      <c r="D3738" t="str">
        <f>HYPERLINK("http://service.sap.com/sap/support/notes/1457133","1457133")</f>
        <v>1457133</v>
      </c>
      <c r="F3738" t="s">
        <v>3801</v>
      </c>
    </row>
    <row r="3739" spans="1:6">
      <c r="A3739" t="s">
        <v>3318</v>
      </c>
      <c r="B3739" t="s">
        <v>410</v>
      </c>
      <c r="C3739" t="s">
        <v>411</v>
      </c>
      <c r="D3739" t="str">
        <f>HYPERLINK("http://service.sap.com/sap/support/notes/1457907","1457907")</f>
        <v>1457907</v>
      </c>
      <c r="F3739" t="s">
        <v>3802</v>
      </c>
    </row>
    <row r="3740" spans="1:6">
      <c r="A3740" t="s">
        <v>3318</v>
      </c>
      <c r="B3740" t="s">
        <v>410</v>
      </c>
      <c r="C3740" t="s">
        <v>411</v>
      </c>
      <c r="D3740" t="str">
        <f>HYPERLINK("http://service.sap.com/sap/support/notes/1457949","1457949")</f>
        <v>1457949</v>
      </c>
      <c r="F3740" t="s">
        <v>3803</v>
      </c>
    </row>
    <row r="3741" spans="1:6">
      <c r="A3741" t="s">
        <v>3318</v>
      </c>
      <c r="B3741" t="s">
        <v>410</v>
      </c>
      <c r="C3741" t="s">
        <v>411</v>
      </c>
      <c r="D3741" t="str">
        <f>HYPERLINK("http://service.sap.com/sap/support/notes/1458516","1458516")</f>
        <v>1458516</v>
      </c>
      <c r="F3741" t="s">
        <v>3804</v>
      </c>
    </row>
    <row r="3742" spans="1:6">
      <c r="A3742" t="s">
        <v>3318</v>
      </c>
      <c r="B3742" t="s">
        <v>410</v>
      </c>
      <c r="C3742" t="s">
        <v>411</v>
      </c>
      <c r="D3742" t="str">
        <f>HYPERLINK("http://service.sap.com/sap/support/notes/1460334","1460334")</f>
        <v>1460334</v>
      </c>
      <c r="F3742" t="s">
        <v>3805</v>
      </c>
    </row>
    <row r="3743" spans="1:6">
      <c r="A3743" t="s">
        <v>3318</v>
      </c>
      <c r="B3743" t="s">
        <v>410</v>
      </c>
      <c r="C3743" t="s">
        <v>411</v>
      </c>
      <c r="D3743" t="str">
        <f>HYPERLINK("http://service.sap.com/sap/support/notes/1460488","1460488")</f>
        <v>1460488</v>
      </c>
      <c r="F3743" t="s">
        <v>3806</v>
      </c>
    </row>
    <row r="3744" spans="1:6">
      <c r="A3744" t="s">
        <v>3318</v>
      </c>
      <c r="B3744" t="s">
        <v>410</v>
      </c>
      <c r="C3744" t="s">
        <v>411</v>
      </c>
      <c r="D3744" t="str">
        <f>HYPERLINK("http://service.sap.com/sap/support/notes/1460919","1460919")</f>
        <v>1460919</v>
      </c>
      <c r="F3744" t="s">
        <v>3225</v>
      </c>
    </row>
    <row r="3745" spans="1:6">
      <c r="A3745" t="s">
        <v>3318</v>
      </c>
      <c r="B3745" t="s">
        <v>410</v>
      </c>
      <c r="C3745" t="s">
        <v>411</v>
      </c>
      <c r="D3745" t="str">
        <f>HYPERLINK("http://service.sap.com/sap/support/notes/1461839","1461839")</f>
        <v>1461839</v>
      </c>
      <c r="F3745" t="s">
        <v>3807</v>
      </c>
    </row>
    <row r="3746" spans="1:6">
      <c r="A3746" t="s">
        <v>3318</v>
      </c>
      <c r="B3746" t="s">
        <v>410</v>
      </c>
      <c r="C3746" t="s">
        <v>411</v>
      </c>
      <c r="D3746" t="str">
        <f>HYPERLINK("http://service.sap.com/sap/support/notes/1462242","1462242")</f>
        <v>1462242</v>
      </c>
      <c r="F3746" t="s">
        <v>3808</v>
      </c>
    </row>
    <row r="3747" spans="1:6">
      <c r="A3747" t="s">
        <v>3318</v>
      </c>
      <c r="B3747" t="s">
        <v>410</v>
      </c>
      <c r="C3747" t="s">
        <v>411</v>
      </c>
      <c r="D3747" t="str">
        <f>HYPERLINK("http://service.sap.com/sap/support/notes/1462260","1462260")</f>
        <v>1462260</v>
      </c>
      <c r="F3747" t="s">
        <v>3809</v>
      </c>
    </row>
    <row r="3748" spans="1:6">
      <c r="A3748" t="s">
        <v>3318</v>
      </c>
      <c r="B3748" t="s">
        <v>410</v>
      </c>
      <c r="C3748" t="s">
        <v>411</v>
      </c>
      <c r="D3748" t="str">
        <f>HYPERLINK("http://service.sap.com/sap/support/notes/1462471","1462471")</f>
        <v>1462471</v>
      </c>
      <c r="F3748" t="s">
        <v>3810</v>
      </c>
    </row>
    <row r="3749" spans="1:6">
      <c r="A3749" t="s">
        <v>3318</v>
      </c>
      <c r="B3749" t="s">
        <v>410</v>
      </c>
      <c r="C3749" t="s">
        <v>411</v>
      </c>
      <c r="D3749" t="str">
        <f>HYPERLINK("http://service.sap.com/sap/support/notes/1462726","1462726")</f>
        <v>1462726</v>
      </c>
      <c r="F3749" t="s">
        <v>3811</v>
      </c>
    </row>
    <row r="3750" spans="1:6">
      <c r="A3750" t="s">
        <v>3318</v>
      </c>
      <c r="B3750" t="s">
        <v>410</v>
      </c>
      <c r="C3750" t="s">
        <v>411</v>
      </c>
      <c r="D3750" t="str">
        <f>HYPERLINK("http://service.sap.com/sap/support/notes/1463323","1463323")</f>
        <v>1463323</v>
      </c>
      <c r="F3750" t="s">
        <v>3812</v>
      </c>
    </row>
    <row r="3751" spans="1:6">
      <c r="A3751" t="s">
        <v>3318</v>
      </c>
      <c r="B3751" t="s">
        <v>410</v>
      </c>
      <c r="C3751" t="s">
        <v>411</v>
      </c>
      <c r="D3751" t="str">
        <f>HYPERLINK("http://service.sap.com/sap/support/notes/1463389","1463389")</f>
        <v>1463389</v>
      </c>
      <c r="F3751" t="s">
        <v>3813</v>
      </c>
    </row>
    <row r="3752" spans="1:6">
      <c r="A3752" t="s">
        <v>3318</v>
      </c>
      <c r="B3752" t="s">
        <v>410</v>
      </c>
      <c r="C3752" t="s">
        <v>411</v>
      </c>
      <c r="D3752" t="str">
        <f>HYPERLINK("http://service.sap.com/sap/support/notes/1463526","1463526")</f>
        <v>1463526</v>
      </c>
      <c r="F3752" t="s">
        <v>3814</v>
      </c>
    </row>
    <row r="3753" spans="1:6">
      <c r="A3753" t="s">
        <v>3318</v>
      </c>
      <c r="B3753" t="s">
        <v>410</v>
      </c>
      <c r="C3753" t="s">
        <v>411</v>
      </c>
      <c r="D3753" t="str">
        <f>HYPERLINK("http://service.sap.com/sap/support/notes/1464561","1464561")</f>
        <v>1464561</v>
      </c>
      <c r="F3753" t="s">
        <v>3815</v>
      </c>
    </row>
    <row r="3754" spans="1:6">
      <c r="A3754" t="s">
        <v>3318</v>
      </c>
      <c r="B3754" t="s">
        <v>410</v>
      </c>
      <c r="C3754" t="s">
        <v>411</v>
      </c>
      <c r="D3754" t="str">
        <f>HYPERLINK("http://service.sap.com/sap/support/notes/1464597","1464597")</f>
        <v>1464597</v>
      </c>
      <c r="F3754" t="s">
        <v>3816</v>
      </c>
    </row>
    <row r="3755" spans="1:6">
      <c r="A3755" t="s">
        <v>3318</v>
      </c>
      <c r="B3755" t="s">
        <v>410</v>
      </c>
      <c r="C3755" t="s">
        <v>411</v>
      </c>
      <c r="D3755" t="str">
        <f>HYPERLINK("http://service.sap.com/sap/support/notes/1464976","1464976")</f>
        <v>1464976</v>
      </c>
      <c r="F3755" t="s">
        <v>3817</v>
      </c>
    </row>
    <row r="3756" spans="1:6">
      <c r="A3756" t="s">
        <v>3318</v>
      </c>
      <c r="B3756" t="s">
        <v>410</v>
      </c>
      <c r="C3756" t="s">
        <v>411</v>
      </c>
      <c r="D3756" t="str">
        <f>HYPERLINK("http://service.sap.com/sap/support/notes/1465418","1465418")</f>
        <v>1465418</v>
      </c>
      <c r="F3756" t="s">
        <v>3818</v>
      </c>
    </row>
    <row r="3757" spans="1:6">
      <c r="A3757" t="s">
        <v>3318</v>
      </c>
      <c r="B3757" t="s">
        <v>410</v>
      </c>
      <c r="C3757" t="s">
        <v>411</v>
      </c>
      <c r="D3757" t="str">
        <f>HYPERLINK("http://service.sap.com/sap/support/notes/1465628","1465628")</f>
        <v>1465628</v>
      </c>
      <c r="F3757" t="s">
        <v>3819</v>
      </c>
    </row>
    <row r="3758" spans="1:6">
      <c r="A3758" t="s">
        <v>3318</v>
      </c>
      <c r="B3758" t="s">
        <v>410</v>
      </c>
      <c r="C3758" t="s">
        <v>411</v>
      </c>
      <c r="D3758" t="str">
        <f>HYPERLINK("http://service.sap.com/sap/support/notes/1465680","1465680")</f>
        <v>1465680</v>
      </c>
      <c r="F3758" t="s">
        <v>3820</v>
      </c>
    </row>
    <row r="3759" spans="1:6">
      <c r="A3759" t="s">
        <v>3318</v>
      </c>
      <c r="B3759" t="s">
        <v>410</v>
      </c>
      <c r="C3759" t="s">
        <v>411</v>
      </c>
      <c r="D3759" t="str">
        <f>HYPERLINK("http://service.sap.com/sap/support/notes/1466504","1466504")</f>
        <v>1466504</v>
      </c>
      <c r="F3759" t="s">
        <v>3821</v>
      </c>
    </row>
    <row r="3760" spans="1:6">
      <c r="A3760" t="s">
        <v>3318</v>
      </c>
      <c r="B3760" t="s">
        <v>410</v>
      </c>
      <c r="C3760" t="s">
        <v>411</v>
      </c>
      <c r="D3760" t="str">
        <f>HYPERLINK("http://service.sap.com/sap/support/notes/1466605","1466605")</f>
        <v>1466605</v>
      </c>
      <c r="F3760" t="s">
        <v>3822</v>
      </c>
    </row>
    <row r="3761" spans="1:6">
      <c r="A3761" t="s">
        <v>3318</v>
      </c>
      <c r="B3761" t="s">
        <v>410</v>
      </c>
      <c r="C3761" t="s">
        <v>411</v>
      </c>
      <c r="D3761" t="str">
        <f>HYPERLINK("http://service.sap.com/sap/support/notes/1467963","1467963")</f>
        <v>1467963</v>
      </c>
      <c r="F3761" t="s">
        <v>3823</v>
      </c>
    </row>
    <row r="3762" spans="1:6">
      <c r="A3762" t="s">
        <v>3318</v>
      </c>
      <c r="B3762" t="s">
        <v>410</v>
      </c>
      <c r="C3762" t="s">
        <v>411</v>
      </c>
      <c r="D3762" t="str">
        <f>HYPERLINK("http://service.sap.com/sap/support/notes/1468954","1468954")</f>
        <v>1468954</v>
      </c>
      <c r="F3762" t="s">
        <v>3824</v>
      </c>
    </row>
    <row r="3763" spans="1:6">
      <c r="A3763" t="s">
        <v>3318</v>
      </c>
      <c r="B3763" t="s">
        <v>410</v>
      </c>
      <c r="C3763" t="s">
        <v>411</v>
      </c>
      <c r="D3763" t="str">
        <f>HYPERLINK("http://service.sap.com/sap/support/notes/1471468","1471468")</f>
        <v>1471468</v>
      </c>
      <c r="F3763" t="s">
        <v>3825</v>
      </c>
    </row>
    <row r="3764" spans="1:6">
      <c r="A3764" t="s">
        <v>3318</v>
      </c>
      <c r="B3764" t="s">
        <v>424</v>
      </c>
      <c r="C3764" t="s">
        <v>425</v>
      </c>
      <c r="D3764" t="str">
        <f>HYPERLINK("http://service.sap.com/sap/support/notes/1458128","1458128")</f>
        <v>1458128</v>
      </c>
      <c r="F3764" t="s">
        <v>3826</v>
      </c>
    </row>
    <row r="3765" spans="1:6">
      <c r="A3765" t="s">
        <v>3318</v>
      </c>
      <c r="B3765" t="s">
        <v>424</v>
      </c>
      <c r="C3765" t="s">
        <v>425</v>
      </c>
      <c r="D3765" t="str">
        <f>HYPERLINK("http://service.sap.com/sap/support/notes/1459706","1459706")</f>
        <v>1459706</v>
      </c>
      <c r="F3765" t="s">
        <v>3827</v>
      </c>
    </row>
    <row r="3766" spans="1:6">
      <c r="A3766" t="s">
        <v>3318</v>
      </c>
      <c r="B3766" t="s">
        <v>424</v>
      </c>
      <c r="C3766" t="s">
        <v>425</v>
      </c>
      <c r="D3766" t="str">
        <f>HYPERLINK("http://service.sap.com/sap/support/notes/1461237","1461237")</f>
        <v>1461237</v>
      </c>
      <c r="F3766" t="s">
        <v>3828</v>
      </c>
    </row>
    <row r="3767" spans="1:6">
      <c r="A3767" t="s">
        <v>3318</v>
      </c>
      <c r="B3767" t="s">
        <v>424</v>
      </c>
      <c r="C3767" t="s">
        <v>425</v>
      </c>
      <c r="D3767" t="str">
        <f>HYPERLINK("http://service.sap.com/sap/support/notes/1464227","1464227")</f>
        <v>1464227</v>
      </c>
      <c r="F3767" t="s">
        <v>3829</v>
      </c>
    </row>
    <row r="3768" spans="1:6">
      <c r="A3768" t="s">
        <v>3318</v>
      </c>
      <c r="B3768" t="s">
        <v>424</v>
      </c>
      <c r="C3768" t="s">
        <v>425</v>
      </c>
      <c r="D3768" t="str">
        <f>HYPERLINK("http://service.sap.com/sap/support/notes/1464293","1464293")</f>
        <v>1464293</v>
      </c>
      <c r="F3768" t="s">
        <v>3830</v>
      </c>
    </row>
    <row r="3769" spans="1:6">
      <c r="A3769" t="s">
        <v>3318</v>
      </c>
      <c r="B3769" t="s">
        <v>424</v>
      </c>
      <c r="C3769" t="s">
        <v>425</v>
      </c>
      <c r="D3769" t="str">
        <f>HYPERLINK("http://service.sap.com/sap/support/notes/1465132","1465132")</f>
        <v>1465132</v>
      </c>
      <c r="F3769" t="s">
        <v>3831</v>
      </c>
    </row>
    <row r="3770" spans="1:6">
      <c r="A3770" t="s">
        <v>3318</v>
      </c>
      <c r="B3770" t="s">
        <v>424</v>
      </c>
      <c r="C3770" t="s">
        <v>425</v>
      </c>
      <c r="D3770" t="str">
        <f>HYPERLINK("http://service.sap.com/sap/support/notes/1467186","1467186")</f>
        <v>1467186</v>
      </c>
      <c r="F3770" t="s">
        <v>3832</v>
      </c>
    </row>
    <row r="3771" spans="1:6">
      <c r="A3771" t="s">
        <v>3318</v>
      </c>
      <c r="B3771" t="s">
        <v>424</v>
      </c>
      <c r="C3771" t="s">
        <v>425</v>
      </c>
      <c r="D3771" t="str">
        <f>HYPERLINK("http://service.sap.com/sap/support/notes/1468937","1468937")</f>
        <v>1468937</v>
      </c>
      <c r="F3771" t="s">
        <v>3833</v>
      </c>
    </row>
    <row r="3772" spans="1:6">
      <c r="A3772" t="s">
        <v>3318</v>
      </c>
      <c r="B3772" t="s">
        <v>441</v>
      </c>
      <c r="C3772" t="s">
        <v>442</v>
      </c>
      <c r="D3772" t="str">
        <f>HYPERLINK("http://service.sap.com/sap/support/notes/1463297","1463297")</f>
        <v>1463297</v>
      </c>
      <c r="F3772" t="s">
        <v>3834</v>
      </c>
    </row>
    <row r="3773" spans="1:6">
      <c r="A3773" t="s">
        <v>3318</v>
      </c>
      <c r="B3773" t="s">
        <v>441</v>
      </c>
      <c r="C3773" t="s">
        <v>442</v>
      </c>
      <c r="D3773" t="str">
        <f>HYPERLINK("http://service.sap.com/sap/support/notes/1465737","1465737")</f>
        <v>1465737</v>
      </c>
      <c r="F3773" t="s">
        <v>3835</v>
      </c>
    </row>
    <row r="3774" spans="1:6">
      <c r="A3774" t="s">
        <v>3318</v>
      </c>
      <c r="B3774" t="s">
        <v>441</v>
      </c>
      <c r="C3774" t="s">
        <v>442</v>
      </c>
      <c r="D3774" t="str">
        <f>HYPERLINK("http://service.sap.com/sap/support/notes/1470046","1470046")</f>
        <v>1470046</v>
      </c>
      <c r="F3774" t="s">
        <v>3836</v>
      </c>
    </row>
    <row r="3775" spans="1:6">
      <c r="A3775" t="s">
        <v>3318</v>
      </c>
      <c r="B3775" t="s">
        <v>1247</v>
      </c>
      <c r="C3775" t="s">
        <v>87</v>
      </c>
      <c r="D3775" t="str">
        <f>HYPERLINK("http://service.sap.com/sap/support/notes/1379685","1379685")</f>
        <v>1379685</v>
      </c>
      <c r="F3775" t="s">
        <v>3241</v>
      </c>
    </row>
    <row r="3776" spans="1:6">
      <c r="A3776" t="s">
        <v>3318</v>
      </c>
      <c r="B3776" t="s">
        <v>1247</v>
      </c>
      <c r="C3776" t="s">
        <v>87</v>
      </c>
      <c r="D3776" t="str">
        <f>HYPERLINK("http://service.sap.com/sap/support/notes/1452847","1452847")</f>
        <v>1452847</v>
      </c>
      <c r="F3776" t="s">
        <v>3837</v>
      </c>
    </row>
    <row r="3777" spans="1:6">
      <c r="A3777" t="s">
        <v>3318</v>
      </c>
      <c r="B3777" t="s">
        <v>1247</v>
      </c>
      <c r="C3777" t="s">
        <v>87</v>
      </c>
      <c r="D3777" t="str">
        <f>HYPERLINK("http://service.sap.com/sap/support/notes/1461863","1461863")</f>
        <v>1461863</v>
      </c>
      <c r="F3777" t="s">
        <v>3838</v>
      </c>
    </row>
    <row r="3778" spans="1:6">
      <c r="A3778" t="s">
        <v>3318</v>
      </c>
      <c r="B3778" t="s">
        <v>1247</v>
      </c>
      <c r="C3778" t="s">
        <v>87</v>
      </c>
      <c r="D3778" t="str">
        <f>HYPERLINK("http://service.sap.com/sap/support/notes/1464357","1464357")</f>
        <v>1464357</v>
      </c>
      <c r="F3778" t="s">
        <v>3839</v>
      </c>
    </row>
    <row r="3779" spans="1:6">
      <c r="A3779" t="s">
        <v>3318</v>
      </c>
      <c r="B3779" t="s">
        <v>1247</v>
      </c>
      <c r="C3779" t="s">
        <v>87</v>
      </c>
      <c r="D3779" t="str">
        <f>HYPERLINK("http://service.sap.com/sap/support/notes/1467233","1467233")</f>
        <v>1467233</v>
      </c>
      <c r="F3779" t="s">
        <v>3840</v>
      </c>
    </row>
    <row r="3780" spans="1:6">
      <c r="A3780" t="s">
        <v>3318</v>
      </c>
      <c r="B3780" t="s">
        <v>1247</v>
      </c>
      <c r="C3780" t="s">
        <v>87</v>
      </c>
      <c r="D3780" t="str">
        <f>HYPERLINK("http://service.sap.com/sap/support/notes/1467251","1467251")</f>
        <v>1467251</v>
      </c>
      <c r="F3780" t="s">
        <v>3841</v>
      </c>
    </row>
    <row r="3781" spans="1:6">
      <c r="A3781" t="s">
        <v>3318</v>
      </c>
      <c r="B3781" t="s">
        <v>450</v>
      </c>
      <c r="C3781" t="s">
        <v>451</v>
      </c>
      <c r="D3781" t="str">
        <f>HYPERLINK("http://service.sap.com/sap/support/notes/995270","995270")</f>
        <v>995270</v>
      </c>
      <c r="F3781" t="s">
        <v>3842</v>
      </c>
    </row>
    <row r="3782" spans="1:6">
      <c r="A3782" t="s">
        <v>3318</v>
      </c>
      <c r="B3782" t="s">
        <v>450</v>
      </c>
      <c r="C3782" t="s">
        <v>451</v>
      </c>
      <c r="D3782" t="str">
        <f>HYPERLINK("http://service.sap.com/sap/support/notes/1443390","1443390")</f>
        <v>1443390</v>
      </c>
      <c r="F3782" t="s">
        <v>3843</v>
      </c>
    </row>
    <row r="3783" spans="1:6">
      <c r="A3783" t="s">
        <v>3318</v>
      </c>
      <c r="B3783" t="s">
        <v>450</v>
      </c>
      <c r="C3783" t="s">
        <v>451</v>
      </c>
      <c r="D3783" t="str">
        <f>HYPERLINK("http://service.sap.com/sap/support/notes/1457384","1457384")</f>
        <v>1457384</v>
      </c>
      <c r="F3783" t="s">
        <v>3844</v>
      </c>
    </row>
    <row r="3784" spans="1:6">
      <c r="A3784" t="s">
        <v>3318</v>
      </c>
      <c r="B3784" t="s">
        <v>450</v>
      </c>
      <c r="C3784" t="s">
        <v>451</v>
      </c>
      <c r="D3784" t="str">
        <f>HYPERLINK("http://service.sap.com/sap/support/notes/1457894","1457894")</f>
        <v>1457894</v>
      </c>
      <c r="F3784" t="s">
        <v>3845</v>
      </c>
    </row>
    <row r="3785" spans="1:6">
      <c r="A3785" t="s">
        <v>3318</v>
      </c>
      <c r="B3785" t="s">
        <v>450</v>
      </c>
      <c r="C3785" t="s">
        <v>451</v>
      </c>
      <c r="D3785" t="str">
        <f>HYPERLINK("http://service.sap.com/sap/support/notes/1469309","1469309")</f>
        <v>1469309</v>
      </c>
      <c r="F3785" t="s">
        <v>3846</v>
      </c>
    </row>
    <row r="3786" spans="1:6">
      <c r="A3786" t="s">
        <v>3318</v>
      </c>
      <c r="B3786" t="s">
        <v>3847</v>
      </c>
      <c r="C3786" t="s">
        <v>3848</v>
      </c>
      <c r="D3786" t="str">
        <f>HYPERLINK("http://service.sap.com/sap/support/notes/1466132","1466132")</f>
        <v>1466132</v>
      </c>
      <c r="F3786" t="s">
        <v>3849</v>
      </c>
    </row>
    <row r="3787" spans="1:6">
      <c r="A3787" t="s">
        <v>3318</v>
      </c>
      <c r="B3787" t="s">
        <v>3847</v>
      </c>
      <c r="C3787" t="s">
        <v>3848</v>
      </c>
      <c r="D3787" t="str">
        <f>HYPERLINK("http://service.sap.com/sap/support/notes/1471959","1471959")</f>
        <v>1471959</v>
      </c>
      <c r="F3787" t="s">
        <v>3850</v>
      </c>
    </row>
    <row r="3788" spans="1:6">
      <c r="A3788" t="s">
        <v>3318</v>
      </c>
      <c r="B3788" t="s">
        <v>455</v>
      </c>
      <c r="C3788" t="s">
        <v>456</v>
      </c>
      <c r="D3788" t="str">
        <f>HYPERLINK("http://service.sap.com/sap/support/notes/1465658","1465658")</f>
        <v>1465658</v>
      </c>
      <c r="F3788" t="s">
        <v>3851</v>
      </c>
    </row>
    <row r="3789" spans="1:6">
      <c r="A3789" t="s">
        <v>3318</v>
      </c>
      <c r="B3789" t="s">
        <v>458</v>
      </c>
      <c r="C3789" t="s">
        <v>90</v>
      </c>
      <c r="D3789" t="str">
        <f>HYPERLINK("http://service.sap.com/sap/support/notes/1442560","1442560")</f>
        <v>1442560</v>
      </c>
      <c r="F3789" t="s">
        <v>3852</v>
      </c>
    </row>
    <row r="3790" spans="1:6">
      <c r="A3790" t="s">
        <v>3318</v>
      </c>
      <c r="B3790" t="s">
        <v>458</v>
      </c>
      <c r="C3790" t="s">
        <v>90</v>
      </c>
      <c r="D3790" t="str">
        <f>HYPERLINK("http://service.sap.com/sap/support/notes/1460808","1460808")</f>
        <v>1460808</v>
      </c>
      <c r="F3790" t="s">
        <v>3853</v>
      </c>
    </row>
    <row r="3791" spans="1:6">
      <c r="A3791" t="s">
        <v>3318</v>
      </c>
      <c r="B3791" t="s">
        <v>458</v>
      </c>
      <c r="C3791" t="s">
        <v>90</v>
      </c>
      <c r="D3791" t="str">
        <f>HYPERLINK("http://service.sap.com/sap/support/notes/1460943","1460943")</f>
        <v>1460943</v>
      </c>
      <c r="F3791" t="s">
        <v>3854</v>
      </c>
    </row>
    <row r="3792" spans="1:6">
      <c r="A3792" t="s">
        <v>3318</v>
      </c>
      <c r="B3792" t="s">
        <v>458</v>
      </c>
      <c r="C3792" t="s">
        <v>90</v>
      </c>
      <c r="D3792" t="str">
        <f>HYPERLINK("http://service.sap.com/sap/support/notes/1462281","1462281")</f>
        <v>1462281</v>
      </c>
      <c r="F3792" t="s">
        <v>3855</v>
      </c>
    </row>
    <row r="3793" spans="1:6">
      <c r="A3793" t="s">
        <v>3318</v>
      </c>
      <c r="B3793" t="s">
        <v>458</v>
      </c>
      <c r="C3793" t="s">
        <v>90</v>
      </c>
      <c r="D3793" t="str">
        <f>HYPERLINK("http://service.sap.com/sap/support/notes/1468488","1468488")</f>
        <v>1468488</v>
      </c>
      <c r="F3793" t="s">
        <v>3856</v>
      </c>
    </row>
    <row r="3794" spans="1:6">
      <c r="A3794" t="s">
        <v>3318</v>
      </c>
      <c r="B3794" t="s">
        <v>458</v>
      </c>
      <c r="C3794" t="s">
        <v>90</v>
      </c>
      <c r="D3794" t="str">
        <f>HYPERLINK("http://service.sap.com/sap/support/notes/1468918","1468918")</f>
        <v>1468918</v>
      </c>
      <c r="F3794" t="s">
        <v>3857</v>
      </c>
    </row>
    <row r="3795" spans="1:6">
      <c r="A3795" t="s">
        <v>3318</v>
      </c>
      <c r="B3795" t="s">
        <v>458</v>
      </c>
      <c r="C3795" t="s">
        <v>90</v>
      </c>
      <c r="D3795" t="str">
        <f>HYPERLINK("http://service.sap.com/sap/support/notes/1471528","1471528")</f>
        <v>1471528</v>
      </c>
      <c r="F3795" t="s">
        <v>3858</v>
      </c>
    </row>
    <row r="3796" spans="1:6">
      <c r="A3796" t="s">
        <v>3318</v>
      </c>
      <c r="B3796" t="s">
        <v>463</v>
      </c>
      <c r="C3796" t="s">
        <v>93</v>
      </c>
      <c r="D3796" t="str">
        <f>HYPERLINK("http://service.sap.com/sap/support/notes/1456075","1456075")</f>
        <v>1456075</v>
      </c>
      <c r="F3796" t="s">
        <v>3859</v>
      </c>
    </row>
    <row r="3797" spans="1:6">
      <c r="A3797" t="s">
        <v>3318</v>
      </c>
      <c r="B3797" t="s">
        <v>463</v>
      </c>
      <c r="C3797" t="s">
        <v>93</v>
      </c>
      <c r="D3797" t="str">
        <f>HYPERLINK("http://service.sap.com/sap/support/notes/1462327","1462327")</f>
        <v>1462327</v>
      </c>
      <c r="F3797" t="s">
        <v>3860</v>
      </c>
    </row>
    <row r="3798" spans="1:6">
      <c r="A3798" t="s">
        <v>3318</v>
      </c>
      <c r="B3798" t="s">
        <v>475</v>
      </c>
      <c r="C3798" t="s">
        <v>476</v>
      </c>
      <c r="D3798" t="str">
        <f>HYPERLINK("http://service.sap.com/sap/support/notes/1436721","1436721")</f>
        <v>1436721</v>
      </c>
      <c r="F3798" t="s">
        <v>3861</v>
      </c>
    </row>
    <row r="3799" spans="1:6">
      <c r="A3799" t="s">
        <v>3318</v>
      </c>
      <c r="B3799" t="s">
        <v>475</v>
      </c>
      <c r="C3799" t="s">
        <v>476</v>
      </c>
      <c r="D3799" t="str">
        <f>HYPERLINK("http://service.sap.com/sap/support/notes/1450775","1450775")</f>
        <v>1450775</v>
      </c>
      <c r="F3799" t="s">
        <v>3862</v>
      </c>
    </row>
    <row r="3800" spans="1:6">
      <c r="A3800" t="s">
        <v>3318</v>
      </c>
      <c r="B3800" t="s">
        <v>475</v>
      </c>
      <c r="C3800" t="s">
        <v>476</v>
      </c>
      <c r="D3800" t="str">
        <f>HYPERLINK("http://service.sap.com/sap/support/notes/1464795","1464795")</f>
        <v>1464795</v>
      </c>
      <c r="F3800" t="s">
        <v>3863</v>
      </c>
    </row>
    <row r="3801" spans="1:6">
      <c r="A3801" t="s">
        <v>3318</v>
      </c>
      <c r="B3801" t="s">
        <v>475</v>
      </c>
      <c r="C3801" t="s">
        <v>476</v>
      </c>
      <c r="D3801" t="str">
        <f>HYPERLINK("http://service.sap.com/sap/support/notes/1465820","1465820")</f>
        <v>1465820</v>
      </c>
      <c r="F3801" t="s">
        <v>3864</v>
      </c>
    </row>
    <row r="3802" spans="1:6">
      <c r="A3802" t="s">
        <v>3318</v>
      </c>
      <c r="B3802" t="s">
        <v>482</v>
      </c>
      <c r="C3802" t="s">
        <v>483</v>
      </c>
      <c r="D3802" t="str">
        <f>HYPERLINK("http://service.sap.com/sap/support/notes/1431881","1431881")</f>
        <v>1431881</v>
      </c>
      <c r="F3802" t="s">
        <v>3865</v>
      </c>
    </row>
    <row r="3803" spans="1:6">
      <c r="A3803" t="s">
        <v>3318</v>
      </c>
      <c r="B3803" t="s">
        <v>482</v>
      </c>
      <c r="C3803" t="s">
        <v>483</v>
      </c>
      <c r="D3803" t="str">
        <f>HYPERLINK("http://service.sap.com/sap/support/notes/1439385","1439385")</f>
        <v>1439385</v>
      </c>
      <c r="F3803" t="s">
        <v>3866</v>
      </c>
    </row>
    <row r="3804" spans="1:6">
      <c r="A3804" t="s">
        <v>3318</v>
      </c>
      <c r="B3804" t="s">
        <v>482</v>
      </c>
      <c r="C3804" t="s">
        <v>483</v>
      </c>
      <c r="D3804" t="str">
        <f>HYPERLINK("http://service.sap.com/sap/support/notes/1453402","1453402")</f>
        <v>1453402</v>
      </c>
      <c r="F3804" t="s">
        <v>3867</v>
      </c>
    </row>
    <row r="3805" spans="1:6">
      <c r="A3805" t="s">
        <v>3318</v>
      </c>
      <c r="B3805" t="s">
        <v>482</v>
      </c>
      <c r="C3805" t="s">
        <v>483</v>
      </c>
      <c r="D3805" t="str">
        <f>HYPERLINK("http://service.sap.com/sap/support/notes/1455545","1455545")</f>
        <v>1455545</v>
      </c>
      <c r="F3805" t="s">
        <v>3868</v>
      </c>
    </row>
    <row r="3806" spans="1:6">
      <c r="A3806" t="s">
        <v>3318</v>
      </c>
      <c r="B3806" t="s">
        <v>482</v>
      </c>
      <c r="C3806" t="s">
        <v>483</v>
      </c>
      <c r="D3806" t="str">
        <f>HYPERLINK("http://service.sap.com/sap/support/notes/1464930","1464930")</f>
        <v>1464930</v>
      </c>
      <c r="F3806" t="s">
        <v>3869</v>
      </c>
    </row>
    <row r="3807" spans="1:6">
      <c r="A3807" t="s">
        <v>3318</v>
      </c>
      <c r="B3807" t="s">
        <v>482</v>
      </c>
      <c r="C3807" t="s">
        <v>483</v>
      </c>
      <c r="D3807" t="str">
        <f>HYPERLINK("http://service.sap.com/sap/support/notes/1468913","1468913")</f>
        <v>1468913</v>
      </c>
      <c r="F3807" t="s">
        <v>3870</v>
      </c>
    </row>
    <row r="3808" spans="1:6">
      <c r="A3808" t="s">
        <v>3318</v>
      </c>
      <c r="B3808" t="s">
        <v>2227</v>
      </c>
      <c r="C3808" t="s">
        <v>2228</v>
      </c>
      <c r="D3808" t="str">
        <f>HYPERLINK("http://service.sap.com/sap/support/notes/1464882","1464882")</f>
        <v>1464882</v>
      </c>
      <c r="F3808" t="s">
        <v>3871</v>
      </c>
    </row>
    <row r="3809" spans="1:6">
      <c r="A3809" t="s">
        <v>3318</v>
      </c>
      <c r="B3809" t="s">
        <v>485</v>
      </c>
      <c r="C3809" t="s">
        <v>486</v>
      </c>
      <c r="D3809" t="str">
        <f>HYPERLINK("http://service.sap.com/sap/support/notes/1449349","1449349")</f>
        <v>1449349</v>
      </c>
      <c r="F3809" t="s">
        <v>3872</v>
      </c>
    </row>
    <row r="3810" spans="1:6">
      <c r="A3810" t="s">
        <v>3318</v>
      </c>
      <c r="B3810" t="s">
        <v>485</v>
      </c>
      <c r="C3810" t="s">
        <v>486</v>
      </c>
      <c r="D3810" t="str">
        <f>HYPERLINK("http://service.sap.com/sap/support/notes/1463052","1463052")</f>
        <v>1463052</v>
      </c>
      <c r="F3810" t="s">
        <v>3873</v>
      </c>
    </row>
    <row r="3811" spans="1:6">
      <c r="A3811" t="s">
        <v>3318</v>
      </c>
      <c r="B3811" t="s">
        <v>485</v>
      </c>
      <c r="C3811" t="s">
        <v>486</v>
      </c>
      <c r="D3811" t="str">
        <f>HYPERLINK("http://service.sap.com/sap/support/notes/1468107","1468107")</f>
        <v>1468107</v>
      </c>
      <c r="F3811" t="s">
        <v>3874</v>
      </c>
    </row>
    <row r="3812" spans="1:6">
      <c r="A3812" t="s">
        <v>3318</v>
      </c>
      <c r="B3812" t="s">
        <v>489</v>
      </c>
      <c r="C3812" t="s">
        <v>3875</v>
      </c>
      <c r="D3812" t="str">
        <f>HYPERLINK("http://service.sap.com/sap/support/notes/1347078","1347078")</f>
        <v>1347078</v>
      </c>
      <c r="F3812" t="s">
        <v>2582</v>
      </c>
    </row>
    <row r="3813" spans="1:6">
      <c r="A3813" t="s">
        <v>3318</v>
      </c>
      <c r="B3813" t="s">
        <v>489</v>
      </c>
      <c r="C3813" t="s">
        <v>3875</v>
      </c>
      <c r="D3813" t="str">
        <f>HYPERLINK("http://service.sap.com/sap/support/notes/1469805","1469805")</f>
        <v>1469805</v>
      </c>
      <c r="F3813" t="s">
        <v>3876</v>
      </c>
    </row>
    <row r="3814" spans="1:6">
      <c r="A3814" t="s">
        <v>3318</v>
      </c>
      <c r="B3814" t="s">
        <v>489</v>
      </c>
      <c r="C3814" t="s">
        <v>3875</v>
      </c>
      <c r="D3814" t="str">
        <f>HYPERLINK("http://service.sap.com/sap/support/notes/1472149","1472149")</f>
        <v>1472149</v>
      </c>
      <c r="F3814" t="s">
        <v>3877</v>
      </c>
    </row>
    <row r="3815" spans="1:6">
      <c r="A3815" t="s">
        <v>3318</v>
      </c>
      <c r="B3815" t="s">
        <v>492</v>
      </c>
      <c r="C3815" t="s">
        <v>1283</v>
      </c>
      <c r="D3815" t="str">
        <f>HYPERLINK("http://service.sap.com/sap/support/notes/1458929","1458929")</f>
        <v>1458929</v>
      </c>
      <c r="F3815" t="s">
        <v>3878</v>
      </c>
    </row>
    <row r="3816" spans="1:6">
      <c r="A3816" t="s">
        <v>3318</v>
      </c>
      <c r="B3816" t="s">
        <v>492</v>
      </c>
      <c r="C3816" t="s">
        <v>1283</v>
      </c>
      <c r="D3816" t="str">
        <f>HYPERLINK("http://service.sap.com/sap/support/notes/1462278","1462278")</f>
        <v>1462278</v>
      </c>
      <c r="F3816" t="s">
        <v>3879</v>
      </c>
    </row>
    <row r="3817" spans="1:6">
      <c r="A3817" t="s">
        <v>3318</v>
      </c>
      <c r="B3817" t="s">
        <v>492</v>
      </c>
      <c r="C3817" t="s">
        <v>1283</v>
      </c>
      <c r="D3817" t="str">
        <f>HYPERLINK("http://service.sap.com/sap/support/notes/1462580","1462580")</f>
        <v>1462580</v>
      </c>
      <c r="F3817" t="s">
        <v>3880</v>
      </c>
    </row>
    <row r="3818" spans="1:6">
      <c r="A3818" t="s">
        <v>3318</v>
      </c>
      <c r="B3818" t="s">
        <v>492</v>
      </c>
      <c r="C3818" t="s">
        <v>1283</v>
      </c>
      <c r="D3818" t="str">
        <f>HYPERLINK("http://service.sap.com/sap/support/notes/1463098","1463098")</f>
        <v>1463098</v>
      </c>
      <c r="F3818" t="s">
        <v>3881</v>
      </c>
    </row>
    <row r="3819" spans="1:6">
      <c r="A3819" t="s">
        <v>3318</v>
      </c>
      <c r="B3819" t="s">
        <v>492</v>
      </c>
      <c r="C3819" t="s">
        <v>1283</v>
      </c>
      <c r="D3819" t="str">
        <f>HYPERLINK("http://service.sap.com/sap/support/notes/1463101","1463101")</f>
        <v>1463101</v>
      </c>
      <c r="F3819" t="s">
        <v>3882</v>
      </c>
    </row>
    <row r="3820" spans="1:6">
      <c r="A3820" t="s">
        <v>3318</v>
      </c>
      <c r="B3820" t="s">
        <v>492</v>
      </c>
      <c r="C3820" t="s">
        <v>1283</v>
      </c>
      <c r="D3820" t="str">
        <f>HYPERLINK("http://service.sap.com/sap/support/notes/1465743","1465743")</f>
        <v>1465743</v>
      </c>
      <c r="F3820" t="s">
        <v>3883</v>
      </c>
    </row>
    <row r="3821" spans="1:6">
      <c r="A3821" t="s">
        <v>3318</v>
      </c>
      <c r="B3821" t="s">
        <v>492</v>
      </c>
      <c r="C3821" t="s">
        <v>1283</v>
      </c>
      <c r="D3821" t="str">
        <f>HYPERLINK("http://service.sap.com/sap/support/notes/1466466","1466466")</f>
        <v>1466466</v>
      </c>
      <c r="F3821" t="s">
        <v>3884</v>
      </c>
    </row>
    <row r="3822" spans="1:6">
      <c r="A3822" t="s">
        <v>3318</v>
      </c>
      <c r="B3822" t="s">
        <v>492</v>
      </c>
      <c r="C3822" t="s">
        <v>1283</v>
      </c>
      <c r="D3822" t="str">
        <f>HYPERLINK("http://service.sap.com/sap/support/notes/1468457","1468457")</f>
        <v>1468457</v>
      </c>
      <c r="F3822" t="s">
        <v>3885</v>
      </c>
    </row>
    <row r="3823" spans="1:6">
      <c r="A3823" t="s">
        <v>3318</v>
      </c>
      <c r="B3823" t="s">
        <v>492</v>
      </c>
      <c r="C3823" t="s">
        <v>1283</v>
      </c>
      <c r="D3823" t="str">
        <f>HYPERLINK("http://service.sap.com/sap/support/notes/1470679","1470679")</f>
        <v>1470679</v>
      </c>
      <c r="F3823" t="s">
        <v>3886</v>
      </c>
    </row>
    <row r="3824" spans="1:6">
      <c r="A3824" t="s">
        <v>3318</v>
      </c>
      <c r="B3824" t="s">
        <v>500</v>
      </c>
      <c r="C3824" t="s">
        <v>501</v>
      </c>
      <c r="D3824" t="str">
        <f>HYPERLINK("http://service.sap.com/sap/support/notes/1460802","1460802")</f>
        <v>1460802</v>
      </c>
      <c r="F3824" t="s">
        <v>3887</v>
      </c>
    </row>
    <row r="3825" spans="1:6">
      <c r="A3825" t="s">
        <v>3318</v>
      </c>
      <c r="B3825" t="s">
        <v>500</v>
      </c>
      <c r="C3825" t="s">
        <v>501</v>
      </c>
      <c r="D3825" t="str">
        <f>HYPERLINK("http://service.sap.com/sap/support/notes/1462739","1462739")</f>
        <v>1462739</v>
      </c>
      <c r="F3825" t="s">
        <v>3888</v>
      </c>
    </row>
    <row r="3826" spans="1:6">
      <c r="A3826" t="s">
        <v>3318</v>
      </c>
      <c r="B3826" t="s">
        <v>500</v>
      </c>
      <c r="C3826" t="s">
        <v>501</v>
      </c>
      <c r="D3826" t="str">
        <f>HYPERLINK("http://service.sap.com/sap/support/notes/1462839","1462839")</f>
        <v>1462839</v>
      </c>
      <c r="F3826" t="s">
        <v>3889</v>
      </c>
    </row>
    <row r="3827" spans="1:6">
      <c r="A3827" t="s">
        <v>3318</v>
      </c>
      <c r="B3827" t="s">
        <v>500</v>
      </c>
      <c r="C3827" t="s">
        <v>501</v>
      </c>
      <c r="D3827" t="str">
        <f>HYPERLINK("http://service.sap.com/sap/support/notes/1467363","1467363")</f>
        <v>1467363</v>
      </c>
      <c r="F3827" t="s">
        <v>3890</v>
      </c>
    </row>
    <row r="3828" spans="1:6">
      <c r="A3828" t="s">
        <v>3318</v>
      </c>
      <c r="B3828" t="s">
        <v>500</v>
      </c>
      <c r="C3828" t="s">
        <v>501</v>
      </c>
      <c r="D3828" t="str">
        <f>HYPERLINK("http://service.sap.com/sap/support/notes/1468858","1468858")</f>
        <v>1468858</v>
      </c>
      <c r="F3828" t="s">
        <v>3891</v>
      </c>
    </row>
    <row r="3829" spans="1:6">
      <c r="A3829" t="s">
        <v>3318</v>
      </c>
      <c r="B3829" t="s">
        <v>504</v>
      </c>
      <c r="C3829" t="s">
        <v>110</v>
      </c>
      <c r="D3829" t="str">
        <f>HYPERLINK("http://service.sap.com/sap/support/notes/1449694","1449694")</f>
        <v>1449694</v>
      </c>
      <c r="F3829" t="s">
        <v>3892</v>
      </c>
    </row>
    <row r="3830" spans="1:6">
      <c r="A3830" t="s">
        <v>3318</v>
      </c>
      <c r="B3830" t="s">
        <v>504</v>
      </c>
      <c r="C3830" t="s">
        <v>110</v>
      </c>
      <c r="D3830" t="str">
        <f>HYPERLINK("http://service.sap.com/sap/support/notes/1459772","1459772")</f>
        <v>1459772</v>
      </c>
      <c r="F3830" t="s">
        <v>3893</v>
      </c>
    </row>
    <row r="3831" spans="1:6">
      <c r="A3831" t="s">
        <v>3318</v>
      </c>
      <c r="B3831" t="s">
        <v>504</v>
      </c>
      <c r="C3831" t="s">
        <v>110</v>
      </c>
      <c r="D3831" t="str">
        <f>HYPERLINK("http://service.sap.com/sap/support/notes/1466737","1466737")</f>
        <v>1466737</v>
      </c>
      <c r="F3831" t="s">
        <v>3894</v>
      </c>
    </row>
    <row r="3832" spans="1:6">
      <c r="A3832" t="s">
        <v>3318</v>
      </c>
      <c r="B3832" t="s">
        <v>504</v>
      </c>
      <c r="C3832" t="s">
        <v>110</v>
      </c>
      <c r="D3832" t="str">
        <f>HYPERLINK("http://service.sap.com/sap/support/notes/1467871","1467871")</f>
        <v>1467871</v>
      </c>
      <c r="F3832" t="s">
        <v>3895</v>
      </c>
    </row>
    <row r="3833" spans="1:6">
      <c r="A3833" t="s">
        <v>3318</v>
      </c>
      <c r="B3833" t="s">
        <v>504</v>
      </c>
      <c r="C3833" t="s">
        <v>110</v>
      </c>
      <c r="D3833" t="str">
        <f>HYPERLINK("http://service.sap.com/sap/support/notes/1469115","1469115")</f>
        <v>1469115</v>
      </c>
      <c r="F3833" t="s">
        <v>3896</v>
      </c>
    </row>
    <row r="3834" spans="1:6">
      <c r="A3834" t="s">
        <v>3318</v>
      </c>
      <c r="B3834" t="s">
        <v>510</v>
      </c>
      <c r="C3834" t="s">
        <v>114</v>
      </c>
      <c r="D3834" t="str">
        <f>HYPERLINK("http://service.sap.com/sap/support/notes/1463822","1463822")</f>
        <v>1463822</v>
      </c>
      <c r="F3834" t="s">
        <v>3897</v>
      </c>
    </row>
    <row r="3835" spans="1:6">
      <c r="A3835" t="s">
        <v>3318</v>
      </c>
      <c r="B3835" t="s">
        <v>510</v>
      </c>
      <c r="C3835" t="s">
        <v>114</v>
      </c>
      <c r="D3835" t="str">
        <f>HYPERLINK("http://service.sap.com/sap/support/notes/1468258","1468258")</f>
        <v>1468258</v>
      </c>
      <c r="F3835" t="s">
        <v>3898</v>
      </c>
    </row>
    <row r="3836" spans="1:6">
      <c r="A3836" t="s">
        <v>3318</v>
      </c>
      <c r="B3836" t="s">
        <v>513</v>
      </c>
      <c r="C3836" t="s">
        <v>514</v>
      </c>
      <c r="D3836" t="str">
        <f>HYPERLINK("http://service.sap.com/sap/support/notes/1460388","1460388")</f>
        <v>1460388</v>
      </c>
      <c r="F3836" t="s">
        <v>3899</v>
      </c>
    </row>
    <row r="3837" spans="1:6">
      <c r="A3837" t="s">
        <v>3318</v>
      </c>
      <c r="B3837" t="s">
        <v>513</v>
      </c>
      <c r="C3837" t="s">
        <v>514</v>
      </c>
      <c r="D3837" t="str">
        <f>HYPERLINK("http://service.sap.com/sap/support/notes/1463748","1463748")</f>
        <v>1463748</v>
      </c>
      <c r="F3837" t="s">
        <v>3900</v>
      </c>
    </row>
    <row r="3838" spans="1:6">
      <c r="A3838" t="s">
        <v>3318</v>
      </c>
      <c r="B3838" t="s">
        <v>513</v>
      </c>
      <c r="C3838" t="s">
        <v>514</v>
      </c>
      <c r="D3838" t="str">
        <f>HYPERLINK("http://service.sap.com/sap/support/notes/1464299","1464299")</f>
        <v>1464299</v>
      </c>
      <c r="F3838" t="s">
        <v>3901</v>
      </c>
    </row>
    <row r="3839" spans="1:6">
      <c r="A3839" t="s">
        <v>3318</v>
      </c>
      <c r="B3839" t="s">
        <v>513</v>
      </c>
      <c r="C3839" t="s">
        <v>514</v>
      </c>
      <c r="D3839" t="str">
        <f>HYPERLINK("http://service.sap.com/sap/support/notes/1470013","1470013")</f>
        <v>1470013</v>
      </c>
      <c r="F3839" t="s">
        <v>3902</v>
      </c>
    </row>
    <row r="3840" spans="1:6">
      <c r="A3840" t="s">
        <v>3318</v>
      </c>
      <c r="B3840" t="s">
        <v>519</v>
      </c>
      <c r="C3840" t="s">
        <v>117</v>
      </c>
      <c r="D3840" t="str">
        <f>HYPERLINK("http://service.sap.com/sap/support/notes/1425764","1425764")</f>
        <v>1425764</v>
      </c>
      <c r="F3840" t="s">
        <v>3903</v>
      </c>
    </row>
    <row r="3841" spans="1:6">
      <c r="A3841" t="s">
        <v>3318</v>
      </c>
      <c r="B3841" t="s">
        <v>519</v>
      </c>
      <c r="C3841" t="s">
        <v>117</v>
      </c>
      <c r="D3841" t="str">
        <f>HYPERLINK("http://service.sap.com/sap/support/notes/1459756","1459756")</f>
        <v>1459756</v>
      </c>
      <c r="F3841" t="s">
        <v>3904</v>
      </c>
    </row>
    <row r="3842" spans="1:6">
      <c r="A3842" t="s">
        <v>3318</v>
      </c>
      <c r="B3842" t="s">
        <v>519</v>
      </c>
      <c r="C3842" t="s">
        <v>117</v>
      </c>
      <c r="D3842" t="str">
        <f>HYPERLINK("http://service.sap.com/sap/support/notes/1471438","1471438")</f>
        <v>1471438</v>
      </c>
      <c r="F3842" t="s">
        <v>2984</v>
      </c>
    </row>
    <row r="3843" spans="1:6">
      <c r="A3843" t="s">
        <v>3318</v>
      </c>
      <c r="B3843" t="s">
        <v>2610</v>
      </c>
      <c r="C3843" t="s">
        <v>3905</v>
      </c>
      <c r="D3843" t="str">
        <f>HYPERLINK("http://service.sap.com/sap/support/notes/1469722","1469722")</f>
        <v>1469722</v>
      </c>
      <c r="F3843" t="s">
        <v>3906</v>
      </c>
    </row>
    <row r="3844" spans="1:6">
      <c r="A3844" t="s">
        <v>3318</v>
      </c>
      <c r="B3844" t="s">
        <v>520</v>
      </c>
    </row>
    <row r="3845" spans="1:6">
      <c r="A3845" t="s">
        <v>3318</v>
      </c>
      <c r="B3845" t="s">
        <v>521</v>
      </c>
      <c r="C3845" t="s">
        <v>522</v>
      </c>
      <c r="D3845" t="str">
        <f>HYPERLINK("http://service.sap.com/sap/support/notes/1460793","1460793")</f>
        <v>1460793</v>
      </c>
      <c r="F3845" t="s">
        <v>3297</v>
      </c>
    </row>
    <row r="3846" spans="1:6">
      <c r="A3846" t="s">
        <v>3318</v>
      </c>
      <c r="B3846" t="s">
        <v>1324</v>
      </c>
      <c r="C3846" t="s">
        <v>189</v>
      </c>
      <c r="D3846" t="str">
        <f>HYPERLINK("http://service.sap.com/sap/support/notes/1409453","1409453")</f>
        <v>1409453</v>
      </c>
      <c r="F3846" t="s">
        <v>3907</v>
      </c>
    </row>
    <row r="3847" spans="1:6">
      <c r="A3847" t="s">
        <v>3318</v>
      </c>
      <c r="B3847" t="s">
        <v>1331</v>
      </c>
      <c r="C3847" t="s">
        <v>1004</v>
      </c>
      <c r="D3847" t="str">
        <f>HYPERLINK("http://service.sap.com/sap/support/notes/1414298","1414298")</f>
        <v>1414298</v>
      </c>
      <c r="F3847" t="s">
        <v>3908</v>
      </c>
    </row>
    <row r="3848" spans="1:6">
      <c r="A3848" t="s">
        <v>3318</v>
      </c>
      <c r="B3848" t="s">
        <v>1331</v>
      </c>
      <c r="C3848" t="s">
        <v>1004</v>
      </c>
      <c r="D3848" t="str">
        <f>HYPERLINK("http://service.sap.com/sap/support/notes/1433384","1433384")</f>
        <v>1433384</v>
      </c>
      <c r="F3848" t="s">
        <v>3909</v>
      </c>
    </row>
    <row r="3849" spans="1:6">
      <c r="A3849" t="s">
        <v>3318</v>
      </c>
      <c r="B3849" t="s">
        <v>1331</v>
      </c>
      <c r="C3849" t="s">
        <v>1004</v>
      </c>
      <c r="D3849" t="str">
        <f>HYPERLINK("http://service.sap.com/sap/support/notes/1450033","1450033")</f>
        <v>1450033</v>
      </c>
      <c r="F3849" t="s">
        <v>3910</v>
      </c>
    </row>
    <row r="3850" spans="1:6">
      <c r="A3850" t="s">
        <v>3318</v>
      </c>
      <c r="B3850" t="s">
        <v>1331</v>
      </c>
      <c r="C3850" t="s">
        <v>1004</v>
      </c>
      <c r="D3850" t="str">
        <f>HYPERLINK("http://service.sap.com/sap/support/notes/1450464","1450464")</f>
        <v>1450464</v>
      </c>
      <c r="F3850" t="s">
        <v>3911</v>
      </c>
    </row>
    <row r="3851" spans="1:6">
      <c r="A3851" t="s">
        <v>3318</v>
      </c>
      <c r="B3851" t="s">
        <v>529</v>
      </c>
      <c r="C3851" t="s">
        <v>530</v>
      </c>
      <c r="D3851" t="str">
        <f>HYPERLINK("http://service.sap.com/sap/support/notes/1075039","1075039")</f>
        <v>1075039</v>
      </c>
      <c r="F3851" t="s">
        <v>531</v>
      </c>
    </row>
    <row r="3852" spans="1:6">
      <c r="A3852" t="s">
        <v>3318</v>
      </c>
      <c r="B3852" t="s">
        <v>529</v>
      </c>
      <c r="C3852" t="s">
        <v>530</v>
      </c>
      <c r="D3852" t="str">
        <f>HYPERLINK("http://service.sap.com/sap/support/notes/1427772","1427772")</f>
        <v>1427772</v>
      </c>
      <c r="F3852" t="s">
        <v>2614</v>
      </c>
    </row>
    <row r="3853" spans="1:6">
      <c r="A3853" t="s">
        <v>3318</v>
      </c>
      <c r="B3853" t="s">
        <v>529</v>
      </c>
      <c r="C3853" t="s">
        <v>530</v>
      </c>
      <c r="D3853" t="str">
        <f>HYPERLINK("http://service.sap.com/sap/support/notes/1461549","1461549")</f>
        <v>1461549</v>
      </c>
      <c r="F3853" t="s">
        <v>3912</v>
      </c>
    </row>
    <row r="3854" spans="1:6">
      <c r="A3854" t="s">
        <v>3318</v>
      </c>
      <c r="B3854" t="s">
        <v>529</v>
      </c>
      <c r="C3854" t="s">
        <v>530</v>
      </c>
      <c r="D3854" t="str">
        <f>HYPERLINK("http://service.sap.com/sap/support/notes/1464001","1464001")</f>
        <v>1464001</v>
      </c>
      <c r="F3854" t="s">
        <v>3913</v>
      </c>
    </row>
    <row r="3855" spans="1:6">
      <c r="A3855" t="s">
        <v>3318</v>
      </c>
      <c r="B3855" t="s">
        <v>529</v>
      </c>
      <c r="C3855" t="s">
        <v>530</v>
      </c>
      <c r="D3855" t="str">
        <f>HYPERLINK("http://service.sap.com/sap/support/notes/1471543","1471543")</f>
        <v>1471543</v>
      </c>
      <c r="F3855" t="s">
        <v>3914</v>
      </c>
    </row>
    <row r="3856" spans="1:6">
      <c r="A3856" t="s">
        <v>3318</v>
      </c>
      <c r="B3856" t="s">
        <v>533</v>
      </c>
      <c r="C3856" t="s">
        <v>534</v>
      </c>
      <c r="D3856" t="str">
        <f>HYPERLINK("http://service.sap.com/sap/support/notes/1450859","1450859")</f>
        <v>1450859</v>
      </c>
      <c r="F3856" t="s">
        <v>3915</v>
      </c>
    </row>
    <row r="3857" spans="1:6">
      <c r="A3857" t="s">
        <v>3318</v>
      </c>
      <c r="B3857" t="s">
        <v>533</v>
      </c>
      <c r="C3857" t="s">
        <v>534</v>
      </c>
      <c r="D3857" t="str">
        <f>HYPERLINK("http://service.sap.com/sap/support/notes/1455498","1455498")</f>
        <v>1455498</v>
      </c>
      <c r="F3857" t="s">
        <v>3305</v>
      </c>
    </row>
    <row r="3858" spans="1:6">
      <c r="A3858" t="s">
        <v>3318</v>
      </c>
      <c r="B3858" t="s">
        <v>533</v>
      </c>
      <c r="C3858" t="s">
        <v>534</v>
      </c>
      <c r="D3858" t="str">
        <f>HYPERLINK("http://service.sap.com/sap/support/notes/1464229","1464229")</f>
        <v>1464229</v>
      </c>
      <c r="F3858" t="s">
        <v>3916</v>
      </c>
    </row>
    <row r="3859" spans="1:6">
      <c r="A3859" t="s">
        <v>3318</v>
      </c>
      <c r="B3859" t="s">
        <v>537</v>
      </c>
      <c r="C3859" t="s">
        <v>538</v>
      </c>
      <c r="D3859" t="str">
        <f>HYPERLINK("http://service.sap.com/sap/support/notes/1465601","1465601")</f>
        <v>1465601</v>
      </c>
      <c r="F3859" t="s">
        <v>3917</v>
      </c>
    </row>
    <row r="3860" spans="1:6">
      <c r="A3860" t="s">
        <v>3318</v>
      </c>
      <c r="B3860" t="s">
        <v>541</v>
      </c>
      <c r="C3860" t="s">
        <v>126</v>
      </c>
      <c r="D3860" t="str">
        <f>HYPERLINK("http://service.sap.com/sap/support/notes/1327263","1327263")</f>
        <v>1327263</v>
      </c>
      <c r="F3860" t="s">
        <v>3918</v>
      </c>
    </row>
    <row r="3861" spans="1:6">
      <c r="A3861" t="s">
        <v>3318</v>
      </c>
      <c r="B3861" t="s">
        <v>541</v>
      </c>
      <c r="C3861" t="s">
        <v>126</v>
      </c>
      <c r="D3861" t="str">
        <f>HYPERLINK("http://service.sap.com/sap/support/notes/1410616","1410616")</f>
        <v>1410616</v>
      </c>
      <c r="F3861" t="s">
        <v>1912</v>
      </c>
    </row>
    <row r="3862" spans="1:6">
      <c r="A3862" t="s">
        <v>3318</v>
      </c>
      <c r="B3862" t="s">
        <v>541</v>
      </c>
      <c r="C3862" t="s">
        <v>126</v>
      </c>
      <c r="D3862" t="str">
        <f>HYPERLINK("http://service.sap.com/sap/support/notes/1426720","1426720")</f>
        <v>1426720</v>
      </c>
      <c r="F3862" t="s">
        <v>3919</v>
      </c>
    </row>
    <row r="3863" spans="1:6">
      <c r="A3863" t="s">
        <v>3318</v>
      </c>
      <c r="B3863" t="s">
        <v>541</v>
      </c>
      <c r="C3863" t="s">
        <v>126</v>
      </c>
      <c r="D3863" t="str">
        <f>HYPERLINK("http://service.sap.com/sap/support/notes/1444961","1444961")</f>
        <v>1444961</v>
      </c>
      <c r="F3863" t="s">
        <v>3920</v>
      </c>
    </row>
    <row r="3864" spans="1:6">
      <c r="A3864" t="s">
        <v>3318</v>
      </c>
      <c r="B3864" t="s">
        <v>541</v>
      </c>
      <c r="C3864" t="s">
        <v>126</v>
      </c>
      <c r="D3864" t="str">
        <f>HYPERLINK("http://service.sap.com/sap/support/notes/1453604","1453604")</f>
        <v>1453604</v>
      </c>
      <c r="F3864" t="s">
        <v>3401</v>
      </c>
    </row>
    <row r="3865" spans="1:6">
      <c r="A3865" t="s">
        <v>3318</v>
      </c>
      <c r="B3865" t="s">
        <v>541</v>
      </c>
      <c r="C3865" t="s">
        <v>126</v>
      </c>
      <c r="D3865" t="str">
        <f>HYPERLINK("http://service.sap.com/sap/support/notes/1453655","1453655")</f>
        <v>1453655</v>
      </c>
      <c r="F3865" t="s">
        <v>2990</v>
      </c>
    </row>
    <row r="3866" spans="1:6">
      <c r="A3866" t="s">
        <v>3318</v>
      </c>
      <c r="B3866" t="s">
        <v>541</v>
      </c>
      <c r="C3866" t="s">
        <v>126</v>
      </c>
      <c r="D3866" t="str">
        <f>HYPERLINK("http://service.sap.com/sap/support/notes/1465009","1465009")</f>
        <v>1465009</v>
      </c>
      <c r="F3866" t="s">
        <v>3921</v>
      </c>
    </row>
    <row r="3867" spans="1:6">
      <c r="A3867" t="s">
        <v>3318</v>
      </c>
      <c r="B3867" t="s">
        <v>541</v>
      </c>
      <c r="C3867" t="s">
        <v>126</v>
      </c>
      <c r="D3867" t="str">
        <f>HYPERLINK("http://service.sap.com/sap/support/notes/1466965","1466965")</f>
        <v>1466965</v>
      </c>
      <c r="F3867" t="s">
        <v>3922</v>
      </c>
    </row>
    <row r="3868" spans="1:6">
      <c r="A3868" t="s">
        <v>3318</v>
      </c>
      <c r="B3868" t="s">
        <v>541</v>
      </c>
      <c r="C3868" t="s">
        <v>126</v>
      </c>
      <c r="D3868" t="str">
        <f>HYPERLINK("http://service.sap.com/sap/support/notes/1469563","1469563")</f>
        <v>1469563</v>
      </c>
      <c r="F3868" t="s">
        <v>3923</v>
      </c>
    </row>
    <row r="3869" spans="1:6">
      <c r="A3869" t="s">
        <v>3318</v>
      </c>
      <c r="B3869" t="s">
        <v>541</v>
      </c>
      <c r="C3869" t="s">
        <v>126</v>
      </c>
      <c r="D3869" t="str">
        <f>HYPERLINK("http://service.sap.com/sap/support/notes/1469982","1469982")</f>
        <v>1469982</v>
      </c>
      <c r="F3869" t="s">
        <v>2990</v>
      </c>
    </row>
    <row r="3870" spans="1:6">
      <c r="A3870" t="s">
        <v>3318</v>
      </c>
      <c r="B3870" t="s">
        <v>1351</v>
      </c>
      <c r="C3870" t="s">
        <v>632</v>
      </c>
      <c r="D3870" t="str">
        <f>HYPERLINK("http://service.sap.com/sap/support/notes/1410501","1410501")</f>
        <v>1410501</v>
      </c>
      <c r="F3870" t="s">
        <v>3924</v>
      </c>
    </row>
    <row r="3871" spans="1:6">
      <c r="A3871" t="s">
        <v>3318</v>
      </c>
      <c r="B3871" t="s">
        <v>1351</v>
      </c>
      <c r="C3871" t="s">
        <v>632</v>
      </c>
      <c r="D3871" t="str">
        <f>HYPERLINK("http://service.sap.com/sap/support/notes/1415758","1415758")</f>
        <v>1415758</v>
      </c>
      <c r="F3871" t="s">
        <v>3925</v>
      </c>
    </row>
    <row r="3872" spans="1:6">
      <c r="A3872" t="s">
        <v>3318</v>
      </c>
      <c r="B3872" t="s">
        <v>1351</v>
      </c>
      <c r="C3872" t="s">
        <v>632</v>
      </c>
      <c r="D3872" t="str">
        <f>HYPERLINK("http://service.sap.com/sap/support/notes/1420509","1420509")</f>
        <v>1420509</v>
      </c>
      <c r="F3872" t="s">
        <v>3926</v>
      </c>
    </row>
    <row r="3873" spans="1:6">
      <c r="A3873" t="s">
        <v>3318</v>
      </c>
      <c r="B3873" t="s">
        <v>1351</v>
      </c>
      <c r="C3873" t="s">
        <v>632</v>
      </c>
      <c r="D3873" t="str">
        <f>HYPERLINK("http://service.sap.com/sap/support/notes/1425377","1425377")</f>
        <v>1425377</v>
      </c>
      <c r="F3873" t="s">
        <v>3927</v>
      </c>
    </row>
    <row r="3874" spans="1:6">
      <c r="A3874" t="s">
        <v>3318</v>
      </c>
      <c r="B3874" t="s">
        <v>1351</v>
      </c>
      <c r="C3874" t="s">
        <v>632</v>
      </c>
      <c r="D3874" t="str">
        <f>HYPERLINK("http://service.sap.com/sap/support/notes/1428725","1428725")</f>
        <v>1428725</v>
      </c>
      <c r="F3874" t="s">
        <v>3928</v>
      </c>
    </row>
    <row r="3875" spans="1:6">
      <c r="A3875" t="s">
        <v>3318</v>
      </c>
      <c r="B3875" t="s">
        <v>1351</v>
      </c>
      <c r="C3875" t="s">
        <v>632</v>
      </c>
      <c r="D3875" t="str">
        <f>HYPERLINK("http://service.sap.com/sap/support/notes/1434475","1434475")</f>
        <v>1434475</v>
      </c>
      <c r="F3875" t="s">
        <v>3929</v>
      </c>
    </row>
    <row r="3876" spans="1:6">
      <c r="A3876" t="s">
        <v>3318</v>
      </c>
      <c r="B3876" t="s">
        <v>1351</v>
      </c>
      <c r="C3876" t="s">
        <v>632</v>
      </c>
      <c r="D3876" t="str">
        <f>HYPERLINK("http://service.sap.com/sap/support/notes/1436029","1436029")</f>
        <v>1436029</v>
      </c>
      <c r="F3876" t="s">
        <v>3930</v>
      </c>
    </row>
    <row r="3877" spans="1:6">
      <c r="A3877" t="s">
        <v>3318</v>
      </c>
      <c r="B3877" t="s">
        <v>1351</v>
      </c>
      <c r="C3877" t="s">
        <v>632</v>
      </c>
      <c r="D3877" t="str">
        <f>HYPERLINK("http://service.sap.com/sap/support/notes/1439023","1439023")</f>
        <v>1439023</v>
      </c>
      <c r="F3877" t="s">
        <v>3931</v>
      </c>
    </row>
    <row r="3878" spans="1:6">
      <c r="A3878" t="s">
        <v>3318</v>
      </c>
      <c r="B3878" t="s">
        <v>1351</v>
      </c>
      <c r="C3878" t="s">
        <v>632</v>
      </c>
      <c r="D3878" t="str">
        <f>HYPERLINK("http://service.sap.com/sap/support/notes/1451279","1451279")</f>
        <v>1451279</v>
      </c>
      <c r="F3878" t="s">
        <v>3932</v>
      </c>
    </row>
    <row r="3879" spans="1:6">
      <c r="A3879" t="s">
        <v>3318</v>
      </c>
      <c r="B3879" t="s">
        <v>1351</v>
      </c>
      <c r="C3879" t="s">
        <v>632</v>
      </c>
      <c r="D3879" t="str">
        <f>HYPERLINK("http://service.sap.com/sap/support/notes/1452007","1452007")</f>
        <v>1452007</v>
      </c>
      <c r="F3879" t="s">
        <v>3933</v>
      </c>
    </row>
    <row r="3880" spans="1:6">
      <c r="A3880" t="s">
        <v>3318</v>
      </c>
      <c r="B3880" t="s">
        <v>1351</v>
      </c>
      <c r="C3880" t="s">
        <v>632</v>
      </c>
      <c r="D3880" t="str">
        <f>HYPERLINK("http://service.sap.com/sap/support/notes/1454885","1454885")</f>
        <v>1454885</v>
      </c>
      <c r="F3880" t="s">
        <v>3934</v>
      </c>
    </row>
    <row r="3881" spans="1:6">
      <c r="A3881" t="s">
        <v>3318</v>
      </c>
      <c r="B3881" t="s">
        <v>1351</v>
      </c>
      <c r="C3881" t="s">
        <v>632</v>
      </c>
      <c r="D3881" t="str">
        <f>HYPERLINK("http://service.sap.com/sap/support/notes/1466650","1466650")</f>
        <v>1466650</v>
      </c>
      <c r="F3881" t="s">
        <v>3935</v>
      </c>
    </row>
    <row r="3882" spans="1:6">
      <c r="A3882" t="s">
        <v>3318</v>
      </c>
      <c r="B3882" t="s">
        <v>1351</v>
      </c>
      <c r="C3882" t="s">
        <v>632</v>
      </c>
      <c r="D3882" t="str">
        <f>HYPERLINK("http://service.sap.com/sap/support/notes/1471416","1471416")</f>
        <v>1471416</v>
      </c>
      <c r="F3882" t="s">
        <v>3936</v>
      </c>
    </row>
    <row r="3883" spans="1:6">
      <c r="A3883" t="s">
        <v>3318</v>
      </c>
      <c r="B3883" t="s">
        <v>1359</v>
      </c>
      <c r="C3883" t="s">
        <v>1360</v>
      </c>
      <c r="D3883" t="str">
        <f>HYPERLINK("http://service.sap.com/sap/support/notes/1434583","1434583")</f>
        <v>1434583</v>
      </c>
      <c r="F3883" t="s">
        <v>3937</v>
      </c>
    </row>
    <row r="3884" spans="1:6">
      <c r="A3884" t="s">
        <v>3318</v>
      </c>
      <c r="B3884" t="s">
        <v>1364</v>
      </c>
      <c r="C3884" t="s">
        <v>1365</v>
      </c>
      <c r="D3884" t="str">
        <f>HYPERLINK("http://service.sap.com/sap/support/notes/1408523","1408523")</f>
        <v>1408523</v>
      </c>
      <c r="F3884" t="s">
        <v>3938</v>
      </c>
    </row>
    <row r="3885" spans="1:6">
      <c r="A3885" t="s">
        <v>3318</v>
      </c>
      <c r="B3885" t="s">
        <v>1364</v>
      </c>
      <c r="C3885" t="s">
        <v>1365</v>
      </c>
      <c r="D3885" t="str">
        <f>HYPERLINK("http://service.sap.com/sap/support/notes/1410911","1410911")</f>
        <v>1410911</v>
      </c>
      <c r="F3885" t="s">
        <v>3939</v>
      </c>
    </row>
    <row r="3886" spans="1:6">
      <c r="A3886" t="s">
        <v>3318</v>
      </c>
      <c r="B3886" t="s">
        <v>1364</v>
      </c>
      <c r="C3886" t="s">
        <v>1365</v>
      </c>
      <c r="D3886" t="str">
        <f>HYPERLINK("http://service.sap.com/sap/support/notes/1411598","1411598")</f>
        <v>1411598</v>
      </c>
      <c r="F3886" t="s">
        <v>3940</v>
      </c>
    </row>
    <row r="3887" spans="1:6">
      <c r="A3887" t="s">
        <v>3318</v>
      </c>
      <c r="B3887" t="s">
        <v>1364</v>
      </c>
      <c r="C3887" t="s">
        <v>1365</v>
      </c>
      <c r="D3887" t="str">
        <f>HYPERLINK("http://service.sap.com/sap/support/notes/1412786","1412786")</f>
        <v>1412786</v>
      </c>
      <c r="F3887" t="s">
        <v>3941</v>
      </c>
    </row>
    <row r="3888" spans="1:6">
      <c r="A3888" t="s">
        <v>3318</v>
      </c>
      <c r="B3888" t="s">
        <v>1364</v>
      </c>
      <c r="C3888" t="s">
        <v>1365</v>
      </c>
      <c r="D3888" t="str">
        <f>HYPERLINK("http://service.sap.com/sap/support/notes/1420476","1420476")</f>
        <v>1420476</v>
      </c>
      <c r="F3888" t="s">
        <v>3942</v>
      </c>
    </row>
    <row r="3889" spans="1:6">
      <c r="A3889" t="s">
        <v>3318</v>
      </c>
      <c r="B3889" t="s">
        <v>1364</v>
      </c>
      <c r="C3889" t="s">
        <v>1365</v>
      </c>
      <c r="D3889" t="str">
        <f>HYPERLINK("http://service.sap.com/sap/support/notes/1420886","1420886")</f>
        <v>1420886</v>
      </c>
      <c r="F3889" t="s">
        <v>3943</v>
      </c>
    </row>
    <row r="3890" spans="1:6">
      <c r="A3890" t="s">
        <v>3318</v>
      </c>
      <c r="B3890" t="s">
        <v>1364</v>
      </c>
      <c r="C3890" t="s">
        <v>1365</v>
      </c>
      <c r="D3890" t="str">
        <f>HYPERLINK("http://service.sap.com/sap/support/notes/1424434","1424434")</f>
        <v>1424434</v>
      </c>
      <c r="F3890" t="s">
        <v>3944</v>
      </c>
    </row>
    <row r="3891" spans="1:6">
      <c r="A3891" t="s">
        <v>3318</v>
      </c>
      <c r="B3891" t="s">
        <v>1364</v>
      </c>
      <c r="C3891" t="s">
        <v>1365</v>
      </c>
      <c r="D3891" t="str">
        <f>HYPERLINK("http://service.sap.com/sap/support/notes/1424711","1424711")</f>
        <v>1424711</v>
      </c>
      <c r="F3891" t="s">
        <v>3945</v>
      </c>
    </row>
    <row r="3892" spans="1:6">
      <c r="A3892" t="s">
        <v>3318</v>
      </c>
      <c r="B3892" t="s">
        <v>1364</v>
      </c>
      <c r="C3892" t="s">
        <v>1365</v>
      </c>
      <c r="D3892" t="str">
        <f>HYPERLINK("http://service.sap.com/sap/support/notes/1428015","1428015")</f>
        <v>1428015</v>
      </c>
      <c r="F3892" t="s">
        <v>3946</v>
      </c>
    </row>
    <row r="3893" spans="1:6">
      <c r="A3893" t="s">
        <v>3318</v>
      </c>
      <c r="B3893" t="s">
        <v>1364</v>
      </c>
      <c r="C3893" t="s">
        <v>1365</v>
      </c>
      <c r="D3893" t="str">
        <f>HYPERLINK("http://service.sap.com/sap/support/notes/1430236","1430236")</f>
        <v>1430236</v>
      </c>
      <c r="F3893" t="s">
        <v>3947</v>
      </c>
    </row>
    <row r="3894" spans="1:6">
      <c r="A3894" t="s">
        <v>3318</v>
      </c>
      <c r="B3894" t="s">
        <v>1364</v>
      </c>
      <c r="C3894" t="s">
        <v>1365</v>
      </c>
      <c r="D3894" t="str">
        <f>HYPERLINK("http://service.sap.com/sap/support/notes/1433223","1433223")</f>
        <v>1433223</v>
      </c>
      <c r="F3894" t="s">
        <v>3948</v>
      </c>
    </row>
    <row r="3895" spans="1:6">
      <c r="A3895" t="s">
        <v>3318</v>
      </c>
      <c r="B3895" t="s">
        <v>1364</v>
      </c>
      <c r="C3895" t="s">
        <v>1365</v>
      </c>
      <c r="D3895" t="str">
        <f>HYPERLINK("http://service.sap.com/sap/support/notes/1435829","1435829")</f>
        <v>1435829</v>
      </c>
      <c r="F3895" t="s">
        <v>3949</v>
      </c>
    </row>
    <row r="3896" spans="1:6">
      <c r="A3896" t="s">
        <v>3318</v>
      </c>
      <c r="B3896" t="s">
        <v>1364</v>
      </c>
      <c r="C3896" t="s">
        <v>1365</v>
      </c>
      <c r="D3896" t="str">
        <f>HYPERLINK("http://service.sap.com/sap/support/notes/1436518","1436518")</f>
        <v>1436518</v>
      </c>
      <c r="F3896" t="s">
        <v>3950</v>
      </c>
    </row>
    <row r="3897" spans="1:6">
      <c r="A3897" t="s">
        <v>3318</v>
      </c>
      <c r="B3897" t="s">
        <v>1364</v>
      </c>
      <c r="C3897" t="s">
        <v>1365</v>
      </c>
      <c r="D3897" t="str">
        <f>HYPERLINK("http://service.sap.com/sap/support/notes/1436831","1436831")</f>
        <v>1436831</v>
      </c>
      <c r="F3897" t="s">
        <v>3951</v>
      </c>
    </row>
    <row r="3898" spans="1:6">
      <c r="A3898" t="s">
        <v>3318</v>
      </c>
      <c r="B3898" t="s">
        <v>1364</v>
      </c>
      <c r="C3898" t="s">
        <v>1365</v>
      </c>
      <c r="D3898" t="str">
        <f>HYPERLINK("http://service.sap.com/sap/support/notes/1439014","1439014")</f>
        <v>1439014</v>
      </c>
      <c r="F3898" t="s">
        <v>3952</v>
      </c>
    </row>
    <row r="3899" spans="1:6">
      <c r="A3899" t="s">
        <v>3318</v>
      </c>
      <c r="B3899" t="s">
        <v>1364</v>
      </c>
      <c r="C3899" t="s">
        <v>1365</v>
      </c>
      <c r="D3899" t="str">
        <f>HYPERLINK("http://service.sap.com/sap/support/notes/1444347","1444347")</f>
        <v>1444347</v>
      </c>
      <c r="F3899" t="s">
        <v>3953</v>
      </c>
    </row>
    <row r="3900" spans="1:6">
      <c r="A3900" t="s">
        <v>3318</v>
      </c>
      <c r="B3900" t="s">
        <v>1364</v>
      </c>
      <c r="C3900" t="s">
        <v>1365</v>
      </c>
      <c r="D3900" t="str">
        <f>HYPERLINK("http://service.sap.com/sap/support/notes/1445936","1445936")</f>
        <v>1445936</v>
      </c>
      <c r="F3900" t="s">
        <v>3954</v>
      </c>
    </row>
    <row r="3901" spans="1:6">
      <c r="A3901" t="s">
        <v>3318</v>
      </c>
      <c r="B3901" t="s">
        <v>1364</v>
      </c>
      <c r="C3901" t="s">
        <v>1365</v>
      </c>
      <c r="D3901" t="str">
        <f>HYPERLINK("http://service.sap.com/sap/support/notes/1446019","1446019")</f>
        <v>1446019</v>
      </c>
      <c r="F3901" t="s">
        <v>3955</v>
      </c>
    </row>
    <row r="3902" spans="1:6">
      <c r="A3902" t="s">
        <v>3318</v>
      </c>
      <c r="B3902" t="s">
        <v>1364</v>
      </c>
      <c r="C3902" t="s">
        <v>1365</v>
      </c>
      <c r="D3902" t="str">
        <f>HYPERLINK("http://service.sap.com/sap/support/notes/1446024","1446024")</f>
        <v>1446024</v>
      </c>
      <c r="F3902" t="s">
        <v>3956</v>
      </c>
    </row>
    <row r="3903" spans="1:6">
      <c r="A3903" t="s">
        <v>3318</v>
      </c>
      <c r="B3903" t="s">
        <v>1364</v>
      </c>
      <c r="C3903" t="s">
        <v>1365</v>
      </c>
      <c r="D3903" t="str">
        <f>HYPERLINK("http://service.sap.com/sap/support/notes/1455606","1455606")</f>
        <v>1455606</v>
      </c>
      <c r="F3903" t="s">
        <v>3957</v>
      </c>
    </row>
    <row r="3904" spans="1:6">
      <c r="A3904" t="s">
        <v>3318</v>
      </c>
      <c r="B3904" t="s">
        <v>1364</v>
      </c>
      <c r="C3904" t="s">
        <v>1365</v>
      </c>
      <c r="D3904" t="str">
        <f>HYPERLINK("http://service.sap.com/sap/support/notes/1459242","1459242")</f>
        <v>1459242</v>
      </c>
      <c r="F3904" t="s">
        <v>3958</v>
      </c>
    </row>
    <row r="3905" spans="1:6">
      <c r="A3905" t="s">
        <v>3318</v>
      </c>
      <c r="B3905" t="s">
        <v>1364</v>
      </c>
      <c r="C3905" t="s">
        <v>1365</v>
      </c>
      <c r="D3905" t="str">
        <f>HYPERLINK("http://service.sap.com/sap/support/notes/1459444","1459444")</f>
        <v>1459444</v>
      </c>
      <c r="F3905" t="s">
        <v>3959</v>
      </c>
    </row>
    <row r="3906" spans="1:6">
      <c r="A3906" t="s">
        <v>3318</v>
      </c>
      <c r="B3906" t="s">
        <v>1364</v>
      </c>
      <c r="C3906" t="s">
        <v>1365</v>
      </c>
      <c r="D3906" t="str">
        <f>HYPERLINK("http://service.sap.com/sap/support/notes/1459529","1459529")</f>
        <v>1459529</v>
      </c>
      <c r="F3906" t="s">
        <v>3960</v>
      </c>
    </row>
    <row r="3907" spans="1:6">
      <c r="A3907" t="s">
        <v>3318</v>
      </c>
      <c r="B3907" t="s">
        <v>1364</v>
      </c>
      <c r="C3907" t="s">
        <v>1365</v>
      </c>
      <c r="D3907" t="str">
        <f>HYPERLINK("http://service.sap.com/sap/support/notes/1459549","1459549")</f>
        <v>1459549</v>
      </c>
      <c r="F3907" t="s">
        <v>3961</v>
      </c>
    </row>
    <row r="3908" spans="1:6">
      <c r="A3908" t="s">
        <v>3318</v>
      </c>
      <c r="B3908" t="s">
        <v>1364</v>
      </c>
      <c r="C3908" t="s">
        <v>1365</v>
      </c>
      <c r="D3908" t="str">
        <f>HYPERLINK("http://service.sap.com/sap/support/notes/1461019","1461019")</f>
        <v>1461019</v>
      </c>
      <c r="F3908" t="s">
        <v>3962</v>
      </c>
    </row>
    <row r="3909" spans="1:6">
      <c r="A3909" t="s">
        <v>3318</v>
      </c>
      <c r="B3909" t="s">
        <v>1364</v>
      </c>
      <c r="C3909" t="s">
        <v>1365</v>
      </c>
      <c r="D3909" t="str">
        <f>HYPERLINK("http://service.sap.com/sap/support/notes/1461645","1461645")</f>
        <v>1461645</v>
      </c>
      <c r="F3909" t="s">
        <v>3963</v>
      </c>
    </row>
    <row r="3910" spans="1:6">
      <c r="A3910" t="s">
        <v>3318</v>
      </c>
      <c r="B3910" t="s">
        <v>1364</v>
      </c>
      <c r="C3910" t="s">
        <v>1365</v>
      </c>
      <c r="D3910" t="str">
        <f>HYPERLINK("http://service.sap.com/sap/support/notes/1462359","1462359")</f>
        <v>1462359</v>
      </c>
      <c r="F3910" t="s">
        <v>3964</v>
      </c>
    </row>
    <row r="3911" spans="1:6">
      <c r="A3911" t="s">
        <v>3318</v>
      </c>
      <c r="B3911" t="s">
        <v>1364</v>
      </c>
      <c r="C3911" t="s">
        <v>1365</v>
      </c>
      <c r="D3911" t="str">
        <f>HYPERLINK("http://service.sap.com/sap/support/notes/1464043","1464043")</f>
        <v>1464043</v>
      </c>
      <c r="F3911" t="s">
        <v>3965</v>
      </c>
    </row>
    <row r="3912" spans="1:6">
      <c r="A3912" t="s">
        <v>3318</v>
      </c>
      <c r="B3912" t="s">
        <v>1364</v>
      </c>
      <c r="C3912" t="s">
        <v>1365</v>
      </c>
      <c r="D3912" t="str">
        <f>HYPERLINK("http://service.sap.com/sap/support/notes/1466074","1466074")</f>
        <v>1466074</v>
      </c>
      <c r="F3912" t="s">
        <v>3966</v>
      </c>
    </row>
    <row r="3913" spans="1:6">
      <c r="A3913" t="s">
        <v>3318</v>
      </c>
      <c r="B3913" t="s">
        <v>1364</v>
      </c>
      <c r="C3913" t="s">
        <v>1365</v>
      </c>
      <c r="D3913" t="str">
        <f>HYPERLINK("http://service.sap.com/sap/support/notes/1468476","1468476")</f>
        <v>1468476</v>
      </c>
      <c r="F3913" t="s">
        <v>3967</v>
      </c>
    </row>
    <row r="3914" spans="1:6">
      <c r="A3914" t="s">
        <v>3318</v>
      </c>
      <c r="B3914" t="s">
        <v>1364</v>
      </c>
      <c r="C3914" t="s">
        <v>1365</v>
      </c>
      <c r="D3914" t="str">
        <f>HYPERLINK("http://service.sap.com/sap/support/notes/1470202","1470202")</f>
        <v>1470202</v>
      </c>
      <c r="F3914" t="s">
        <v>3968</v>
      </c>
    </row>
    <row r="3915" spans="1:6">
      <c r="A3915" t="s">
        <v>3318</v>
      </c>
      <c r="B3915" t="s">
        <v>1364</v>
      </c>
      <c r="C3915" t="s">
        <v>1365</v>
      </c>
      <c r="D3915" t="str">
        <f>HYPERLINK("http://service.sap.com/sap/support/notes/1471664","1471664")</f>
        <v>1471664</v>
      </c>
      <c r="F3915" t="s">
        <v>3969</v>
      </c>
    </row>
    <row r="3916" spans="1:6">
      <c r="A3916" t="s">
        <v>3318</v>
      </c>
      <c r="B3916" t="s">
        <v>1392</v>
      </c>
      <c r="C3916" t="s">
        <v>1393</v>
      </c>
      <c r="D3916" t="str">
        <f>HYPERLINK("http://service.sap.com/sap/support/notes/1414271","1414271")</f>
        <v>1414271</v>
      </c>
      <c r="F3916" t="s">
        <v>3970</v>
      </c>
    </row>
    <row r="3917" spans="1:6">
      <c r="A3917" t="s">
        <v>3318</v>
      </c>
      <c r="B3917" t="s">
        <v>1392</v>
      </c>
      <c r="C3917" t="s">
        <v>1393</v>
      </c>
      <c r="D3917" t="str">
        <f>HYPERLINK("http://service.sap.com/sap/support/notes/1418937","1418937")</f>
        <v>1418937</v>
      </c>
      <c r="F3917" t="s">
        <v>3971</v>
      </c>
    </row>
    <row r="3918" spans="1:6">
      <c r="A3918" t="s">
        <v>3318</v>
      </c>
      <c r="B3918" t="s">
        <v>1392</v>
      </c>
      <c r="C3918" t="s">
        <v>1393</v>
      </c>
      <c r="D3918" t="str">
        <f>HYPERLINK("http://service.sap.com/sap/support/notes/1424442","1424442")</f>
        <v>1424442</v>
      </c>
      <c r="F3918" t="s">
        <v>3972</v>
      </c>
    </row>
    <row r="3919" spans="1:6">
      <c r="A3919" t="s">
        <v>3318</v>
      </c>
      <c r="B3919" t="s">
        <v>1392</v>
      </c>
      <c r="C3919" t="s">
        <v>1393</v>
      </c>
      <c r="D3919" t="str">
        <f>HYPERLINK("http://service.sap.com/sap/support/notes/1443697","1443697")</f>
        <v>1443697</v>
      </c>
      <c r="F3919" t="s">
        <v>3973</v>
      </c>
    </row>
    <row r="3920" spans="1:6">
      <c r="A3920" t="s">
        <v>3318</v>
      </c>
      <c r="B3920" t="s">
        <v>1392</v>
      </c>
      <c r="C3920" t="s">
        <v>1393</v>
      </c>
      <c r="D3920" t="str">
        <f>HYPERLINK("http://service.sap.com/sap/support/notes/1464577","1464577")</f>
        <v>1464577</v>
      </c>
      <c r="F3920" t="s">
        <v>3974</v>
      </c>
    </row>
    <row r="3921" spans="1:6">
      <c r="A3921" t="s">
        <v>3318</v>
      </c>
      <c r="B3921" t="s">
        <v>3975</v>
      </c>
      <c r="C3921" t="s">
        <v>3976</v>
      </c>
      <c r="D3921" t="str">
        <f>HYPERLINK("http://service.sap.com/sap/support/notes/1411919","1411919")</f>
        <v>1411919</v>
      </c>
      <c r="F3921" t="s">
        <v>3977</v>
      </c>
    </row>
    <row r="3922" spans="1:6">
      <c r="A3922" t="s">
        <v>3318</v>
      </c>
      <c r="B3922" t="s">
        <v>1395</v>
      </c>
      <c r="C3922" t="s">
        <v>1396</v>
      </c>
      <c r="D3922" t="str">
        <f>HYPERLINK("http://service.sap.com/sap/support/notes/1245590","1245590")</f>
        <v>1245590</v>
      </c>
      <c r="F3922" t="s">
        <v>1397</v>
      </c>
    </row>
    <row r="3923" spans="1:6">
      <c r="A3923" t="s">
        <v>3318</v>
      </c>
      <c r="B3923" t="s">
        <v>1398</v>
      </c>
      <c r="C3923" t="s">
        <v>987</v>
      </c>
      <c r="D3923" t="str">
        <f>HYPERLINK("http://service.sap.com/sap/support/notes/959966","959966")</f>
        <v>959966</v>
      </c>
      <c r="F3923" t="s">
        <v>3978</v>
      </c>
    </row>
    <row r="3924" spans="1:6">
      <c r="A3924" t="s">
        <v>3318</v>
      </c>
      <c r="B3924" t="s">
        <v>1405</v>
      </c>
      <c r="C3924" t="s">
        <v>1406</v>
      </c>
      <c r="D3924" t="str">
        <f>HYPERLINK("http://service.sap.com/sap/support/notes/1398383","1398383")</f>
        <v>1398383</v>
      </c>
      <c r="F3924" t="s">
        <v>3979</v>
      </c>
    </row>
    <row r="3925" spans="1:6">
      <c r="A3925" t="s">
        <v>3318</v>
      </c>
      <c r="B3925" t="s">
        <v>1405</v>
      </c>
      <c r="C3925" t="s">
        <v>1406</v>
      </c>
      <c r="D3925" t="str">
        <f>HYPERLINK("http://service.sap.com/sap/support/notes/1409802","1409802")</f>
        <v>1409802</v>
      </c>
      <c r="F3925" t="s">
        <v>3980</v>
      </c>
    </row>
    <row r="3926" spans="1:6">
      <c r="A3926" t="s">
        <v>3318</v>
      </c>
      <c r="B3926" t="s">
        <v>1405</v>
      </c>
      <c r="C3926" t="s">
        <v>1406</v>
      </c>
      <c r="D3926" t="str">
        <f>HYPERLINK("http://service.sap.com/sap/support/notes/1439146","1439146")</f>
        <v>1439146</v>
      </c>
      <c r="F3926" t="s">
        <v>3981</v>
      </c>
    </row>
    <row r="3927" spans="1:6">
      <c r="A3927" t="s">
        <v>3318</v>
      </c>
      <c r="B3927" t="s">
        <v>1405</v>
      </c>
      <c r="C3927" t="s">
        <v>1406</v>
      </c>
      <c r="D3927" t="str">
        <f>HYPERLINK("http://service.sap.com/sap/support/notes/1451432","1451432")</f>
        <v>1451432</v>
      </c>
      <c r="F3927" t="s">
        <v>3982</v>
      </c>
    </row>
    <row r="3928" spans="1:6">
      <c r="A3928" t="s">
        <v>3318</v>
      </c>
      <c r="B3928" t="s">
        <v>1405</v>
      </c>
      <c r="C3928" t="s">
        <v>1406</v>
      </c>
      <c r="D3928" t="str">
        <f>HYPERLINK("http://service.sap.com/sap/support/notes/1468715","1468715")</f>
        <v>1468715</v>
      </c>
      <c r="F3928" t="s">
        <v>3983</v>
      </c>
    </row>
    <row r="3929" spans="1:6">
      <c r="A3929" t="s">
        <v>3318</v>
      </c>
      <c r="B3929" t="s">
        <v>1413</v>
      </c>
      <c r="C3929" t="s">
        <v>1414</v>
      </c>
      <c r="D3929" t="str">
        <f>HYPERLINK("http://service.sap.com/sap/support/notes/1400475","1400475")</f>
        <v>1400475</v>
      </c>
      <c r="F3929" t="s">
        <v>3984</v>
      </c>
    </row>
    <row r="3930" spans="1:6">
      <c r="A3930" t="s">
        <v>3318</v>
      </c>
      <c r="B3930" t="s">
        <v>1413</v>
      </c>
      <c r="C3930" t="s">
        <v>1414</v>
      </c>
      <c r="D3930" t="str">
        <f>HYPERLINK("http://service.sap.com/sap/support/notes/1415776","1415776")</f>
        <v>1415776</v>
      </c>
      <c r="F3930" t="s">
        <v>3985</v>
      </c>
    </row>
    <row r="3931" spans="1:6">
      <c r="A3931" t="s">
        <v>3318</v>
      </c>
      <c r="B3931" t="s">
        <v>1413</v>
      </c>
      <c r="C3931" t="s">
        <v>1414</v>
      </c>
      <c r="D3931" t="str">
        <f>HYPERLINK("http://service.sap.com/sap/support/notes/1430327","1430327")</f>
        <v>1430327</v>
      </c>
      <c r="F3931" t="s">
        <v>3986</v>
      </c>
    </row>
    <row r="3932" spans="1:6">
      <c r="A3932" t="s">
        <v>3318</v>
      </c>
      <c r="B3932" t="s">
        <v>1413</v>
      </c>
      <c r="C3932" t="s">
        <v>1414</v>
      </c>
      <c r="D3932" t="str">
        <f>HYPERLINK("http://service.sap.com/sap/support/notes/1430668","1430668")</f>
        <v>1430668</v>
      </c>
      <c r="F3932" t="s">
        <v>3987</v>
      </c>
    </row>
    <row r="3933" spans="1:6">
      <c r="A3933" t="s">
        <v>3318</v>
      </c>
      <c r="B3933" t="s">
        <v>1413</v>
      </c>
      <c r="C3933" t="s">
        <v>1414</v>
      </c>
      <c r="D3933" t="str">
        <f>HYPERLINK("http://service.sap.com/sap/support/notes/1447176","1447176")</f>
        <v>1447176</v>
      </c>
      <c r="F3933" t="s">
        <v>3988</v>
      </c>
    </row>
    <row r="3934" spans="1:6">
      <c r="A3934" t="s">
        <v>3318</v>
      </c>
      <c r="B3934" t="s">
        <v>1413</v>
      </c>
      <c r="C3934" t="s">
        <v>1414</v>
      </c>
      <c r="D3934" t="str">
        <f>HYPERLINK("http://service.sap.com/sap/support/notes/1450002","1450002")</f>
        <v>1450002</v>
      </c>
      <c r="F3934" t="s">
        <v>3989</v>
      </c>
    </row>
    <row r="3935" spans="1:6">
      <c r="A3935" t="s">
        <v>3318</v>
      </c>
      <c r="B3935" t="s">
        <v>1413</v>
      </c>
      <c r="C3935" t="s">
        <v>1414</v>
      </c>
      <c r="D3935" t="str">
        <f>HYPERLINK("http://service.sap.com/sap/support/notes/1450224","1450224")</f>
        <v>1450224</v>
      </c>
      <c r="F3935" t="s">
        <v>3990</v>
      </c>
    </row>
    <row r="3936" spans="1:6">
      <c r="A3936" t="s">
        <v>3318</v>
      </c>
      <c r="B3936" t="s">
        <v>1413</v>
      </c>
      <c r="C3936" t="s">
        <v>1414</v>
      </c>
      <c r="D3936" t="str">
        <f>HYPERLINK("http://service.sap.com/sap/support/notes/1452034","1452034")</f>
        <v>1452034</v>
      </c>
      <c r="F3936" t="s">
        <v>3991</v>
      </c>
    </row>
    <row r="3937" spans="1:6">
      <c r="A3937" t="s">
        <v>3318</v>
      </c>
      <c r="B3937" t="s">
        <v>1413</v>
      </c>
      <c r="C3937" t="s">
        <v>1414</v>
      </c>
      <c r="D3937" t="str">
        <f>HYPERLINK("http://service.sap.com/sap/support/notes/1453633","1453633")</f>
        <v>1453633</v>
      </c>
      <c r="F3937" t="s">
        <v>3992</v>
      </c>
    </row>
    <row r="3938" spans="1:6">
      <c r="A3938" t="s">
        <v>3318</v>
      </c>
      <c r="B3938" t="s">
        <v>1413</v>
      </c>
      <c r="C3938" t="s">
        <v>1414</v>
      </c>
      <c r="D3938" t="str">
        <f>HYPERLINK("http://service.sap.com/sap/support/notes/1457282","1457282")</f>
        <v>1457282</v>
      </c>
      <c r="F3938" t="s">
        <v>3993</v>
      </c>
    </row>
    <row r="3939" spans="1:6">
      <c r="A3939" t="s">
        <v>3318</v>
      </c>
      <c r="B3939" t="s">
        <v>544</v>
      </c>
      <c r="C3939" t="s">
        <v>1426</v>
      </c>
      <c r="D3939" t="str">
        <f>HYPERLINK("http://service.sap.com/sap/support/notes/1391367","1391367")</f>
        <v>1391367</v>
      </c>
      <c r="F3939" t="s">
        <v>546</v>
      </c>
    </row>
    <row r="3940" spans="1:6">
      <c r="A3940" t="s">
        <v>3318</v>
      </c>
      <c r="B3940" t="s">
        <v>544</v>
      </c>
      <c r="C3940" t="s">
        <v>1426</v>
      </c>
      <c r="D3940" t="str">
        <f>HYPERLINK("http://service.sap.com/sap/support/notes/1408707","1408707")</f>
        <v>1408707</v>
      </c>
      <c r="F3940" t="s">
        <v>3994</v>
      </c>
    </row>
    <row r="3941" spans="1:6">
      <c r="A3941" t="s">
        <v>3318</v>
      </c>
      <c r="B3941" t="s">
        <v>544</v>
      </c>
      <c r="C3941" t="s">
        <v>1426</v>
      </c>
      <c r="D3941" t="str">
        <f>HYPERLINK("http://service.sap.com/sap/support/notes/1418131","1418131")</f>
        <v>1418131</v>
      </c>
      <c r="F3941" t="s">
        <v>3995</v>
      </c>
    </row>
    <row r="3942" spans="1:6">
      <c r="A3942" t="s">
        <v>3318</v>
      </c>
      <c r="B3942" t="s">
        <v>544</v>
      </c>
      <c r="C3942" t="s">
        <v>1426</v>
      </c>
      <c r="D3942" t="str">
        <f>HYPERLINK("http://service.sap.com/sap/support/notes/1424031","1424031")</f>
        <v>1424031</v>
      </c>
      <c r="F3942" t="s">
        <v>3996</v>
      </c>
    </row>
    <row r="3943" spans="1:6">
      <c r="A3943" t="s">
        <v>3318</v>
      </c>
      <c r="B3943" t="s">
        <v>544</v>
      </c>
      <c r="C3943" t="s">
        <v>1426</v>
      </c>
      <c r="D3943" t="str">
        <f>HYPERLINK("http://service.sap.com/sap/support/notes/1431002","1431002")</f>
        <v>1431002</v>
      </c>
      <c r="F3943" t="s">
        <v>3997</v>
      </c>
    </row>
    <row r="3944" spans="1:6">
      <c r="A3944" t="s">
        <v>3318</v>
      </c>
      <c r="B3944" t="s">
        <v>544</v>
      </c>
      <c r="C3944" t="s">
        <v>1426</v>
      </c>
      <c r="D3944" t="str">
        <f>HYPERLINK("http://service.sap.com/sap/support/notes/1453689","1453689")</f>
        <v>1453689</v>
      </c>
      <c r="F3944" t="s">
        <v>3998</v>
      </c>
    </row>
    <row r="3945" spans="1:6">
      <c r="A3945" t="s">
        <v>3318</v>
      </c>
      <c r="B3945" t="s">
        <v>544</v>
      </c>
      <c r="C3945" t="s">
        <v>1426</v>
      </c>
      <c r="D3945" t="str">
        <f>HYPERLINK("http://service.sap.com/sap/support/notes/1458151","1458151")</f>
        <v>1458151</v>
      </c>
      <c r="F3945" t="s">
        <v>3999</v>
      </c>
    </row>
    <row r="3946" spans="1:6">
      <c r="A3946" t="s">
        <v>3318</v>
      </c>
      <c r="B3946" t="s">
        <v>544</v>
      </c>
      <c r="C3946" t="s">
        <v>1426</v>
      </c>
      <c r="D3946" t="str">
        <f>HYPERLINK("http://service.sap.com/sap/support/notes/1461833","1461833")</f>
        <v>1461833</v>
      </c>
      <c r="F3946" t="s">
        <v>4000</v>
      </c>
    </row>
    <row r="3947" spans="1:6">
      <c r="A3947" t="s">
        <v>3318</v>
      </c>
      <c r="B3947" t="s">
        <v>544</v>
      </c>
      <c r="C3947" t="s">
        <v>1426</v>
      </c>
      <c r="D3947" t="str">
        <f>HYPERLINK("http://service.sap.com/sap/support/notes/1468231","1468231")</f>
        <v>1468231</v>
      </c>
      <c r="F3947" t="s">
        <v>4001</v>
      </c>
    </row>
    <row r="3948" spans="1:6">
      <c r="A3948" t="s">
        <v>3318</v>
      </c>
      <c r="B3948" t="s">
        <v>544</v>
      </c>
      <c r="C3948" t="s">
        <v>1426</v>
      </c>
      <c r="D3948" t="str">
        <f>HYPERLINK("http://service.sap.com/sap/support/notes/1470511","1470511")</f>
        <v>1470511</v>
      </c>
      <c r="F3948" t="s">
        <v>4002</v>
      </c>
    </row>
    <row r="3949" spans="1:6">
      <c r="A3949" t="s">
        <v>3318</v>
      </c>
      <c r="B3949" t="s">
        <v>1436</v>
      </c>
      <c r="C3949" t="s">
        <v>1437</v>
      </c>
      <c r="D3949" t="str">
        <f>HYPERLINK("http://service.sap.com/sap/support/notes/1396833","1396833")</f>
        <v>1396833</v>
      </c>
      <c r="F3949" t="s">
        <v>4003</v>
      </c>
    </row>
    <row r="3950" spans="1:6">
      <c r="A3950" t="s">
        <v>3318</v>
      </c>
      <c r="B3950" t="s">
        <v>1436</v>
      </c>
      <c r="C3950" t="s">
        <v>1437</v>
      </c>
      <c r="D3950" t="str">
        <f>HYPERLINK("http://service.sap.com/sap/support/notes/1426809","1426809")</f>
        <v>1426809</v>
      </c>
      <c r="F3950" t="s">
        <v>4004</v>
      </c>
    </row>
    <row r="3951" spans="1:6">
      <c r="A3951" t="s">
        <v>3318</v>
      </c>
      <c r="B3951" t="s">
        <v>1436</v>
      </c>
      <c r="C3951" t="s">
        <v>1437</v>
      </c>
      <c r="D3951" t="str">
        <f>HYPERLINK("http://service.sap.com/sap/support/notes/1434488","1434488")</f>
        <v>1434488</v>
      </c>
      <c r="F3951" t="s">
        <v>4005</v>
      </c>
    </row>
    <row r="3952" spans="1:6">
      <c r="A3952" t="s">
        <v>3318</v>
      </c>
      <c r="B3952" t="s">
        <v>1436</v>
      </c>
      <c r="C3952" t="s">
        <v>1437</v>
      </c>
      <c r="D3952" t="str">
        <f>HYPERLINK("http://service.sap.com/sap/support/notes/1445009","1445009")</f>
        <v>1445009</v>
      </c>
      <c r="F3952" t="s">
        <v>4006</v>
      </c>
    </row>
    <row r="3953" spans="1:6">
      <c r="A3953" t="s">
        <v>3318</v>
      </c>
      <c r="B3953" t="s">
        <v>1436</v>
      </c>
      <c r="C3953" t="s">
        <v>1437</v>
      </c>
      <c r="D3953" t="str">
        <f>HYPERLINK("http://service.sap.com/sap/support/notes/1450317","1450317")</f>
        <v>1450317</v>
      </c>
      <c r="F3953" t="s">
        <v>4007</v>
      </c>
    </row>
    <row r="3954" spans="1:6">
      <c r="A3954" t="s">
        <v>3318</v>
      </c>
      <c r="B3954" t="s">
        <v>1436</v>
      </c>
      <c r="C3954" t="s">
        <v>1437</v>
      </c>
      <c r="D3954" t="str">
        <f>HYPERLINK("http://service.sap.com/sap/support/notes/1455958","1455958")</f>
        <v>1455958</v>
      </c>
      <c r="F3954" t="s">
        <v>4008</v>
      </c>
    </row>
    <row r="3955" spans="1:6">
      <c r="A3955" t="s">
        <v>3318</v>
      </c>
      <c r="B3955" t="s">
        <v>1436</v>
      </c>
      <c r="C3955" t="s">
        <v>1437</v>
      </c>
      <c r="D3955" t="str">
        <f>HYPERLINK("http://service.sap.com/sap/support/notes/1462670","1462670")</f>
        <v>1462670</v>
      </c>
      <c r="F3955" t="s">
        <v>4009</v>
      </c>
    </row>
    <row r="3956" spans="1:6">
      <c r="A3956" t="s">
        <v>3318</v>
      </c>
      <c r="B3956" t="s">
        <v>1436</v>
      </c>
      <c r="C3956" t="s">
        <v>1437</v>
      </c>
      <c r="D3956" t="str">
        <f>HYPERLINK("http://service.sap.com/sap/support/notes/1467676","1467676")</f>
        <v>1467676</v>
      </c>
      <c r="F3956" t="s">
        <v>4010</v>
      </c>
    </row>
    <row r="3957" spans="1:6">
      <c r="A3957" t="s">
        <v>3318</v>
      </c>
      <c r="B3957" t="s">
        <v>1914</v>
      </c>
      <c r="C3957" t="s">
        <v>1915</v>
      </c>
      <c r="D3957" t="str">
        <f>HYPERLINK("http://service.sap.com/sap/support/notes/1175233","1175233")</f>
        <v>1175233</v>
      </c>
      <c r="F3957" t="s">
        <v>1916</v>
      </c>
    </row>
    <row r="3958" spans="1:6">
      <c r="A3958" t="s">
        <v>3318</v>
      </c>
      <c r="B3958" t="s">
        <v>1914</v>
      </c>
      <c r="C3958" t="s">
        <v>1915</v>
      </c>
      <c r="D3958" t="str">
        <f>HYPERLINK("http://service.sap.com/sap/support/notes/1458294","1458294")</f>
        <v>1458294</v>
      </c>
      <c r="F3958" t="s">
        <v>4011</v>
      </c>
    </row>
    <row r="3959" spans="1:6">
      <c r="A3959" t="s">
        <v>3318</v>
      </c>
      <c r="B3959" t="s">
        <v>1914</v>
      </c>
      <c r="C3959" t="s">
        <v>1915</v>
      </c>
      <c r="D3959" t="str">
        <f>HYPERLINK("http://service.sap.com/sap/support/notes/1463809","1463809")</f>
        <v>1463809</v>
      </c>
      <c r="F3959" t="s">
        <v>4012</v>
      </c>
    </row>
    <row r="3960" spans="1:6">
      <c r="A3960" t="s">
        <v>3318</v>
      </c>
      <c r="B3960" t="s">
        <v>1914</v>
      </c>
      <c r="C3960" t="s">
        <v>1915</v>
      </c>
      <c r="D3960" t="str">
        <f>HYPERLINK("http://service.sap.com/sap/support/notes/1466888","1466888")</f>
        <v>1466888</v>
      </c>
      <c r="F3960" t="s">
        <v>4013</v>
      </c>
    </row>
    <row r="3961" spans="1:6">
      <c r="A3961" t="s">
        <v>3318</v>
      </c>
      <c r="B3961" t="s">
        <v>1914</v>
      </c>
      <c r="C3961" t="s">
        <v>1915</v>
      </c>
      <c r="D3961" t="str">
        <f>HYPERLINK("http://service.sap.com/sap/support/notes/1470687","1470687")</f>
        <v>1470687</v>
      </c>
      <c r="F3961" t="s">
        <v>4014</v>
      </c>
    </row>
    <row r="3962" spans="1:6">
      <c r="A3962" t="s">
        <v>3318</v>
      </c>
      <c r="B3962" t="s">
        <v>1444</v>
      </c>
    </row>
    <row r="3963" spans="1:6">
      <c r="A3963" t="s">
        <v>3318</v>
      </c>
      <c r="B3963" t="s">
        <v>1445</v>
      </c>
    </row>
    <row r="3964" spans="1:6">
      <c r="A3964" t="s">
        <v>3318</v>
      </c>
      <c r="B3964" t="s">
        <v>4015</v>
      </c>
      <c r="C3964" t="s">
        <v>4016</v>
      </c>
      <c r="D3964" t="str">
        <f>HYPERLINK("http://service.sap.com/sap/support/notes/1470136","1470136")</f>
        <v>1470136</v>
      </c>
      <c r="F3964" t="s">
        <v>4017</v>
      </c>
    </row>
    <row r="3965" spans="1:6">
      <c r="A3965" t="s">
        <v>4018</v>
      </c>
      <c r="B3965" t="s">
        <v>3335</v>
      </c>
      <c r="C3965" t="s">
        <v>4019</v>
      </c>
    </row>
    <row r="3966" spans="1:6">
      <c r="A3966" t="s">
        <v>4018</v>
      </c>
      <c r="B3966" t="s">
        <v>3336</v>
      </c>
      <c r="C3966" t="s">
        <v>4020</v>
      </c>
      <c r="D3966" t="str">
        <f>HYPERLINK("http://service.sap.com/sap/support/notes/1464810","1464810")</f>
        <v>1464810</v>
      </c>
      <c r="F3966" t="s">
        <v>3338</v>
      </c>
    </row>
    <row r="3967" spans="1:6">
      <c r="A3967" t="s">
        <v>4018</v>
      </c>
      <c r="B3967" t="s">
        <v>37</v>
      </c>
      <c r="C3967" t="s">
        <v>17</v>
      </c>
    </row>
    <row r="3968" spans="1:6">
      <c r="A3968" t="s">
        <v>4018</v>
      </c>
      <c r="B3968" t="s">
        <v>609</v>
      </c>
      <c r="C3968" t="s">
        <v>1483</v>
      </c>
      <c r="D3968" t="str">
        <f>HYPERLINK("http://service.sap.com/sap/support/notes/1309878","1309878")</f>
        <v>1309878</v>
      </c>
      <c r="F3968" t="s">
        <v>611</v>
      </c>
    </row>
    <row r="3969" spans="1:6">
      <c r="A3969" t="s">
        <v>4018</v>
      </c>
      <c r="B3969" t="s">
        <v>622</v>
      </c>
      <c r="C3969" t="s">
        <v>623</v>
      </c>
      <c r="D3969" t="str">
        <f>HYPERLINK("http://service.sap.com/sap/support/notes/1443661","1443661")</f>
        <v>1443661</v>
      </c>
      <c r="F3969" t="s">
        <v>3384</v>
      </c>
    </row>
    <row r="3970" spans="1:6">
      <c r="A3970" t="s">
        <v>4018</v>
      </c>
      <c r="B3970" t="s">
        <v>44</v>
      </c>
      <c r="C3970" t="s">
        <v>45</v>
      </c>
    </row>
    <row r="3971" spans="1:6">
      <c r="A3971" t="s">
        <v>4018</v>
      </c>
      <c r="B3971" t="s">
        <v>46</v>
      </c>
      <c r="C3971" t="s">
        <v>47</v>
      </c>
      <c r="D3971" t="str">
        <f>HYPERLINK("http://service.sap.com/sap/support/notes/1041427","1041427")</f>
        <v>1041427</v>
      </c>
      <c r="F3971" t="s">
        <v>48</v>
      </c>
    </row>
    <row r="3972" spans="1:6">
      <c r="A3972" t="s">
        <v>4018</v>
      </c>
      <c r="B3972" t="s">
        <v>59</v>
      </c>
      <c r="C3972" t="s">
        <v>60</v>
      </c>
      <c r="D3972" t="str">
        <f>HYPERLINK("http://service.sap.com/sap/support/notes/1473818","1473818")</f>
        <v>1473818</v>
      </c>
      <c r="F3972" t="s">
        <v>4021</v>
      </c>
    </row>
    <row r="3973" spans="1:6">
      <c r="A3973" t="s">
        <v>4018</v>
      </c>
      <c r="B3973" t="s">
        <v>59</v>
      </c>
      <c r="C3973" t="s">
        <v>60</v>
      </c>
      <c r="D3973" t="str">
        <f>HYPERLINK("http://service.sap.com/sap/support/notes/1480834","1480834")</f>
        <v>1480834</v>
      </c>
      <c r="F3973" t="s">
        <v>4022</v>
      </c>
    </row>
    <row r="3974" spans="1:6">
      <c r="A3974" t="s">
        <v>4018</v>
      </c>
      <c r="B3974" t="s">
        <v>59</v>
      </c>
      <c r="C3974" t="s">
        <v>60</v>
      </c>
      <c r="D3974" t="str">
        <f>HYPERLINK("http://service.sap.com/sap/support/notes/1480961","1480961")</f>
        <v>1480961</v>
      </c>
      <c r="F3974" t="s">
        <v>772</v>
      </c>
    </row>
    <row r="3975" spans="1:6">
      <c r="A3975" t="s">
        <v>4018</v>
      </c>
      <c r="B3975" t="s">
        <v>62</v>
      </c>
      <c r="C3975" t="s">
        <v>63</v>
      </c>
      <c r="D3975" t="str">
        <f>HYPERLINK("http://service.sap.com/sap/support/notes/1456476","1456476")</f>
        <v>1456476</v>
      </c>
      <c r="F3975" t="s">
        <v>4023</v>
      </c>
    </row>
    <row r="3976" spans="1:6">
      <c r="A3976" t="s">
        <v>4018</v>
      </c>
      <c r="B3976" t="s">
        <v>2638</v>
      </c>
      <c r="C3976" t="s">
        <v>219</v>
      </c>
      <c r="D3976" t="str">
        <f>HYPERLINK("http://service.sap.com/sap/support/notes/1480919","1480919")</f>
        <v>1480919</v>
      </c>
      <c r="F3976" t="s">
        <v>4024</v>
      </c>
    </row>
    <row r="3977" spans="1:6">
      <c r="A3977" t="s">
        <v>4018</v>
      </c>
      <c r="B3977" t="s">
        <v>68</v>
      </c>
      <c r="C3977" t="s">
        <v>69</v>
      </c>
      <c r="D3977" t="str">
        <f>HYPERLINK("http://service.sap.com/sap/support/notes/1477192","1477192")</f>
        <v>1477192</v>
      </c>
      <c r="F3977" t="s">
        <v>4025</v>
      </c>
    </row>
    <row r="3978" spans="1:6">
      <c r="A3978" t="s">
        <v>4018</v>
      </c>
      <c r="B3978" t="s">
        <v>75</v>
      </c>
      <c r="C3978" t="s">
        <v>76</v>
      </c>
      <c r="D3978" t="str">
        <f>HYPERLINK("http://service.sap.com/sap/support/notes/700094","700094")</f>
        <v>700094</v>
      </c>
      <c r="F3978" t="s">
        <v>77</v>
      </c>
    </row>
    <row r="3979" spans="1:6">
      <c r="A3979" t="s">
        <v>4018</v>
      </c>
      <c r="B3979" t="s">
        <v>79</v>
      </c>
      <c r="C3979" t="s">
        <v>80</v>
      </c>
      <c r="D3979" t="str">
        <f>HYPERLINK("http://service.sap.com/sap/support/notes/1472701","1472701")</f>
        <v>1472701</v>
      </c>
      <c r="F3979" t="s">
        <v>4026</v>
      </c>
    </row>
    <row r="3980" spans="1:6">
      <c r="A3980" t="s">
        <v>4018</v>
      </c>
      <c r="B3980" t="s">
        <v>79</v>
      </c>
      <c r="C3980" t="s">
        <v>80</v>
      </c>
      <c r="D3980" t="str">
        <f>HYPERLINK("http://service.sap.com/sap/support/notes/1476576","1476576")</f>
        <v>1476576</v>
      </c>
      <c r="F3980" t="s">
        <v>4027</v>
      </c>
    </row>
    <row r="3981" spans="1:6">
      <c r="A3981" t="s">
        <v>4018</v>
      </c>
      <c r="B3981" t="s">
        <v>665</v>
      </c>
      <c r="C3981" t="s">
        <v>425</v>
      </c>
      <c r="D3981" t="str">
        <f>HYPERLINK("http://service.sap.com/sap/support/notes/448307","448307")</f>
        <v>448307</v>
      </c>
      <c r="F3981" t="s">
        <v>666</v>
      </c>
    </row>
    <row r="3982" spans="1:6">
      <c r="A3982" t="s">
        <v>4018</v>
      </c>
      <c r="B3982" t="s">
        <v>667</v>
      </c>
      <c r="C3982" t="s">
        <v>442</v>
      </c>
      <c r="D3982" t="str">
        <f>HYPERLINK("http://service.sap.com/sap/support/notes/1477013","1477013")</f>
        <v>1477013</v>
      </c>
      <c r="F3982" t="s">
        <v>4028</v>
      </c>
    </row>
    <row r="3983" spans="1:6">
      <c r="A3983" t="s">
        <v>4018</v>
      </c>
      <c r="B3983" t="s">
        <v>667</v>
      </c>
      <c r="C3983" t="s">
        <v>442</v>
      </c>
      <c r="D3983" t="str">
        <f>HYPERLINK("http://service.sap.com/sap/support/notes/1477098","1477098")</f>
        <v>1477098</v>
      </c>
      <c r="F3983" t="s">
        <v>4029</v>
      </c>
    </row>
    <row r="3984" spans="1:6">
      <c r="A3984" t="s">
        <v>4018</v>
      </c>
      <c r="B3984" t="s">
        <v>99</v>
      </c>
      <c r="C3984" t="s">
        <v>100</v>
      </c>
      <c r="D3984" t="str">
        <f>HYPERLINK("http://service.sap.com/sap/support/notes/1473807","1473807")</f>
        <v>1473807</v>
      </c>
      <c r="F3984" t="s">
        <v>4030</v>
      </c>
    </row>
    <row r="3985" spans="1:6">
      <c r="A3985" t="s">
        <v>4018</v>
      </c>
      <c r="B3985" t="s">
        <v>99</v>
      </c>
      <c r="C3985" t="s">
        <v>100</v>
      </c>
      <c r="D3985" t="str">
        <f>HYPERLINK("http://service.sap.com/sap/support/notes/1478151","1478151")</f>
        <v>1478151</v>
      </c>
      <c r="F3985" t="s">
        <v>4031</v>
      </c>
    </row>
    <row r="3986" spans="1:6">
      <c r="A3986" t="s">
        <v>4018</v>
      </c>
      <c r="B3986" t="s">
        <v>99</v>
      </c>
      <c r="C3986" t="s">
        <v>100</v>
      </c>
      <c r="D3986" t="str">
        <f>HYPERLINK("http://service.sap.com/sap/support/notes/1478307","1478307")</f>
        <v>1478307</v>
      </c>
      <c r="F3986" t="s">
        <v>4032</v>
      </c>
    </row>
    <row r="3987" spans="1:6">
      <c r="A3987" t="s">
        <v>4018</v>
      </c>
      <c r="B3987" t="s">
        <v>99</v>
      </c>
      <c r="C3987" t="s">
        <v>100</v>
      </c>
      <c r="D3987" t="str">
        <f>HYPERLINK("http://service.sap.com/sap/support/notes/1479076","1479076")</f>
        <v>1479076</v>
      </c>
      <c r="F3987" t="s">
        <v>4033</v>
      </c>
    </row>
    <row r="3988" spans="1:6">
      <c r="A3988" t="s">
        <v>4018</v>
      </c>
      <c r="B3988" t="s">
        <v>99</v>
      </c>
      <c r="C3988" t="s">
        <v>100</v>
      </c>
      <c r="D3988" t="str">
        <f>HYPERLINK("http://service.sap.com/sap/support/notes/1479746","1479746")</f>
        <v>1479746</v>
      </c>
      <c r="F3988" t="s">
        <v>4034</v>
      </c>
    </row>
    <row r="3989" spans="1:6">
      <c r="A3989" t="s">
        <v>4018</v>
      </c>
      <c r="B3989" t="s">
        <v>116</v>
      </c>
      <c r="C3989" t="s">
        <v>117</v>
      </c>
      <c r="D3989" t="str">
        <f>HYPERLINK("http://service.sap.com/sap/support/notes/1412328","1412328")</f>
        <v>1412328</v>
      </c>
      <c r="F3989" t="s">
        <v>3437</v>
      </c>
    </row>
    <row r="3990" spans="1:6">
      <c r="A3990" t="s">
        <v>4018</v>
      </c>
      <c r="B3990" t="s">
        <v>4035</v>
      </c>
      <c r="C3990" t="s">
        <v>4036</v>
      </c>
      <c r="D3990" t="str">
        <f>HYPERLINK("http://service.sap.com/sap/support/notes/1150374","1150374")</f>
        <v>1150374</v>
      </c>
      <c r="F3990" t="s">
        <v>4037</v>
      </c>
    </row>
    <row r="3991" spans="1:6">
      <c r="A3991" t="s">
        <v>4018</v>
      </c>
      <c r="B3991" t="s">
        <v>128</v>
      </c>
      <c r="C3991" t="s">
        <v>129</v>
      </c>
    </row>
    <row r="3992" spans="1:6">
      <c r="A3992" t="s">
        <v>4018</v>
      </c>
      <c r="B3992" t="s">
        <v>3032</v>
      </c>
      <c r="C3992" t="s">
        <v>3033</v>
      </c>
      <c r="D3992" t="str">
        <f>HYPERLINK("http://service.sap.com/sap/support/notes/1476089","1476089")</f>
        <v>1476089</v>
      </c>
      <c r="F3992" t="s">
        <v>4038</v>
      </c>
    </row>
    <row r="3993" spans="1:6">
      <c r="A3993" t="s">
        <v>4018</v>
      </c>
      <c r="B3993" t="s">
        <v>130</v>
      </c>
      <c r="C3993" t="s">
        <v>131</v>
      </c>
      <c r="D3993" t="str">
        <f>HYPERLINK("http://service.sap.com/sap/support/notes/1461257","1461257")</f>
        <v>1461257</v>
      </c>
      <c r="F3993" t="s">
        <v>4039</v>
      </c>
    </row>
    <row r="3994" spans="1:6">
      <c r="A3994" t="s">
        <v>4018</v>
      </c>
      <c r="B3994" t="s">
        <v>130</v>
      </c>
      <c r="C3994" t="s">
        <v>131</v>
      </c>
      <c r="D3994" t="str">
        <f>HYPERLINK("http://service.sap.com/sap/support/notes/1465275","1465275")</f>
        <v>1465275</v>
      </c>
      <c r="F3994" t="s">
        <v>4040</v>
      </c>
    </row>
    <row r="3995" spans="1:6">
      <c r="A3995" t="s">
        <v>4018</v>
      </c>
      <c r="B3995" t="s">
        <v>130</v>
      </c>
      <c r="C3995" t="s">
        <v>131</v>
      </c>
      <c r="D3995" t="str">
        <f>HYPERLINK("http://service.sap.com/sap/support/notes/1475062","1475062")</f>
        <v>1475062</v>
      </c>
      <c r="F3995" t="s">
        <v>4041</v>
      </c>
    </row>
    <row r="3996" spans="1:6">
      <c r="A3996" t="s">
        <v>4018</v>
      </c>
      <c r="B3996" t="s">
        <v>130</v>
      </c>
      <c r="C3996" t="s">
        <v>131</v>
      </c>
      <c r="D3996" t="str">
        <f>HYPERLINK("http://service.sap.com/sap/support/notes/1478209","1478209")</f>
        <v>1478209</v>
      </c>
      <c r="F3996" t="s">
        <v>4042</v>
      </c>
    </row>
    <row r="3997" spans="1:6">
      <c r="A3997" t="s">
        <v>4018</v>
      </c>
      <c r="B3997" t="s">
        <v>811</v>
      </c>
      <c r="C3997" t="s">
        <v>4043</v>
      </c>
      <c r="D3997" t="str">
        <f>HYPERLINK("http://service.sap.com/sap/support/notes/1474180","1474180")</f>
        <v>1474180</v>
      </c>
      <c r="F3997" t="s">
        <v>3546</v>
      </c>
    </row>
    <row r="3998" spans="1:6">
      <c r="A3998" t="s">
        <v>4018</v>
      </c>
      <c r="B3998" t="s">
        <v>137</v>
      </c>
      <c r="C3998" t="s">
        <v>138</v>
      </c>
    </row>
    <row r="3999" spans="1:6">
      <c r="A3999" t="s">
        <v>4018</v>
      </c>
      <c r="B3999" t="s">
        <v>1541</v>
      </c>
      <c r="C3999" t="s">
        <v>1542</v>
      </c>
      <c r="D3999" t="str">
        <f>HYPERLINK("http://service.sap.com/sap/support/notes/1468833","1468833")</f>
        <v>1468833</v>
      </c>
      <c r="F3999" t="s">
        <v>4044</v>
      </c>
    </row>
    <row r="4000" spans="1:6">
      <c r="A4000" t="s">
        <v>4018</v>
      </c>
      <c r="B4000" t="s">
        <v>146</v>
      </c>
      <c r="C4000" t="s">
        <v>147</v>
      </c>
    </row>
    <row r="4001" spans="1:6">
      <c r="A4001" t="s">
        <v>4018</v>
      </c>
      <c r="B4001" t="s">
        <v>148</v>
      </c>
      <c r="C4001" t="s">
        <v>149</v>
      </c>
      <c r="D4001" t="str">
        <f>HYPERLINK("http://service.sap.com/sap/support/notes/1476428","1476428")</f>
        <v>1476428</v>
      </c>
      <c r="F4001" t="s">
        <v>4045</v>
      </c>
    </row>
    <row r="4002" spans="1:6">
      <c r="A4002" t="s">
        <v>4018</v>
      </c>
      <c r="B4002" t="s">
        <v>158</v>
      </c>
      <c r="C4002" t="s">
        <v>159</v>
      </c>
    </row>
    <row r="4003" spans="1:6">
      <c r="A4003" t="s">
        <v>4018</v>
      </c>
      <c r="B4003" t="s">
        <v>160</v>
      </c>
      <c r="C4003" t="s">
        <v>47</v>
      </c>
      <c r="D4003" t="str">
        <f>HYPERLINK("http://service.sap.com/sap/support/notes/1457300","1457300")</f>
        <v>1457300</v>
      </c>
      <c r="F4003" t="s">
        <v>4046</v>
      </c>
    </row>
    <row r="4004" spans="1:6">
      <c r="A4004" t="s">
        <v>4018</v>
      </c>
      <c r="B4004" t="s">
        <v>160</v>
      </c>
      <c r="C4004" t="s">
        <v>47</v>
      </c>
      <c r="D4004" t="str">
        <f>HYPERLINK("http://service.sap.com/sap/support/notes/1472148","1472148")</f>
        <v>1472148</v>
      </c>
      <c r="F4004" t="s">
        <v>4047</v>
      </c>
    </row>
    <row r="4005" spans="1:6">
      <c r="A4005" t="s">
        <v>4018</v>
      </c>
      <c r="B4005" t="s">
        <v>160</v>
      </c>
      <c r="C4005" t="s">
        <v>47</v>
      </c>
      <c r="D4005" t="str">
        <f>HYPERLINK("http://service.sap.com/sap/support/notes/1474934","1474934")</f>
        <v>1474934</v>
      </c>
      <c r="F4005" t="s">
        <v>4048</v>
      </c>
    </row>
    <row r="4006" spans="1:6">
      <c r="A4006" t="s">
        <v>4018</v>
      </c>
      <c r="B4006" t="s">
        <v>160</v>
      </c>
      <c r="C4006" t="s">
        <v>47</v>
      </c>
      <c r="D4006" t="str">
        <f>HYPERLINK("http://service.sap.com/sap/support/notes/1475347","1475347")</f>
        <v>1475347</v>
      </c>
      <c r="F4006" t="s">
        <v>4049</v>
      </c>
    </row>
    <row r="4007" spans="1:6">
      <c r="A4007" t="s">
        <v>4018</v>
      </c>
      <c r="B4007" t="s">
        <v>160</v>
      </c>
      <c r="C4007" t="s">
        <v>47</v>
      </c>
      <c r="D4007" t="str">
        <f>HYPERLINK("http://service.sap.com/sap/support/notes/1475892","1475892")</f>
        <v>1475892</v>
      </c>
      <c r="F4007" t="s">
        <v>4050</v>
      </c>
    </row>
    <row r="4008" spans="1:6">
      <c r="A4008" t="s">
        <v>4018</v>
      </c>
      <c r="B4008" t="s">
        <v>160</v>
      </c>
      <c r="C4008" t="s">
        <v>47</v>
      </c>
      <c r="D4008" t="str">
        <f>HYPERLINK("http://service.sap.com/sap/support/notes/1478440","1478440")</f>
        <v>1478440</v>
      </c>
      <c r="F4008" t="s">
        <v>4051</v>
      </c>
    </row>
    <row r="4009" spans="1:6">
      <c r="A4009" t="s">
        <v>4018</v>
      </c>
      <c r="B4009" t="s">
        <v>160</v>
      </c>
      <c r="C4009" t="s">
        <v>47</v>
      </c>
      <c r="D4009" t="str">
        <f>HYPERLINK("http://service.sap.com/sap/support/notes/1480000","1480000")</f>
        <v>1480000</v>
      </c>
      <c r="F4009" t="s">
        <v>4052</v>
      </c>
    </row>
    <row r="4010" spans="1:6">
      <c r="A4010" t="s">
        <v>4018</v>
      </c>
      <c r="B4010" t="s">
        <v>166</v>
      </c>
      <c r="C4010" t="s">
        <v>50</v>
      </c>
      <c r="D4010" t="str">
        <f>HYPERLINK("http://service.sap.com/sap/support/notes/1418201","1418201")</f>
        <v>1418201</v>
      </c>
      <c r="F4010" t="s">
        <v>4053</v>
      </c>
    </row>
    <row r="4011" spans="1:6">
      <c r="A4011" t="s">
        <v>4018</v>
      </c>
      <c r="B4011" t="s">
        <v>166</v>
      </c>
      <c r="C4011" t="s">
        <v>50</v>
      </c>
      <c r="D4011" t="str">
        <f>HYPERLINK("http://service.sap.com/sap/support/notes/1464307","1464307")</f>
        <v>1464307</v>
      </c>
      <c r="F4011" t="s">
        <v>3610</v>
      </c>
    </row>
    <row r="4012" spans="1:6">
      <c r="A4012" t="s">
        <v>4018</v>
      </c>
      <c r="B4012" t="s">
        <v>166</v>
      </c>
      <c r="C4012" t="s">
        <v>50</v>
      </c>
      <c r="D4012" t="str">
        <f>HYPERLINK("http://service.sap.com/sap/support/notes/1473894","1473894")</f>
        <v>1473894</v>
      </c>
      <c r="F4012" t="s">
        <v>4054</v>
      </c>
    </row>
    <row r="4013" spans="1:6">
      <c r="A4013" t="s">
        <v>4018</v>
      </c>
      <c r="B4013" t="s">
        <v>166</v>
      </c>
      <c r="C4013" t="s">
        <v>50</v>
      </c>
      <c r="D4013" t="str">
        <f>HYPERLINK("http://service.sap.com/sap/support/notes/1477139","1477139")</f>
        <v>1477139</v>
      </c>
      <c r="F4013" t="s">
        <v>4055</v>
      </c>
    </row>
    <row r="4014" spans="1:6">
      <c r="A4014" t="s">
        <v>4018</v>
      </c>
      <c r="B4014" t="s">
        <v>166</v>
      </c>
      <c r="C4014" t="s">
        <v>50</v>
      </c>
      <c r="D4014" t="str">
        <f>HYPERLINK("http://service.sap.com/sap/support/notes/1478092","1478092")</f>
        <v>1478092</v>
      </c>
      <c r="F4014" t="s">
        <v>4056</v>
      </c>
    </row>
    <row r="4015" spans="1:6">
      <c r="A4015" t="s">
        <v>4018</v>
      </c>
      <c r="B4015" t="s">
        <v>166</v>
      </c>
      <c r="C4015" t="s">
        <v>50</v>
      </c>
      <c r="D4015" t="str">
        <f>HYPERLINK("http://service.sap.com/sap/support/notes/1480142","1480142")</f>
        <v>1480142</v>
      </c>
      <c r="F4015" t="s">
        <v>4057</v>
      </c>
    </row>
    <row r="4016" spans="1:6">
      <c r="A4016" t="s">
        <v>4018</v>
      </c>
      <c r="B4016" t="s">
        <v>174</v>
      </c>
      <c r="C4016" t="s">
        <v>175</v>
      </c>
      <c r="D4016" t="str">
        <f>HYPERLINK("http://service.sap.com/sap/support/notes/1394356","1394356")</f>
        <v>1394356</v>
      </c>
      <c r="F4016" t="s">
        <v>3617</v>
      </c>
    </row>
    <row r="4017" spans="1:6">
      <c r="A4017" t="s">
        <v>4018</v>
      </c>
      <c r="B4017" t="s">
        <v>174</v>
      </c>
      <c r="C4017" t="s">
        <v>175</v>
      </c>
      <c r="D4017" t="str">
        <f>HYPERLINK("http://service.sap.com/sap/support/notes/1468874","1468874")</f>
        <v>1468874</v>
      </c>
      <c r="F4017" t="s">
        <v>4058</v>
      </c>
    </row>
    <row r="4018" spans="1:6">
      <c r="A4018" t="s">
        <v>4018</v>
      </c>
      <c r="B4018" t="s">
        <v>174</v>
      </c>
      <c r="C4018" t="s">
        <v>175</v>
      </c>
      <c r="D4018" t="str">
        <f>HYPERLINK("http://service.sap.com/sap/support/notes/1470454","1470454")</f>
        <v>1470454</v>
      </c>
      <c r="F4018" t="s">
        <v>4059</v>
      </c>
    </row>
    <row r="4019" spans="1:6">
      <c r="A4019" t="s">
        <v>4018</v>
      </c>
      <c r="B4019" t="s">
        <v>174</v>
      </c>
      <c r="C4019" t="s">
        <v>175</v>
      </c>
      <c r="D4019" t="str">
        <f>HYPERLINK("http://service.sap.com/sap/support/notes/1470457","1470457")</f>
        <v>1470457</v>
      </c>
      <c r="F4019" t="s">
        <v>4060</v>
      </c>
    </row>
    <row r="4020" spans="1:6">
      <c r="A4020" t="s">
        <v>4018</v>
      </c>
      <c r="B4020" t="s">
        <v>174</v>
      </c>
      <c r="C4020" t="s">
        <v>175</v>
      </c>
      <c r="D4020" t="str">
        <f>HYPERLINK("http://service.sap.com/sap/support/notes/1470834","1470834")</f>
        <v>1470834</v>
      </c>
      <c r="F4020" t="s">
        <v>4061</v>
      </c>
    </row>
    <row r="4021" spans="1:6">
      <c r="A4021" t="s">
        <v>4018</v>
      </c>
      <c r="B4021" t="s">
        <v>174</v>
      </c>
      <c r="C4021" t="s">
        <v>175</v>
      </c>
      <c r="D4021" t="str">
        <f>HYPERLINK("http://service.sap.com/sap/support/notes/1472247","1472247")</f>
        <v>1472247</v>
      </c>
      <c r="F4021" t="s">
        <v>4062</v>
      </c>
    </row>
    <row r="4022" spans="1:6">
      <c r="A4022" t="s">
        <v>4018</v>
      </c>
      <c r="B4022" t="s">
        <v>174</v>
      </c>
      <c r="C4022" t="s">
        <v>175</v>
      </c>
      <c r="D4022" t="str">
        <f>HYPERLINK("http://service.sap.com/sap/support/notes/1473750","1473750")</f>
        <v>1473750</v>
      </c>
      <c r="F4022" t="s">
        <v>4063</v>
      </c>
    </row>
    <row r="4023" spans="1:6">
      <c r="A4023" t="s">
        <v>4018</v>
      </c>
      <c r="B4023" t="s">
        <v>174</v>
      </c>
      <c r="C4023" t="s">
        <v>175</v>
      </c>
      <c r="D4023" t="str">
        <f>HYPERLINK("http://service.sap.com/sap/support/notes/1474804","1474804")</f>
        <v>1474804</v>
      </c>
      <c r="F4023" t="s">
        <v>4064</v>
      </c>
    </row>
    <row r="4024" spans="1:6">
      <c r="A4024" t="s">
        <v>4018</v>
      </c>
      <c r="B4024" t="s">
        <v>174</v>
      </c>
      <c r="C4024" t="s">
        <v>175</v>
      </c>
      <c r="D4024" t="str">
        <f>HYPERLINK("http://service.sap.com/sap/support/notes/1474978","1474978")</f>
        <v>1474978</v>
      </c>
      <c r="F4024" t="s">
        <v>4065</v>
      </c>
    </row>
    <row r="4025" spans="1:6">
      <c r="A4025" t="s">
        <v>4018</v>
      </c>
      <c r="B4025" t="s">
        <v>174</v>
      </c>
      <c r="C4025" t="s">
        <v>175</v>
      </c>
      <c r="D4025" t="str">
        <f>HYPERLINK("http://service.sap.com/sap/support/notes/1475017","1475017")</f>
        <v>1475017</v>
      </c>
      <c r="F4025" t="s">
        <v>4066</v>
      </c>
    </row>
    <row r="4026" spans="1:6">
      <c r="A4026" t="s">
        <v>4018</v>
      </c>
      <c r="B4026" t="s">
        <v>174</v>
      </c>
      <c r="C4026" t="s">
        <v>175</v>
      </c>
      <c r="D4026" t="str">
        <f>HYPERLINK("http://service.sap.com/sap/support/notes/1475590","1475590")</f>
        <v>1475590</v>
      </c>
      <c r="F4026" t="s">
        <v>4067</v>
      </c>
    </row>
    <row r="4027" spans="1:6">
      <c r="A4027" t="s">
        <v>4018</v>
      </c>
      <c r="B4027" t="s">
        <v>174</v>
      </c>
      <c r="C4027" t="s">
        <v>175</v>
      </c>
      <c r="D4027" t="str">
        <f>HYPERLINK("http://service.sap.com/sap/support/notes/1476075","1476075")</f>
        <v>1476075</v>
      </c>
      <c r="F4027" t="s">
        <v>4068</v>
      </c>
    </row>
    <row r="4028" spans="1:6">
      <c r="A4028" t="s">
        <v>4018</v>
      </c>
      <c r="B4028" t="s">
        <v>174</v>
      </c>
      <c r="C4028" t="s">
        <v>175</v>
      </c>
      <c r="D4028" t="str">
        <f>HYPERLINK("http://service.sap.com/sap/support/notes/1478586","1478586")</f>
        <v>1478586</v>
      </c>
      <c r="F4028" t="s">
        <v>3076</v>
      </c>
    </row>
    <row r="4029" spans="1:6">
      <c r="A4029" t="s">
        <v>4018</v>
      </c>
      <c r="B4029" t="s">
        <v>174</v>
      </c>
      <c r="C4029" t="s">
        <v>175</v>
      </c>
      <c r="D4029" t="str">
        <f>HYPERLINK("http://service.sap.com/sap/support/notes/1478622","1478622")</f>
        <v>1478622</v>
      </c>
      <c r="F4029" t="s">
        <v>4069</v>
      </c>
    </row>
    <row r="4030" spans="1:6">
      <c r="A4030" t="s">
        <v>4018</v>
      </c>
      <c r="B4030" t="s">
        <v>188</v>
      </c>
      <c r="C4030" t="s">
        <v>189</v>
      </c>
      <c r="D4030" t="str">
        <f>HYPERLINK("http://service.sap.com/sap/support/notes/1476364","1476364")</f>
        <v>1476364</v>
      </c>
      <c r="F4030" t="s">
        <v>4070</v>
      </c>
    </row>
    <row r="4031" spans="1:6">
      <c r="A4031" t="s">
        <v>4018</v>
      </c>
      <c r="B4031" t="s">
        <v>192</v>
      </c>
      <c r="C4031" t="s">
        <v>60</v>
      </c>
      <c r="D4031" t="str">
        <f>HYPERLINK("http://service.sap.com/sap/support/notes/1426992","1426992")</f>
        <v>1426992</v>
      </c>
      <c r="F4031" t="s">
        <v>3633</v>
      </c>
    </row>
    <row r="4032" spans="1:6">
      <c r="A4032" t="s">
        <v>4018</v>
      </c>
      <c r="B4032" t="s">
        <v>192</v>
      </c>
      <c r="C4032" t="s">
        <v>60</v>
      </c>
      <c r="D4032" t="str">
        <f>HYPERLINK("http://service.sap.com/sap/support/notes/1470197","1470197")</f>
        <v>1470197</v>
      </c>
      <c r="F4032" t="s">
        <v>4071</v>
      </c>
    </row>
    <row r="4033" spans="1:6">
      <c r="A4033" t="s">
        <v>4018</v>
      </c>
      <c r="B4033" t="s">
        <v>192</v>
      </c>
      <c r="C4033" t="s">
        <v>60</v>
      </c>
      <c r="D4033" t="str">
        <f>HYPERLINK("http://service.sap.com/sap/support/notes/1471906","1471906")</f>
        <v>1471906</v>
      </c>
      <c r="F4033" t="s">
        <v>3638</v>
      </c>
    </row>
    <row r="4034" spans="1:6">
      <c r="A4034" t="s">
        <v>4018</v>
      </c>
      <c r="B4034" t="s">
        <v>192</v>
      </c>
      <c r="C4034" t="s">
        <v>60</v>
      </c>
      <c r="D4034" t="str">
        <f>HYPERLINK("http://service.sap.com/sap/support/notes/1474247","1474247")</f>
        <v>1474247</v>
      </c>
      <c r="F4034" t="s">
        <v>4072</v>
      </c>
    </row>
    <row r="4035" spans="1:6">
      <c r="A4035" t="s">
        <v>4018</v>
      </c>
      <c r="B4035" t="s">
        <v>192</v>
      </c>
      <c r="C4035" t="s">
        <v>60</v>
      </c>
      <c r="D4035" t="str">
        <f>HYPERLINK("http://service.sap.com/sap/support/notes/1474422","1474422")</f>
        <v>1474422</v>
      </c>
      <c r="F4035" t="s">
        <v>4073</v>
      </c>
    </row>
    <row r="4036" spans="1:6">
      <c r="A4036" t="s">
        <v>4018</v>
      </c>
      <c r="B4036" t="s">
        <v>192</v>
      </c>
      <c r="C4036" t="s">
        <v>60</v>
      </c>
      <c r="D4036" t="str">
        <f>HYPERLINK("http://service.sap.com/sap/support/notes/1474787","1474787")</f>
        <v>1474787</v>
      </c>
      <c r="F4036" t="s">
        <v>4074</v>
      </c>
    </row>
    <row r="4037" spans="1:6">
      <c r="A4037" t="s">
        <v>4018</v>
      </c>
      <c r="B4037" t="s">
        <v>192</v>
      </c>
      <c r="C4037" t="s">
        <v>60</v>
      </c>
      <c r="D4037" t="str">
        <f>HYPERLINK("http://service.sap.com/sap/support/notes/1476098","1476098")</f>
        <v>1476098</v>
      </c>
      <c r="F4037" t="s">
        <v>4075</v>
      </c>
    </row>
    <row r="4038" spans="1:6">
      <c r="A4038" t="s">
        <v>4018</v>
      </c>
      <c r="B4038" t="s">
        <v>192</v>
      </c>
      <c r="C4038" t="s">
        <v>60</v>
      </c>
      <c r="D4038" t="str">
        <f>HYPERLINK("http://service.sap.com/sap/support/notes/1478758","1478758")</f>
        <v>1478758</v>
      </c>
      <c r="F4038" t="s">
        <v>4076</v>
      </c>
    </row>
    <row r="4039" spans="1:6">
      <c r="A4039" t="s">
        <v>4018</v>
      </c>
      <c r="B4039" t="s">
        <v>192</v>
      </c>
      <c r="C4039" t="s">
        <v>60</v>
      </c>
      <c r="D4039" t="str">
        <f>HYPERLINK("http://service.sap.com/sap/support/notes/1480599","1480599")</f>
        <v>1480599</v>
      </c>
      <c r="F4039" t="s">
        <v>4077</v>
      </c>
    </row>
    <row r="4040" spans="1:6">
      <c r="A4040" t="s">
        <v>4018</v>
      </c>
      <c r="B4040" t="s">
        <v>197</v>
      </c>
      <c r="C4040" t="s">
        <v>63</v>
      </c>
      <c r="D4040" t="str">
        <f>HYPERLINK("http://service.sap.com/sap/support/notes/1461239","1461239")</f>
        <v>1461239</v>
      </c>
      <c r="F4040" t="s">
        <v>4078</v>
      </c>
    </row>
    <row r="4041" spans="1:6">
      <c r="A4041" t="s">
        <v>4018</v>
      </c>
      <c r="B4041" t="s">
        <v>197</v>
      </c>
      <c r="C4041" t="s">
        <v>63</v>
      </c>
      <c r="D4041" t="str">
        <f>HYPERLINK("http://service.sap.com/sap/support/notes/1468702","1468702")</f>
        <v>1468702</v>
      </c>
      <c r="F4041" t="s">
        <v>4079</v>
      </c>
    </row>
    <row r="4042" spans="1:6">
      <c r="A4042" t="s">
        <v>4018</v>
      </c>
      <c r="B4042" t="s">
        <v>197</v>
      </c>
      <c r="C4042" t="s">
        <v>63</v>
      </c>
      <c r="D4042" t="str">
        <f>HYPERLINK("http://service.sap.com/sap/support/notes/1471442","1471442")</f>
        <v>1471442</v>
      </c>
      <c r="F4042" t="s">
        <v>4080</v>
      </c>
    </row>
    <row r="4043" spans="1:6">
      <c r="A4043" t="s">
        <v>4018</v>
      </c>
      <c r="B4043" t="s">
        <v>204</v>
      </c>
      <c r="C4043" t="s">
        <v>205</v>
      </c>
      <c r="D4043" t="str">
        <f>HYPERLINK("http://service.sap.com/sap/support/notes/1425999","1425999")</f>
        <v>1425999</v>
      </c>
      <c r="F4043" t="s">
        <v>4081</v>
      </c>
    </row>
    <row r="4044" spans="1:6">
      <c r="A4044" t="s">
        <v>4018</v>
      </c>
      <c r="B4044" t="s">
        <v>204</v>
      </c>
      <c r="C4044" t="s">
        <v>205</v>
      </c>
      <c r="D4044" t="str">
        <f>HYPERLINK("http://service.sap.com/sap/support/notes/1464359","1464359")</f>
        <v>1464359</v>
      </c>
      <c r="F4044" t="s">
        <v>4082</v>
      </c>
    </row>
    <row r="4045" spans="1:6">
      <c r="A4045" t="s">
        <v>4018</v>
      </c>
      <c r="B4045" t="s">
        <v>204</v>
      </c>
      <c r="C4045" t="s">
        <v>205</v>
      </c>
      <c r="D4045" t="str">
        <f>HYPERLINK("http://service.sap.com/sap/support/notes/1473353","1473353")</f>
        <v>1473353</v>
      </c>
      <c r="F4045" t="s">
        <v>4083</v>
      </c>
    </row>
    <row r="4046" spans="1:6">
      <c r="A4046" t="s">
        <v>4018</v>
      </c>
      <c r="B4046" t="s">
        <v>204</v>
      </c>
      <c r="C4046" t="s">
        <v>205</v>
      </c>
      <c r="D4046" t="str">
        <f>HYPERLINK("http://service.sap.com/sap/support/notes/1478063","1478063")</f>
        <v>1478063</v>
      </c>
      <c r="F4046" t="s">
        <v>4084</v>
      </c>
    </row>
    <row r="4047" spans="1:6">
      <c r="A4047" t="s">
        <v>4018</v>
      </c>
      <c r="B4047" t="s">
        <v>207</v>
      </c>
      <c r="C4047" t="s">
        <v>208</v>
      </c>
      <c r="D4047" t="str">
        <f>HYPERLINK("http://service.sap.com/sap/support/notes/1314471","1314471")</f>
        <v>1314471</v>
      </c>
      <c r="F4047" t="s">
        <v>4085</v>
      </c>
    </row>
    <row r="4048" spans="1:6">
      <c r="A4048" t="s">
        <v>4018</v>
      </c>
      <c r="B4048" t="s">
        <v>207</v>
      </c>
      <c r="C4048" t="s">
        <v>208</v>
      </c>
      <c r="D4048" t="str">
        <f>HYPERLINK("http://service.sap.com/sap/support/notes/1472323","1472323")</f>
        <v>1472323</v>
      </c>
      <c r="F4048" t="s">
        <v>4086</v>
      </c>
    </row>
    <row r="4049" spans="1:6">
      <c r="A4049" t="s">
        <v>4018</v>
      </c>
      <c r="B4049" t="s">
        <v>211</v>
      </c>
      <c r="C4049" t="s">
        <v>212</v>
      </c>
      <c r="D4049" t="str">
        <f>HYPERLINK("http://service.sap.com/sap/support/notes/1444229","1444229")</f>
        <v>1444229</v>
      </c>
      <c r="F4049" t="s">
        <v>4087</v>
      </c>
    </row>
    <row r="4050" spans="1:6">
      <c r="A4050" t="s">
        <v>4018</v>
      </c>
      <c r="B4050" t="s">
        <v>211</v>
      </c>
      <c r="C4050" t="s">
        <v>212</v>
      </c>
      <c r="D4050" t="str">
        <f>HYPERLINK("http://service.sap.com/sap/support/notes/1469612","1469612")</f>
        <v>1469612</v>
      </c>
      <c r="F4050" t="s">
        <v>4088</v>
      </c>
    </row>
    <row r="4051" spans="1:6">
      <c r="A4051" t="s">
        <v>4018</v>
      </c>
      <c r="B4051" t="s">
        <v>211</v>
      </c>
      <c r="C4051" t="s">
        <v>212</v>
      </c>
      <c r="D4051" t="str">
        <f>HYPERLINK("http://service.sap.com/sap/support/notes/1469728","1469728")</f>
        <v>1469728</v>
      </c>
      <c r="F4051" t="s">
        <v>4089</v>
      </c>
    </row>
    <row r="4052" spans="1:6">
      <c r="A4052" t="s">
        <v>4018</v>
      </c>
      <c r="B4052" t="s">
        <v>218</v>
      </c>
      <c r="C4052" t="s">
        <v>219</v>
      </c>
      <c r="D4052" t="str">
        <f>HYPERLINK("http://service.sap.com/sap/support/notes/1434814","1434814")</f>
        <v>1434814</v>
      </c>
      <c r="F4052" t="s">
        <v>2387</v>
      </c>
    </row>
    <row r="4053" spans="1:6">
      <c r="A4053" t="s">
        <v>4018</v>
      </c>
      <c r="B4053" t="s">
        <v>218</v>
      </c>
      <c r="C4053" t="s">
        <v>219</v>
      </c>
      <c r="D4053" t="str">
        <f>HYPERLINK("http://service.sap.com/sap/support/notes/1478889","1478889")</f>
        <v>1478889</v>
      </c>
      <c r="F4053" t="s">
        <v>4090</v>
      </c>
    </row>
    <row r="4054" spans="1:6">
      <c r="A4054" t="s">
        <v>4018</v>
      </c>
      <c r="B4054" t="s">
        <v>218</v>
      </c>
      <c r="C4054" t="s">
        <v>219</v>
      </c>
      <c r="D4054" t="str">
        <f>HYPERLINK("http://service.sap.com/sap/support/notes/1480395","1480395")</f>
        <v>1480395</v>
      </c>
      <c r="F4054" t="s">
        <v>4091</v>
      </c>
    </row>
    <row r="4055" spans="1:6">
      <c r="A4055" t="s">
        <v>4018</v>
      </c>
      <c r="B4055" t="s">
        <v>225</v>
      </c>
      <c r="C4055" t="s">
        <v>66</v>
      </c>
      <c r="D4055" t="str">
        <f>HYPERLINK("http://service.sap.com/sap/support/notes/1472258","1472258")</f>
        <v>1472258</v>
      </c>
      <c r="F4055" t="s">
        <v>4092</v>
      </c>
    </row>
    <row r="4056" spans="1:6">
      <c r="A4056" t="s">
        <v>4018</v>
      </c>
      <c r="B4056" t="s">
        <v>225</v>
      </c>
      <c r="C4056" t="s">
        <v>66</v>
      </c>
      <c r="D4056" t="str">
        <f>HYPERLINK("http://service.sap.com/sap/support/notes/1473194","1473194")</f>
        <v>1473194</v>
      </c>
      <c r="F4056" t="s">
        <v>4093</v>
      </c>
    </row>
    <row r="4057" spans="1:6">
      <c r="A4057" t="s">
        <v>4018</v>
      </c>
      <c r="B4057" t="s">
        <v>225</v>
      </c>
      <c r="C4057" t="s">
        <v>66</v>
      </c>
      <c r="D4057" t="str">
        <f>HYPERLINK("http://service.sap.com/sap/support/notes/1475553","1475553")</f>
        <v>1475553</v>
      </c>
      <c r="F4057" t="s">
        <v>4094</v>
      </c>
    </row>
    <row r="4058" spans="1:6">
      <c r="A4058" t="s">
        <v>4018</v>
      </c>
      <c r="B4058" t="s">
        <v>228</v>
      </c>
      <c r="C4058" t="s">
        <v>69</v>
      </c>
      <c r="D4058" t="str">
        <f>HYPERLINK("http://service.sap.com/sap/support/notes/1461940","1461940")</f>
        <v>1461940</v>
      </c>
      <c r="F4058" t="s">
        <v>3645</v>
      </c>
    </row>
    <row r="4059" spans="1:6">
      <c r="A4059" t="s">
        <v>4018</v>
      </c>
      <c r="B4059" t="s">
        <v>1024</v>
      </c>
      <c r="C4059" t="s">
        <v>1458</v>
      </c>
      <c r="D4059" t="str">
        <f>HYPERLINK("http://service.sap.com/sap/support/notes/1465292","1465292")</f>
        <v>1465292</v>
      </c>
      <c r="F4059" t="s">
        <v>4095</v>
      </c>
    </row>
    <row r="4060" spans="1:6">
      <c r="A4060" t="s">
        <v>4018</v>
      </c>
      <c r="B4060" t="s">
        <v>1024</v>
      </c>
      <c r="C4060" t="s">
        <v>1458</v>
      </c>
      <c r="D4060" t="str">
        <f>HYPERLINK("http://service.sap.com/sap/support/notes/1472527","1472527")</f>
        <v>1472527</v>
      </c>
      <c r="F4060" t="s">
        <v>4096</v>
      </c>
    </row>
    <row r="4061" spans="1:6">
      <c r="A4061" t="s">
        <v>4018</v>
      </c>
      <c r="B4061" t="s">
        <v>233</v>
      </c>
      <c r="C4061" t="s">
        <v>234</v>
      </c>
    </row>
    <row r="4062" spans="1:6">
      <c r="A4062" t="s">
        <v>4018</v>
      </c>
      <c r="B4062" t="s">
        <v>235</v>
      </c>
      <c r="C4062" t="s">
        <v>236</v>
      </c>
      <c r="D4062" t="str">
        <f>HYPERLINK("http://service.sap.com/sap/support/notes/1462480","1462480")</f>
        <v>1462480</v>
      </c>
      <c r="F4062" t="s">
        <v>4097</v>
      </c>
    </row>
    <row r="4063" spans="1:6">
      <c r="A4063" t="s">
        <v>4018</v>
      </c>
      <c r="B4063" t="s">
        <v>235</v>
      </c>
      <c r="C4063" t="s">
        <v>236</v>
      </c>
      <c r="D4063" t="str">
        <f>HYPERLINK("http://service.sap.com/sap/support/notes/1475236","1475236")</f>
        <v>1475236</v>
      </c>
      <c r="F4063" t="s">
        <v>4098</v>
      </c>
    </row>
    <row r="4064" spans="1:6">
      <c r="A4064" t="s">
        <v>4018</v>
      </c>
      <c r="B4064" t="s">
        <v>1460</v>
      </c>
      <c r="C4064" t="s">
        <v>1461</v>
      </c>
      <c r="D4064" t="str">
        <f>HYPERLINK("http://service.sap.com/sap/support/notes/1470001","1470001")</f>
        <v>1470001</v>
      </c>
      <c r="F4064" t="s">
        <v>4099</v>
      </c>
    </row>
    <row r="4065" spans="1:6">
      <c r="A4065" t="s">
        <v>4018</v>
      </c>
      <c r="B4065" t="s">
        <v>1460</v>
      </c>
      <c r="C4065" t="s">
        <v>1461</v>
      </c>
      <c r="D4065" t="str">
        <f>HYPERLINK("http://service.sap.com/sap/support/notes/1473901","1473901")</f>
        <v>1473901</v>
      </c>
      <c r="F4065" t="s">
        <v>4100</v>
      </c>
    </row>
    <row r="4066" spans="1:6">
      <c r="A4066" t="s">
        <v>4018</v>
      </c>
      <c r="B4066" t="s">
        <v>1460</v>
      </c>
      <c r="C4066" t="s">
        <v>1461</v>
      </c>
      <c r="D4066" t="str">
        <f>HYPERLINK("http://service.sap.com/sap/support/notes/1474352","1474352")</f>
        <v>1474352</v>
      </c>
      <c r="F4066" t="s">
        <v>4101</v>
      </c>
    </row>
    <row r="4067" spans="1:6">
      <c r="A4067" t="s">
        <v>4018</v>
      </c>
      <c r="B4067" t="s">
        <v>1460</v>
      </c>
      <c r="C4067" t="s">
        <v>1461</v>
      </c>
      <c r="D4067" t="str">
        <f>HYPERLINK("http://service.sap.com/sap/support/notes/1477809","1477809")</f>
        <v>1477809</v>
      </c>
      <c r="F4067" t="s">
        <v>4102</v>
      </c>
    </row>
    <row r="4068" spans="1:6">
      <c r="A4068" t="s">
        <v>4018</v>
      </c>
      <c r="B4068" t="s">
        <v>1460</v>
      </c>
      <c r="C4068" t="s">
        <v>1461</v>
      </c>
      <c r="D4068" t="str">
        <f>HYPERLINK("http://service.sap.com/sap/support/notes/1478244","1478244")</f>
        <v>1478244</v>
      </c>
      <c r="F4068" t="s">
        <v>4103</v>
      </c>
    </row>
    <row r="4069" spans="1:6">
      <c r="A4069" t="s">
        <v>4018</v>
      </c>
      <c r="B4069" t="s">
        <v>238</v>
      </c>
      <c r="C4069" t="s">
        <v>239</v>
      </c>
    </row>
    <row r="4070" spans="1:6">
      <c r="A4070" t="s">
        <v>4018</v>
      </c>
      <c r="B4070" t="s">
        <v>240</v>
      </c>
      <c r="C4070" t="s">
        <v>241</v>
      </c>
      <c r="D4070" t="str">
        <f>HYPERLINK("http://service.sap.com/sap/support/notes/1472740","1472740")</f>
        <v>1472740</v>
      </c>
      <c r="F4070" t="s">
        <v>4104</v>
      </c>
    </row>
    <row r="4071" spans="1:6">
      <c r="A4071" t="s">
        <v>4018</v>
      </c>
      <c r="B4071" t="s">
        <v>240</v>
      </c>
      <c r="C4071" t="s">
        <v>241</v>
      </c>
      <c r="D4071" t="str">
        <f>HYPERLINK("http://service.sap.com/sap/support/notes/1473202","1473202")</f>
        <v>1473202</v>
      </c>
      <c r="F4071" t="s">
        <v>4105</v>
      </c>
    </row>
    <row r="4072" spans="1:6">
      <c r="A4072" t="s">
        <v>4018</v>
      </c>
      <c r="B4072" t="s">
        <v>244</v>
      </c>
      <c r="C4072" t="s">
        <v>245</v>
      </c>
      <c r="D4072" t="str">
        <f>HYPERLINK("http://service.sap.com/sap/support/notes/1473802","1473802")</f>
        <v>1473802</v>
      </c>
      <c r="F4072" t="s">
        <v>4106</v>
      </c>
    </row>
    <row r="4073" spans="1:6">
      <c r="A4073" t="s">
        <v>4018</v>
      </c>
      <c r="B4073" t="s">
        <v>244</v>
      </c>
      <c r="C4073" t="s">
        <v>245</v>
      </c>
      <c r="D4073" t="str">
        <f>HYPERLINK("http://service.sap.com/sap/support/notes/1474558","1474558")</f>
        <v>1474558</v>
      </c>
      <c r="F4073" t="s">
        <v>4107</v>
      </c>
    </row>
    <row r="4074" spans="1:6">
      <c r="A4074" t="s">
        <v>4018</v>
      </c>
      <c r="B4074" t="s">
        <v>254</v>
      </c>
      <c r="C4074" t="s">
        <v>255</v>
      </c>
      <c r="D4074" t="str">
        <f>HYPERLINK("http://service.sap.com/sap/support/notes/1466583","1466583")</f>
        <v>1466583</v>
      </c>
      <c r="F4074" t="s">
        <v>4108</v>
      </c>
    </row>
    <row r="4075" spans="1:6">
      <c r="A4075" t="s">
        <v>4018</v>
      </c>
      <c r="B4075" t="s">
        <v>254</v>
      </c>
      <c r="C4075" t="s">
        <v>255</v>
      </c>
      <c r="D4075" t="str">
        <f>HYPERLINK("http://service.sap.com/sap/support/notes/1471042","1471042")</f>
        <v>1471042</v>
      </c>
      <c r="F4075" t="s">
        <v>4109</v>
      </c>
    </row>
    <row r="4076" spans="1:6">
      <c r="A4076" t="s">
        <v>4018</v>
      </c>
      <c r="B4076" t="s">
        <v>254</v>
      </c>
      <c r="C4076" t="s">
        <v>255</v>
      </c>
      <c r="D4076" t="str">
        <f>HYPERLINK("http://service.sap.com/sap/support/notes/1477545","1477545")</f>
        <v>1477545</v>
      </c>
      <c r="F4076" t="s">
        <v>4110</v>
      </c>
    </row>
    <row r="4077" spans="1:6">
      <c r="A4077" t="s">
        <v>4018</v>
      </c>
      <c r="B4077" t="s">
        <v>258</v>
      </c>
      <c r="C4077" t="s">
        <v>189</v>
      </c>
      <c r="D4077" t="str">
        <f>HYPERLINK("http://service.sap.com/sap/support/notes/1465096","1465096")</f>
        <v>1465096</v>
      </c>
      <c r="F4077" t="s">
        <v>4111</v>
      </c>
    </row>
    <row r="4078" spans="1:6">
      <c r="A4078" t="s">
        <v>4018</v>
      </c>
      <c r="B4078" t="s">
        <v>258</v>
      </c>
      <c r="C4078" t="s">
        <v>189</v>
      </c>
      <c r="D4078" t="str">
        <f>HYPERLINK("http://service.sap.com/sap/support/notes/1471672","1471672")</f>
        <v>1471672</v>
      </c>
      <c r="F4078" t="s">
        <v>4112</v>
      </c>
    </row>
    <row r="4079" spans="1:6">
      <c r="A4079" t="s">
        <v>4018</v>
      </c>
      <c r="B4079" t="s">
        <v>258</v>
      </c>
      <c r="C4079" t="s">
        <v>189</v>
      </c>
      <c r="D4079" t="str">
        <f>HYPERLINK("http://service.sap.com/sap/support/notes/1473528","1473528")</f>
        <v>1473528</v>
      </c>
      <c r="F4079" t="s">
        <v>4113</v>
      </c>
    </row>
    <row r="4080" spans="1:6">
      <c r="A4080" t="s">
        <v>4018</v>
      </c>
      <c r="B4080" t="s">
        <v>258</v>
      </c>
      <c r="C4080" t="s">
        <v>189</v>
      </c>
      <c r="D4080" t="str">
        <f>HYPERLINK("http://service.sap.com/sap/support/notes/1474611","1474611")</f>
        <v>1474611</v>
      </c>
      <c r="F4080" t="s">
        <v>4114</v>
      </c>
    </row>
    <row r="4081" spans="1:6">
      <c r="A4081" t="s">
        <v>4018</v>
      </c>
      <c r="B4081" t="s">
        <v>258</v>
      </c>
      <c r="C4081" t="s">
        <v>189</v>
      </c>
      <c r="D4081" t="str">
        <f>HYPERLINK("http://service.sap.com/sap/support/notes/1476131","1476131")</f>
        <v>1476131</v>
      </c>
      <c r="F4081" t="s">
        <v>4115</v>
      </c>
    </row>
    <row r="4082" spans="1:6">
      <c r="A4082" t="s">
        <v>4018</v>
      </c>
      <c r="B4082" t="s">
        <v>258</v>
      </c>
      <c r="C4082" t="s">
        <v>189</v>
      </c>
      <c r="D4082" t="str">
        <f>HYPERLINK("http://service.sap.com/sap/support/notes/1477730","1477730")</f>
        <v>1477730</v>
      </c>
      <c r="F4082" t="s">
        <v>4116</v>
      </c>
    </row>
    <row r="4083" spans="1:6">
      <c r="A4083" t="s">
        <v>4018</v>
      </c>
      <c r="B4083" t="s">
        <v>258</v>
      </c>
      <c r="C4083" t="s">
        <v>189</v>
      </c>
      <c r="D4083" t="str">
        <f>HYPERLINK("http://service.sap.com/sap/support/notes/1478845","1478845")</f>
        <v>1478845</v>
      </c>
      <c r="F4083" t="s">
        <v>4117</v>
      </c>
    </row>
    <row r="4084" spans="1:6">
      <c r="A4084" t="s">
        <v>4018</v>
      </c>
      <c r="B4084" t="s">
        <v>258</v>
      </c>
      <c r="C4084" t="s">
        <v>189</v>
      </c>
      <c r="D4084" t="str">
        <f>HYPERLINK("http://service.sap.com/sap/support/notes/1478855","1478855")</f>
        <v>1478855</v>
      </c>
      <c r="F4084" t="s">
        <v>4118</v>
      </c>
    </row>
    <row r="4085" spans="1:6">
      <c r="A4085" t="s">
        <v>4018</v>
      </c>
      <c r="B4085" t="s">
        <v>258</v>
      </c>
      <c r="C4085" t="s">
        <v>189</v>
      </c>
      <c r="D4085" t="str">
        <f>HYPERLINK("http://service.sap.com/sap/support/notes/1479831","1479831")</f>
        <v>1479831</v>
      </c>
      <c r="F4085" t="s">
        <v>4119</v>
      </c>
    </row>
    <row r="4086" spans="1:6">
      <c r="A4086" t="s">
        <v>4018</v>
      </c>
      <c r="B4086" t="s">
        <v>258</v>
      </c>
      <c r="C4086" t="s">
        <v>189</v>
      </c>
      <c r="D4086" t="str">
        <f>HYPERLINK("http://service.sap.com/sap/support/notes/1480338","1480338")</f>
        <v>1480338</v>
      </c>
      <c r="F4086" t="s">
        <v>4120</v>
      </c>
    </row>
    <row r="4087" spans="1:6">
      <c r="A4087" t="s">
        <v>4018</v>
      </c>
      <c r="B4087" t="s">
        <v>279</v>
      </c>
      <c r="C4087" t="s">
        <v>280</v>
      </c>
      <c r="D4087" t="str">
        <f>HYPERLINK("http://service.sap.com/sap/support/notes/1443289","1443289")</f>
        <v>1443289</v>
      </c>
      <c r="F4087" t="s">
        <v>4121</v>
      </c>
    </row>
    <row r="4088" spans="1:6">
      <c r="A4088" t="s">
        <v>4018</v>
      </c>
      <c r="B4088" t="s">
        <v>279</v>
      </c>
      <c r="C4088" t="s">
        <v>280</v>
      </c>
      <c r="D4088" t="str">
        <f>HYPERLINK("http://service.sap.com/sap/support/notes/1468271","1468271")</f>
        <v>1468271</v>
      </c>
      <c r="F4088" t="s">
        <v>4122</v>
      </c>
    </row>
    <row r="4089" spans="1:6">
      <c r="A4089" t="s">
        <v>4018</v>
      </c>
      <c r="B4089" t="s">
        <v>279</v>
      </c>
      <c r="C4089" t="s">
        <v>280</v>
      </c>
      <c r="D4089" t="str">
        <f>HYPERLINK("http://service.sap.com/sap/support/notes/1472298","1472298")</f>
        <v>1472298</v>
      </c>
      <c r="F4089" t="s">
        <v>4123</v>
      </c>
    </row>
    <row r="4090" spans="1:6">
      <c r="A4090" t="s">
        <v>4018</v>
      </c>
      <c r="B4090" t="s">
        <v>279</v>
      </c>
      <c r="C4090" t="s">
        <v>280</v>
      </c>
      <c r="D4090" t="str">
        <f>HYPERLINK("http://service.sap.com/sap/support/notes/1474656","1474656")</f>
        <v>1474656</v>
      </c>
      <c r="F4090" t="s">
        <v>4124</v>
      </c>
    </row>
    <row r="4091" spans="1:6">
      <c r="A4091" t="s">
        <v>4018</v>
      </c>
      <c r="B4091" t="s">
        <v>279</v>
      </c>
      <c r="C4091" t="s">
        <v>280</v>
      </c>
      <c r="D4091" t="str">
        <f>HYPERLINK("http://service.sap.com/sap/support/notes/1475042","1475042")</f>
        <v>1475042</v>
      </c>
      <c r="F4091" t="s">
        <v>4125</v>
      </c>
    </row>
    <row r="4092" spans="1:6">
      <c r="A4092" t="s">
        <v>4018</v>
      </c>
      <c r="B4092" t="s">
        <v>279</v>
      </c>
      <c r="C4092" t="s">
        <v>280</v>
      </c>
      <c r="D4092" t="str">
        <f>HYPERLINK("http://service.sap.com/sap/support/notes/1476339","1476339")</f>
        <v>1476339</v>
      </c>
      <c r="F4092" t="s">
        <v>4126</v>
      </c>
    </row>
    <row r="4093" spans="1:6">
      <c r="A4093" t="s">
        <v>4018</v>
      </c>
      <c r="B4093" t="s">
        <v>292</v>
      </c>
      <c r="C4093" t="s">
        <v>293</v>
      </c>
      <c r="D4093" t="str">
        <f>HYPERLINK("http://service.sap.com/sap/support/notes/1477299","1477299")</f>
        <v>1477299</v>
      </c>
      <c r="F4093" t="s">
        <v>4127</v>
      </c>
    </row>
    <row r="4094" spans="1:6">
      <c r="A4094" t="s">
        <v>4018</v>
      </c>
      <c r="B4094" t="s">
        <v>292</v>
      </c>
      <c r="C4094" t="s">
        <v>293</v>
      </c>
      <c r="D4094" t="str">
        <f>HYPERLINK("http://service.sap.com/sap/support/notes/1477683","1477683")</f>
        <v>1477683</v>
      </c>
      <c r="F4094" t="s">
        <v>4128</v>
      </c>
    </row>
    <row r="4095" spans="1:6">
      <c r="A4095" t="s">
        <v>4018</v>
      </c>
      <c r="B4095" t="s">
        <v>295</v>
      </c>
      <c r="C4095" t="s">
        <v>208</v>
      </c>
    </row>
    <row r="4096" spans="1:6">
      <c r="A4096" t="s">
        <v>4018</v>
      </c>
      <c r="B4096" t="s">
        <v>299</v>
      </c>
      <c r="C4096" t="s">
        <v>300</v>
      </c>
      <c r="D4096" t="str">
        <f>HYPERLINK("http://service.sap.com/sap/support/notes/1468610","1468610")</f>
        <v>1468610</v>
      </c>
      <c r="F4096" t="s">
        <v>3704</v>
      </c>
    </row>
    <row r="4097" spans="1:6">
      <c r="A4097" t="s">
        <v>4018</v>
      </c>
      <c r="B4097" t="s">
        <v>299</v>
      </c>
      <c r="C4097" t="s">
        <v>300</v>
      </c>
      <c r="D4097" t="str">
        <f>HYPERLINK("http://service.sap.com/sap/support/notes/1476288","1476288")</f>
        <v>1476288</v>
      </c>
      <c r="F4097" t="s">
        <v>4129</v>
      </c>
    </row>
    <row r="4098" spans="1:6">
      <c r="A4098" t="s">
        <v>4018</v>
      </c>
      <c r="B4098" t="s">
        <v>299</v>
      </c>
      <c r="C4098" t="s">
        <v>300</v>
      </c>
      <c r="D4098" t="str">
        <f>HYPERLINK("http://service.sap.com/sap/support/notes/1476681","1476681")</f>
        <v>1476681</v>
      </c>
      <c r="F4098" t="s">
        <v>4130</v>
      </c>
    </row>
    <row r="4099" spans="1:6">
      <c r="A4099" t="s">
        <v>4018</v>
      </c>
      <c r="B4099" t="s">
        <v>299</v>
      </c>
      <c r="C4099" t="s">
        <v>300</v>
      </c>
      <c r="D4099" t="str">
        <f>HYPERLINK("http://service.sap.com/sap/support/notes/1477174","1477174")</f>
        <v>1477174</v>
      </c>
      <c r="F4099" t="s">
        <v>4131</v>
      </c>
    </row>
    <row r="4100" spans="1:6">
      <c r="A4100" t="s">
        <v>4018</v>
      </c>
      <c r="B4100" t="s">
        <v>305</v>
      </c>
      <c r="C4100" t="s">
        <v>306</v>
      </c>
      <c r="D4100" t="str">
        <f>HYPERLINK("http://service.sap.com/sap/support/notes/1017716","1017716")</f>
        <v>1017716</v>
      </c>
      <c r="F4100" t="s">
        <v>307</v>
      </c>
    </row>
    <row r="4101" spans="1:6">
      <c r="A4101" t="s">
        <v>4018</v>
      </c>
      <c r="B4101" t="s">
        <v>305</v>
      </c>
      <c r="C4101" t="s">
        <v>306</v>
      </c>
      <c r="D4101" t="str">
        <f>HYPERLINK("http://service.sap.com/sap/support/notes/1421521","1421521")</f>
        <v>1421521</v>
      </c>
      <c r="F4101" t="s">
        <v>2441</v>
      </c>
    </row>
    <row r="4102" spans="1:6">
      <c r="A4102" t="s">
        <v>4018</v>
      </c>
      <c r="B4102" t="s">
        <v>305</v>
      </c>
      <c r="C4102" t="s">
        <v>306</v>
      </c>
      <c r="D4102" t="str">
        <f>HYPERLINK("http://service.sap.com/sap/support/notes/1449969","1449969")</f>
        <v>1449969</v>
      </c>
      <c r="F4102" t="s">
        <v>4132</v>
      </c>
    </row>
    <row r="4103" spans="1:6">
      <c r="A4103" t="s">
        <v>4018</v>
      </c>
      <c r="B4103" t="s">
        <v>305</v>
      </c>
      <c r="C4103" t="s">
        <v>306</v>
      </c>
      <c r="D4103" t="str">
        <f>HYPERLINK("http://service.sap.com/sap/support/notes/1453661","1453661")</f>
        <v>1453661</v>
      </c>
      <c r="F4103" t="s">
        <v>4133</v>
      </c>
    </row>
    <row r="4104" spans="1:6">
      <c r="A4104" t="s">
        <v>4018</v>
      </c>
      <c r="B4104" t="s">
        <v>305</v>
      </c>
      <c r="C4104" t="s">
        <v>306</v>
      </c>
      <c r="D4104" t="str">
        <f>HYPERLINK("http://service.sap.com/sap/support/notes/1454152","1454152")</f>
        <v>1454152</v>
      </c>
      <c r="F4104" t="s">
        <v>4134</v>
      </c>
    </row>
    <row r="4105" spans="1:6">
      <c r="A4105" t="s">
        <v>4018</v>
      </c>
      <c r="B4105" t="s">
        <v>305</v>
      </c>
      <c r="C4105" t="s">
        <v>306</v>
      </c>
      <c r="D4105" t="str">
        <f>HYPERLINK("http://service.sap.com/sap/support/notes/1462549","1462549")</f>
        <v>1462549</v>
      </c>
      <c r="F4105" t="s">
        <v>4135</v>
      </c>
    </row>
    <row r="4106" spans="1:6">
      <c r="A4106" t="s">
        <v>4018</v>
      </c>
      <c r="B4106" t="s">
        <v>305</v>
      </c>
      <c r="C4106" t="s">
        <v>306</v>
      </c>
      <c r="D4106" t="str">
        <f>HYPERLINK("http://service.sap.com/sap/support/notes/1465091","1465091")</f>
        <v>1465091</v>
      </c>
      <c r="F4106" t="s">
        <v>4136</v>
      </c>
    </row>
    <row r="4107" spans="1:6">
      <c r="A4107" t="s">
        <v>4018</v>
      </c>
      <c r="B4107" t="s">
        <v>305</v>
      </c>
      <c r="C4107" t="s">
        <v>306</v>
      </c>
      <c r="D4107" t="str">
        <f>HYPERLINK("http://service.sap.com/sap/support/notes/1465640","1465640")</f>
        <v>1465640</v>
      </c>
      <c r="F4107" t="s">
        <v>4137</v>
      </c>
    </row>
    <row r="4108" spans="1:6">
      <c r="A4108" t="s">
        <v>4018</v>
      </c>
      <c r="B4108" t="s">
        <v>305</v>
      </c>
      <c r="C4108" t="s">
        <v>306</v>
      </c>
      <c r="D4108" t="str">
        <f>HYPERLINK("http://service.sap.com/sap/support/notes/1467027","1467027")</f>
        <v>1467027</v>
      </c>
      <c r="F4108" t="s">
        <v>4138</v>
      </c>
    </row>
    <row r="4109" spans="1:6">
      <c r="A4109" t="s">
        <v>4018</v>
      </c>
      <c r="B4109" t="s">
        <v>305</v>
      </c>
      <c r="C4109" t="s">
        <v>306</v>
      </c>
      <c r="D4109" t="str">
        <f>HYPERLINK("http://service.sap.com/sap/support/notes/1468237","1468237")</f>
        <v>1468237</v>
      </c>
      <c r="F4109" t="s">
        <v>4139</v>
      </c>
    </row>
    <row r="4110" spans="1:6">
      <c r="A4110" t="s">
        <v>4018</v>
      </c>
      <c r="B4110" t="s">
        <v>305</v>
      </c>
      <c r="C4110" t="s">
        <v>306</v>
      </c>
      <c r="D4110" t="str">
        <f>HYPERLINK("http://service.sap.com/sap/support/notes/1468681","1468681")</f>
        <v>1468681</v>
      </c>
      <c r="F4110" t="s">
        <v>4140</v>
      </c>
    </row>
    <row r="4111" spans="1:6">
      <c r="A4111" t="s">
        <v>4018</v>
      </c>
      <c r="B4111" t="s">
        <v>305</v>
      </c>
      <c r="C4111" t="s">
        <v>306</v>
      </c>
      <c r="D4111" t="str">
        <f>HYPERLINK("http://service.sap.com/sap/support/notes/1468961","1468961")</f>
        <v>1468961</v>
      </c>
      <c r="F4111" t="s">
        <v>4141</v>
      </c>
    </row>
    <row r="4112" spans="1:6">
      <c r="A4112" t="s">
        <v>4018</v>
      </c>
      <c r="B4112" t="s">
        <v>305</v>
      </c>
      <c r="C4112" t="s">
        <v>306</v>
      </c>
      <c r="D4112" t="str">
        <f>HYPERLINK("http://service.sap.com/sap/support/notes/1469651","1469651")</f>
        <v>1469651</v>
      </c>
      <c r="F4112" t="s">
        <v>4142</v>
      </c>
    </row>
    <row r="4113" spans="1:6">
      <c r="A4113" t="s">
        <v>4018</v>
      </c>
      <c r="B4113" t="s">
        <v>305</v>
      </c>
      <c r="C4113" t="s">
        <v>306</v>
      </c>
      <c r="D4113" t="str">
        <f>HYPERLINK("http://service.sap.com/sap/support/notes/1469652","1469652")</f>
        <v>1469652</v>
      </c>
      <c r="F4113" t="s">
        <v>4143</v>
      </c>
    </row>
    <row r="4114" spans="1:6">
      <c r="A4114" t="s">
        <v>4018</v>
      </c>
      <c r="B4114" t="s">
        <v>305</v>
      </c>
      <c r="C4114" t="s">
        <v>306</v>
      </c>
      <c r="D4114" t="str">
        <f>HYPERLINK("http://service.sap.com/sap/support/notes/1470872","1470872")</f>
        <v>1470872</v>
      </c>
      <c r="F4114" t="s">
        <v>4144</v>
      </c>
    </row>
    <row r="4115" spans="1:6">
      <c r="A4115" t="s">
        <v>4018</v>
      </c>
      <c r="B4115" t="s">
        <v>305</v>
      </c>
      <c r="C4115" t="s">
        <v>306</v>
      </c>
      <c r="D4115" t="str">
        <f>HYPERLINK("http://service.sap.com/sap/support/notes/1472588","1472588")</f>
        <v>1472588</v>
      </c>
      <c r="F4115" t="s">
        <v>4145</v>
      </c>
    </row>
    <row r="4116" spans="1:6">
      <c r="A4116" t="s">
        <v>4018</v>
      </c>
      <c r="B4116" t="s">
        <v>305</v>
      </c>
      <c r="C4116" t="s">
        <v>306</v>
      </c>
      <c r="D4116" t="str">
        <f>HYPERLINK("http://service.sap.com/sap/support/notes/1474822","1474822")</f>
        <v>1474822</v>
      </c>
      <c r="F4116" t="s">
        <v>4146</v>
      </c>
    </row>
    <row r="4117" spans="1:6">
      <c r="A4117" t="s">
        <v>4018</v>
      </c>
      <c r="B4117" t="s">
        <v>305</v>
      </c>
      <c r="C4117" t="s">
        <v>306</v>
      </c>
      <c r="D4117" t="str">
        <f>HYPERLINK("http://service.sap.com/sap/support/notes/1475361","1475361")</f>
        <v>1475361</v>
      </c>
      <c r="F4117" t="s">
        <v>4147</v>
      </c>
    </row>
    <row r="4118" spans="1:6">
      <c r="A4118" t="s">
        <v>4018</v>
      </c>
      <c r="B4118" t="s">
        <v>305</v>
      </c>
      <c r="C4118" t="s">
        <v>306</v>
      </c>
      <c r="D4118" t="str">
        <f>HYPERLINK("http://service.sap.com/sap/support/notes/1476899","1476899")</f>
        <v>1476899</v>
      </c>
      <c r="F4118" t="s">
        <v>4148</v>
      </c>
    </row>
    <row r="4119" spans="1:6">
      <c r="A4119" t="s">
        <v>4018</v>
      </c>
      <c r="B4119" t="s">
        <v>305</v>
      </c>
      <c r="C4119" t="s">
        <v>306</v>
      </c>
      <c r="D4119" t="str">
        <f>HYPERLINK("http://service.sap.com/sap/support/notes/1480073","1480073")</f>
        <v>1480073</v>
      </c>
      <c r="F4119" t="s">
        <v>4149</v>
      </c>
    </row>
    <row r="4120" spans="1:6">
      <c r="A4120" t="s">
        <v>4018</v>
      </c>
      <c r="B4120" t="s">
        <v>352</v>
      </c>
      <c r="C4120" t="s">
        <v>353</v>
      </c>
      <c r="D4120" t="str">
        <f>HYPERLINK("http://service.sap.com/sap/support/notes/1463771","1463771")</f>
        <v>1463771</v>
      </c>
      <c r="F4120" t="s">
        <v>4150</v>
      </c>
    </row>
    <row r="4121" spans="1:6">
      <c r="A4121" t="s">
        <v>4018</v>
      </c>
      <c r="B4121" t="s">
        <v>352</v>
      </c>
      <c r="C4121" t="s">
        <v>353</v>
      </c>
      <c r="D4121" t="str">
        <f>HYPERLINK("http://service.sap.com/sap/support/notes/1474582","1474582")</f>
        <v>1474582</v>
      </c>
      <c r="F4121" t="s">
        <v>4151</v>
      </c>
    </row>
    <row r="4122" spans="1:6">
      <c r="A4122" t="s">
        <v>4018</v>
      </c>
      <c r="B4122" t="s">
        <v>352</v>
      </c>
      <c r="C4122" t="s">
        <v>353</v>
      </c>
      <c r="D4122" t="str">
        <f>HYPERLINK("http://service.sap.com/sap/support/notes/1478621","1478621")</f>
        <v>1478621</v>
      </c>
      <c r="F4122" t="s">
        <v>4152</v>
      </c>
    </row>
    <row r="4123" spans="1:6">
      <c r="A4123" t="s">
        <v>4018</v>
      </c>
      <c r="B4123" t="s">
        <v>352</v>
      </c>
      <c r="C4123" t="s">
        <v>353</v>
      </c>
      <c r="D4123" t="str">
        <f>HYPERLINK("http://service.sap.com/sap/support/notes/1479606","1479606")</f>
        <v>1479606</v>
      </c>
      <c r="F4123" t="s">
        <v>4153</v>
      </c>
    </row>
    <row r="4124" spans="1:6">
      <c r="A4124" t="s">
        <v>4018</v>
      </c>
      <c r="B4124" t="s">
        <v>357</v>
      </c>
      <c r="C4124" t="s">
        <v>76</v>
      </c>
      <c r="D4124" t="str">
        <f>HYPERLINK("http://service.sap.com/sap/support/notes/1410934","1410934")</f>
        <v>1410934</v>
      </c>
      <c r="F4124" t="s">
        <v>3760</v>
      </c>
    </row>
    <row r="4125" spans="1:6">
      <c r="A4125" t="s">
        <v>4018</v>
      </c>
      <c r="B4125" t="s">
        <v>357</v>
      </c>
      <c r="C4125" t="s">
        <v>76</v>
      </c>
      <c r="D4125" t="str">
        <f>HYPERLINK("http://service.sap.com/sap/support/notes/1454986","1454986")</f>
        <v>1454986</v>
      </c>
      <c r="F4125" t="s">
        <v>4154</v>
      </c>
    </row>
    <row r="4126" spans="1:6">
      <c r="A4126" t="s">
        <v>4018</v>
      </c>
      <c r="B4126" t="s">
        <v>357</v>
      </c>
      <c r="C4126" t="s">
        <v>76</v>
      </c>
      <c r="D4126" t="str">
        <f>HYPERLINK("http://service.sap.com/sap/support/notes/1456318","1456318")</f>
        <v>1456318</v>
      </c>
      <c r="F4126" t="s">
        <v>4155</v>
      </c>
    </row>
    <row r="4127" spans="1:6">
      <c r="A4127" t="s">
        <v>4018</v>
      </c>
      <c r="B4127" t="s">
        <v>357</v>
      </c>
      <c r="C4127" t="s">
        <v>76</v>
      </c>
      <c r="D4127" t="str">
        <f>HYPERLINK("http://service.sap.com/sap/support/notes/1457667","1457667")</f>
        <v>1457667</v>
      </c>
      <c r="F4127" t="s">
        <v>4156</v>
      </c>
    </row>
    <row r="4128" spans="1:6">
      <c r="A4128" t="s">
        <v>4018</v>
      </c>
      <c r="B4128" t="s">
        <v>357</v>
      </c>
      <c r="C4128" t="s">
        <v>76</v>
      </c>
      <c r="D4128" t="str">
        <f>HYPERLINK("http://service.sap.com/sap/support/notes/1472475","1472475")</f>
        <v>1472475</v>
      </c>
      <c r="F4128" t="s">
        <v>4157</v>
      </c>
    </row>
    <row r="4129" spans="1:6">
      <c r="A4129" t="s">
        <v>4018</v>
      </c>
      <c r="B4129" t="s">
        <v>357</v>
      </c>
      <c r="C4129" t="s">
        <v>76</v>
      </c>
      <c r="D4129" t="str">
        <f>HYPERLINK("http://service.sap.com/sap/support/notes/1473041","1473041")</f>
        <v>1473041</v>
      </c>
      <c r="F4129" t="s">
        <v>4158</v>
      </c>
    </row>
    <row r="4130" spans="1:6">
      <c r="A4130" t="s">
        <v>4018</v>
      </c>
      <c r="B4130" t="s">
        <v>357</v>
      </c>
      <c r="C4130" t="s">
        <v>76</v>
      </c>
      <c r="D4130" t="str">
        <f>HYPERLINK("http://service.sap.com/sap/support/notes/1473064","1473064")</f>
        <v>1473064</v>
      </c>
      <c r="F4130" t="s">
        <v>4159</v>
      </c>
    </row>
    <row r="4131" spans="1:6">
      <c r="A4131" t="s">
        <v>4018</v>
      </c>
      <c r="B4131" t="s">
        <v>357</v>
      </c>
      <c r="C4131" t="s">
        <v>76</v>
      </c>
      <c r="D4131" t="str">
        <f>HYPERLINK("http://service.sap.com/sap/support/notes/1473412","1473412")</f>
        <v>1473412</v>
      </c>
      <c r="F4131" t="s">
        <v>4160</v>
      </c>
    </row>
    <row r="4132" spans="1:6">
      <c r="A4132" t="s">
        <v>4018</v>
      </c>
      <c r="B4132" t="s">
        <v>357</v>
      </c>
      <c r="C4132" t="s">
        <v>76</v>
      </c>
      <c r="D4132" t="str">
        <f>HYPERLINK("http://service.sap.com/sap/support/notes/1474208","1474208")</f>
        <v>1474208</v>
      </c>
      <c r="F4132" t="s">
        <v>4161</v>
      </c>
    </row>
    <row r="4133" spans="1:6">
      <c r="A4133" t="s">
        <v>4018</v>
      </c>
      <c r="B4133" t="s">
        <v>357</v>
      </c>
      <c r="C4133" t="s">
        <v>76</v>
      </c>
      <c r="D4133" t="str">
        <f>HYPERLINK("http://service.sap.com/sap/support/notes/1475795","1475795")</f>
        <v>1475795</v>
      </c>
      <c r="F4133" t="s">
        <v>4162</v>
      </c>
    </row>
    <row r="4134" spans="1:6">
      <c r="A4134" t="s">
        <v>4018</v>
      </c>
      <c r="B4134" t="s">
        <v>357</v>
      </c>
      <c r="C4134" t="s">
        <v>76</v>
      </c>
      <c r="D4134" t="str">
        <f>HYPERLINK("http://service.sap.com/sap/support/notes/1475797","1475797")</f>
        <v>1475797</v>
      </c>
      <c r="F4134" t="s">
        <v>4163</v>
      </c>
    </row>
    <row r="4135" spans="1:6">
      <c r="A4135" t="s">
        <v>4018</v>
      </c>
      <c r="B4135" t="s">
        <v>369</v>
      </c>
      <c r="C4135" t="s">
        <v>370</v>
      </c>
    </row>
    <row r="4136" spans="1:6">
      <c r="A4136" t="s">
        <v>4018</v>
      </c>
      <c r="B4136" t="s">
        <v>1166</v>
      </c>
      <c r="C4136" t="s">
        <v>1756</v>
      </c>
    </row>
    <row r="4137" spans="1:6">
      <c r="A4137" t="s">
        <v>4018</v>
      </c>
      <c r="B4137" t="s">
        <v>1167</v>
      </c>
      <c r="C4137" t="s">
        <v>1757</v>
      </c>
      <c r="D4137" t="str">
        <f>HYPERLINK("http://service.sap.com/sap/support/notes/1460536","1460536")</f>
        <v>1460536</v>
      </c>
      <c r="F4137" t="s">
        <v>4164</v>
      </c>
    </row>
    <row r="4138" spans="1:6">
      <c r="A4138" t="s">
        <v>4018</v>
      </c>
      <c r="B4138" t="s">
        <v>1170</v>
      </c>
      <c r="C4138" t="s">
        <v>239</v>
      </c>
    </row>
    <row r="4139" spans="1:6">
      <c r="A4139" t="s">
        <v>4018</v>
      </c>
      <c r="B4139" t="s">
        <v>1179</v>
      </c>
      <c r="C4139" t="s">
        <v>1180</v>
      </c>
      <c r="D4139" t="str">
        <f>HYPERLINK("http://service.sap.com/sap/support/notes/1468446","1468446")</f>
        <v>1468446</v>
      </c>
      <c r="F4139" t="s">
        <v>4165</v>
      </c>
    </row>
    <row r="4140" spans="1:6">
      <c r="A4140" t="s">
        <v>4018</v>
      </c>
      <c r="B4140" t="s">
        <v>1182</v>
      </c>
      <c r="C4140" t="s">
        <v>255</v>
      </c>
      <c r="D4140" t="str">
        <f>HYPERLINK("http://service.sap.com/sap/support/notes/1436123","1436123")</f>
        <v>1436123</v>
      </c>
      <c r="F4140" t="s">
        <v>4166</v>
      </c>
    </row>
    <row r="4141" spans="1:6">
      <c r="A4141" t="s">
        <v>4018</v>
      </c>
      <c r="B4141" t="s">
        <v>374</v>
      </c>
      <c r="C4141" t="s">
        <v>189</v>
      </c>
      <c r="D4141" t="str">
        <f>HYPERLINK("http://service.sap.com/sap/support/notes/1437241","1437241")</f>
        <v>1437241</v>
      </c>
      <c r="F4141" t="s">
        <v>4167</v>
      </c>
    </row>
    <row r="4142" spans="1:6">
      <c r="A4142" t="s">
        <v>4018</v>
      </c>
      <c r="B4142" t="s">
        <v>374</v>
      </c>
      <c r="C4142" t="s">
        <v>189</v>
      </c>
      <c r="D4142" t="str">
        <f>HYPERLINK("http://service.sap.com/sap/support/notes/1472404","1472404")</f>
        <v>1472404</v>
      </c>
      <c r="F4142" t="s">
        <v>4168</v>
      </c>
    </row>
    <row r="4143" spans="1:6">
      <c r="A4143" t="s">
        <v>4018</v>
      </c>
      <c r="B4143" t="s">
        <v>374</v>
      </c>
      <c r="C4143" t="s">
        <v>189</v>
      </c>
      <c r="D4143" t="str">
        <f>HYPERLINK("http://service.sap.com/sap/support/notes/1473983","1473983")</f>
        <v>1473983</v>
      </c>
      <c r="F4143" t="s">
        <v>4169</v>
      </c>
    </row>
    <row r="4144" spans="1:6">
      <c r="A4144" t="s">
        <v>4018</v>
      </c>
      <c r="B4144" t="s">
        <v>385</v>
      </c>
      <c r="C4144" t="s">
        <v>208</v>
      </c>
      <c r="D4144" t="str">
        <f>HYPERLINK("http://service.sap.com/sap/support/notes/1431943","1431943")</f>
        <v>1431943</v>
      </c>
      <c r="F4144" t="s">
        <v>4170</v>
      </c>
    </row>
    <row r="4145" spans="1:6">
      <c r="A4145" t="s">
        <v>4018</v>
      </c>
      <c r="B4145" t="s">
        <v>391</v>
      </c>
      <c r="C4145" t="s">
        <v>392</v>
      </c>
      <c r="D4145" t="str">
        <f>HYPERLINK("http://service.sap.com/sap/support/notes/1471559","1471559")</f>
        <v>1471559</v>
      </c>
      <c r="F4145" t="s">
        <v>4171</v>
      </c>
    </row>
    <row r="4146" spans="1:6">
      <c r="A4146" t="s">
        <v>4018</v>
      </c>
      <c r="B4146" t="s">
        <v>391</v>
      </c>
      <c r="C4146" t="s">
        <v>392</v>
      </c>
      <c r="D4146" t="str">
        <f>HYPERLINK("http://service.sap.com/sap/support/notes/1473751","1473751")</f>
        <v>1473751</v>
      </c>
      <c r="F4146" t="s">
        <v>4172</v>
      </c>
    </row>
    <row r="4147" spans="1:6">
      <c r="A4147" t="s">
        <v>4018</v>
      </c>
      <c r="B4147" t="s">
        <v>391</v>
      </c>
      <c r="C4147" t="s">
        <v>392</v>
      </c>
      <c r="D4147" t="str">
        <f>HYPERLINK("http://service.sap.com/sap/support/notes/1476224","1476224")</f>
        <v>1476224</v>
      </c>
      <c r="F4147" t="s">
        <v>4173</v>
      </c>
    </row>
    <row r="4148" spans="1:6">
      <c r="A4148" t="s">
        <v>4018</v>
      </c>
      <c r="B4148" t="s">
        <v>391</v>
      </c>
      <c r="C4148" t="s">
        <v>392</v>
      </c>
      <c r="D4148" t="str">
        <f>HYPERLINK("http://service.sap.com/sap/support/notes/1478695","1478695")</f>
        <v>1478695</v>
      </c>
      <c r="F4148" t="s">
        <v>4174</v>
      </c>
    </row>
    <row r="4149" spans="1:6">
      <c r="A4149" t="s">
        <v>4018</v>
      </c>
      <c r="B4149" t="s">
        <v>397</v>
      </c>
      <c r="C4149" t="s">
        <v>398</v>
      </c>
      <c r="D4149" t="str">
        <f>HYPERLINK("http://service.sap.com/sap/support/notes/1469504","1469504")</f>
        <v>1469504</v>
      </c>
      <c r="F4149" t="s">
        <v>4175</v>
      </c>
    </row>
    <row r="4150" spans="1:6">
      <c r="A4150" t="s">
        <v>4018</v>
      </c>
      <c r="B4150" t="s">
        <v>397</v>
      </c>
      <c r="C4150" t="s">
        <v>398</v>
      </c>
      <c r="D4150" t="str">
        <f>HYPERLINK("http://service.sap.com/sap/support/notes/1473661","1473661")</f>
        <v>1473661</v>
      </c>
      <c r="F4150" t="s">
        <v>4176</v>
      </c>
    </row>
    <row r="4151" spans="1:6">
      <c r="A4151" t="s">
        <v>4018</v>
      </c>
      <c r="B4151" t="s">
        <v>401</v>
      </c>
      <c r="C4151" t="s">
        <v>402</v>
      </c>
      <c r="D4151" t="str">
        <f>HYPERLINK("http://service.sap.com/sap/support/notes/1464777","1464777")</f>
        <v>1464777</v>
      </c>
      <c r="F4151" t="s">
        <v>4177</v>
      </c>
    </row>
    <row r="4152" spans="1:6">
      <c r="A4152" t="s">
        <v>4018</v>
      </c>
      <c r="B4152" t="s">
        <v>401</v>
      </c>
      <c r="C4152" t="s">
        <v>402</v>
      </c>
      <c r="D4152" t="str">
        <f>HYPERLINK("http://service.sap.com/sap/support/notes/1472253","1472253")</f>
        <v>1472253</v>
      </c>
      <c r="F4152" t="s">
        <v>4178</v>
      </c>
    </row>
    <row r="4153" spans="1:6">
      <c r="A4153" t="s">
        <v>4018</v>
      </c>
      <c r="B4153" t="s">
        <v>401</v>
      </c>
      <c r="C4153" t="s">
        <v>402</v>
      </c>
      <c r="D4153" t="str">
        <f>HYPERLINK("http://service.sap.com/sap/support/notes/1475861","1475861")</f>
        <v>1475861</v>
      </c>
      <c r="F4153" t="s">
        <v>4179</v>
      </c>
    </row>
    <row r="4154" spans="1:6">
      <c r="A4154" t="s">
        <v>4018</v>
      </c>
      <c r="B4154" t="s">
        <v>410</v>
      </c>
      <c r="C4154" t="s">
        <v>411</v>
      </c>
      <c r="D4154" t="str">
        <f>HYPERLINK("http://service.sap.com/sap/support/notes/1366382","1366382")</f>
        <v>1366382</v>
      </c>
      <c r="F4154" t="s">
        <v>2155</v>
      </c>
    </row>
    <row r="4155" spans="1:6">
      <c r="A4155" t="s">
        <v>4018</v>
      </c>
      <c r="B4155" t="s">
        <v>410</v>
      </c>
      <c r="C4155" t="s">
        <v>411</v>
      </c>
      <c r="D4155" t="str">
        <f>HYPERLINK("http://service.sap.com/sap/support/notes/1455387","1455387")</f>
        <v>1455387</v>
      </c>
      <c r="F4155" t="s">
        <v>4180</v>
      </c>
    </row>
    <row r="4156" spans="1:6">
      <c r="A4156" t="s">
        <v>4018</v>
      </c>
      <c r="B4156" t="s">
        <v>410</v>
      </c>
      <c r="C4156" t="s">
        <v>411</v>
      </c>
      <c r="D4156" t="str">
        <f>HYPERLINK("http://service.sap.com/sap/support/notes/1461751","1461751")</f>
        <v>1461751</v>
      </c>
      <c r="F4156" t="s">
        <v>4181</v>
      </c>
    </row>
    <row r="4157" spans="1:6">
      <c r="A4157" t="s">
        <v>4018</v>
      </c>
      <c r="B4157" t="s">
        <v>410</v>
      </c>
      <c r="C4157" t="s">
        <v>411</v>
      </c>
      <c r="D4157" t="str">
        <f>HYPERLINK("http://service.sap.com/sap/support/notes/1462139","1462139")</f>
        <v>1462139</v>
      </c>
      <c r="F4157" t="s">
        <v>4182</v>
      </c>
    </row>
    <row r="4158" spans="1:6">
      <c r="A4158" t="s">
        <v>4018</v>
      </c>
      <c r="B4158" t="s">
        <v>410</v>
      </c>
      <c r="C4158" t="s">
        <v>411</v>
      </c>
      <c r="D4158" t="str">
        <f>HYPERLINK("http://service.sap.com/sap/support/notes/1472222","1472222")</f>
        <v>1472222</v>
      </c>
      <c r="F4158" t="s">
        <v>4183</v>
      </c>
    </row>
    <row r="4159" spans="1:6">
      <c r="A4159" t="s">
        <v>4018</v>
      </c>
      <c r="B4159" t="s">
        <v>410</v>
      </c>
      <c r="C4159" t="s">
        <v>411</v>
      </c>
      <c r="D4159" t="str">
        <f>HYPERLINK("http://service.sap.com/sap/support/notes/1474046","1474046")</f>
        <v>1474046</v>
      </c>
      <c r="F4159" t="s">
        <v>4184</v>
      </c>
    </row>
    <row r="4160" spans="1:6">
      <c r="A4160" t="s">
        <v>4018</v>
      </c>
      <c r="B4160" t="s">
        <v>410</v>
      </c>
      <c r="C4160" t="s">
        <v>411</v>
      </c>
      <c r="D4160" t="str">
        <f>HYPERLINK("http://service.sap.com/sap/support/notes/1474958","1474958")</f>
        <v>1474958</v>
      </c>
      <c r="F4160" t="s">
        <v>4185</v>
      </c>
    </row>
    <row r="4161" spans="1:6">
      <c r="A4161" t="s">
        <v>4018</v>
      </c>
      <c r="B4161" t="s">
        <v>410</v>
      </c>
      <c r="C4161" t="s">
        <v>411</v>
      </c>
      <c r="D4161" t="str">
        <f>HYPERLINK("http://service.sap.com/sap/support/notes/1475237","1475237")</f>
        <v>1475237</v>
      </c>
      <c r="F4161" t="s">
        <v>4186</v>
      </c>
    </row>
    <row r="4162" spans="1:6">
      <c r="A4162" t="s">
        <v>4018</v>
      </c>
      <c r="B4162" t="s">
        <v>410</v>
      </c>
      <c r="C4162" t="s">
        <v>411</v>
      </c>
      <c r="D4162" t="str">
        <f>HYPERLINK("http://service.sap.com/sap/support/notes/1478048","1478048")</f>
        <v>1478048</v>
      </c>
      <c r="F4162" t="s">
        <v>4187</v>
      </c>
    </row>
    <row r="4163" spans="1:6">
      <c r="A4163" t="s">
        <v>4018</v>
      </c>
      <c r="B4163" t="s">
        <v>424</v>
      </c>
      <c r="C4163" t="s">
        <v>425</v>
      </c>
      <c r="D4163" t="str">
        <f>HYPERLINK("http://service.sap.com/sap/support/notes/1454962","1454962")</f>
        <v>1454962</v>
      </c>
      <c r="F4163" t="s">
        <v>4188</v>
      </c>
    </row>
    <row r="4164" spans="1:6">
      <c r="A4164" t="s">
        <v>4018</v>
      </c>
      <c r="B4164" t="s">
        <v>424</v>
      </c>
      <c r="C4164" t="s">
        <v>425</v>
      </c>
      <c r="D4164" t="str">
        <f>HYPERLINK("http://service.sap.com/sap/support/notes/1478857","1478857")</f>
        <v>1478857</v>
      </c>
      <c r="F4164" t="s">
        <v>4189</v>
      </c>
    </row>
    <row r="4165" spans="1:6">
      <c r="A4165" t="s">
        <v>4018</v>
      </c>
      <c r="B4165" t="s">
        <v>424</v>
      </c>
      <c r="C4165" t="s">
        <v>425</v>
      </c>
      <c r="D4165" t="str">
        <f>HYPERLINK("http://service.sap.com/sap/support/notes/1480034","1480034")</f>
        <v>1480034</v>
      </c>
      <c r="F4165" t="s">
        <v>4190</v>
      </c>
    </row>
    <row r="4166" spans="1:6">
      <c r="A4166" t="s">
        <v>4018</v>
      </c>
      <c r="B4166" t="s">
        <v>441</v>
      </c>
      <c r="C4166" t="s">
        <v>442</v>
      </c>
      <c r="D4166" t="str">
        <f>HYPERLINK("http://service.sap.com/sap/support/notes/1477688","1477688")</f>
        <v>1477688</v>
      </c>
      <c r="F4166" t="s">
        <v>4191</v>
      </c>
    </row>
    <row r="4167" spans="1:6">
      <c r="A4167" t="s">
        <v>4018</v>
      </c>
      <c r="B4167" t="s">
        <v>441</v>
      </c>
      <c r="C4167" t="s">
        <v>442</v>
      </c>
      <c r="D4167" t="str">
        <f>HYPERLINK("http://service.sap.com/sap/support/notes/1477989","1477989")</f>
        <v>1477989</v>
      </c>
      <c r="F4167" t="s">
        <v>4192</v>
      </c>
    </row>
    <row r="4168" spans="1:6">
      <c r="A4168" t="s">
        <v>4018</v>
      </c>
      <c r="B4168" t="s">
        <v>1247</v>
      </c>
      <c r="C4168" t="s">
        <v>87</v>
      </c>
      <c r="D4168" t="str">
        <f>HYPERLINK("http://service.sap.com/sap/support/notes/1471517","1471517")</f>
        <v>1471517</v>
      </c>
      <c r="F4168" t="s">
        <v>4193</v>
      </c>
    </row>
    <row r="4169" spans="1:6">
      <c r="A4169" t="s">
        <v>4018</v>
      </c>
      <c r="B4169" t="s">
        <v>1247</v>
      </c>
      <c r="C4169" t="s">
        <v>87</v>
      </c>
      <c r="D4169" t="str">
        <f>HYPERLINK("http://service.sap.com/sap/support/notes/1472611","1472611")</f>
        <v>1472611</v>
      </c>
      <c r="F4169" t="s">
        <v>4194</v>
      </c>
    </row>
    <row r="4170" spans="1:6">
      <c r="A4170" t="s">
        <v>4018</v>
      </c>
      <c r="B4170" t="s">
        <v>1247</v>
      </c>
      <c r="C4170" t="s">
        <v>87</v>
      </c>
      <c r="D4170" t="str">
        <f>HYPERLINK("http://service.sap.com/sap/support/notes/1473213","1473213")</f>
        <v>1473213</v>
      </c>
      <c r="F4170" t="s">
        <v>4195</v>
      </c>
    </row>
    <row r="4171" spans="1:6">
      <c r="A4171" t="s">
        <v>4018</v>
      </c>
      <c r="B4171" t="s">
        <v>1247</v>
      </c>
      <c r="C4171" t="s">
        <v>87</v>
      </c>
      <c r="D4171" t="str">
        <f>HYPERLINK("http://service.sap.com/sap/support/notes/1473230","1473230")</f>
        <v>1473230</v>
      </c>
      <c r="F4171" t="s">
        <v>4196</v>
      </c>
    </row>
    <row r="4172" spans="1:6">
      <c r="A4172" t="s">
        <v>4018</v>
      </c>
      <c r="B4172" t="s">
        <v>450</v>
      </c>
      <c r="C4172" t="s">
        <v>451</v>
      </c>
      <c r="D4172" t="str">
        <f>HYPERLINK("http://service.sap.com/sap/support/notes/1459136","1459136")</f>
        <v>1459136</v>
      </c>
      <c r="F4172" t="s">
        <v>4197</v>
      </c>
    </row>
    <row r="4173" spans="1:6">
      <c r="A4173" t="s">
        <v>4018</v>
      </c>
      <c r="B4173" t="s">
        <v>450</v>
      </c>
      <c r="C4173" t="s">
        <v>451</v>
      </c>
      <c r="D4173" t="str">
        <f>HYPERLINK("http://service.sap.com/sap/support/notes/1468740","1468740")</f>
        <v>1468740</v>
      </c>
      <c r="F4173" t="s">
        <v>4198</v>
      </c>
    </row>
    <row r="4174" spans="1:6">
      <c r="A4174" t="s">
        <v>4018</v>
      </c>
      <c r="B4174" t="s">
        <v>450</v>
      </c>
      <c r="C4174" t="s">
        <v>451</v>
      </c>
      <c r="D4174" t="str">
        <f>HYPERLINK("http://service.sap.com/sap/support/notes/1477466","1477466")</f>
        <v>1477466</v>
      </c>
      <c r="F4174" t="s">
        <v>4199</v>
      </c>
    </row>
    <row r="4175" spans="1:6">
      <c r="A4175" t="s">
        <v>4018</v>
      </c>
      <c r="B4175" t="s">
        <v>3847</v>
      </c>
      <c r="C4175" t="s">
        <v>4200</v>
      </c>
      <c r="D4175" t="str">
        <f>HYPERLINK("http://service.sap.com/sap/support/notes/1471959","1471959")</f>
        <v>1471959</v>
      </c>
      <c r="F4175" t="s">
        <v>3850</v>
      </c>
    </row>
    <row r="4176" spans="1:6">
      <c r="A4176" t="s">
        <v>4018</v>
      </c>
      <c r="B4176" t="s">
        <v>455</v>
      </c>
      <c r="C4176" t="s">
        <v>456</v>
      </c>
      <c r="D4176" t="str">
        <f>HYPERLINK("http://service.sap.com/sap/support/notes/1471462","1471462")</f>
        <v>1471462</v>
      </c>
      <c r="F4176" t="s">
        <v>4201</v>
      </c>
    </row>
    <row r="4177" spans="1:6">
      <c r="A4177" t="s">
        <v>4018</v>
      </c>
      <c r="B4177" t="s">
        <v>458</v>
      </c>
      <c r="C4177" t="s">
        <v>90</v>
      </c>
      <c r="D4177" t="str">
        <f>HYPERLINK("http://service.sap.com/sap/support/notes/1472541","1472541")</f>
        <v>1472541</v>
      </c>
      <c r="F4177" t="s">
        <v>4202</v>
      </c>
    </row>
    <row r="4178" spans="1:6">
      <c r="A4178" t="s">
        <v>4018</v>
      </c>
      <c r="B4178" t="s">
        <v>463</v>
      </c>
      <c r="C4178" t="s">
        <v>93</v>
      </c>
      <c r="D4178" t="str">
        <f>HYPERLINK("http://service.sap.com/sap/support/notes/1469552","1469552")</f>
        <v>1469552</v>
      </c>
      <c r="F4178" t="s">
        <v>4203</v>
      </c>
    </row>
    <row r="4179" spans="1:6">
      <c r="A4179" t="s">
        <v>4018</v>
      </c>
      <c r="B4179" t="s">
        <v>463</v>
      </c>
      <c r="C4179" t="s">
        <v>93</v>
      </c>
      <c r="D4179" t="str">
        <f>HYPERLINK("http://service.sap.com/sap/support/notes/1470807","1470807")</f>
        <v>1470807</v>
      </c>
      <c r="F4179" t="s">
        <v>4204</v>
      </c>
    </row>
    <row r="4180" spans="1:6">
      <c r="A4180" t="s">
        <v>4018</v>
      </c>
      <c r="B4180" t="s">
        <v>463</v>
      </c>
      <c r="C4180" t="s">
        <v>93</v>
      </c>
      <c r="D4180" t="str">
        <f>HYPERLINK("http://service.sap.com/sap/support/notes/1472270","1472270")</f>
        <v>1472270</v>
      </c>
      <c r="F4180" t="s">
        <v>4205</v>
      </c>
    </row>
    <row r="4181" spans="1:6">
      <c r="A4181" t="s">
        <v>4018</v>
      </c>
      <c r="B4181" t="s">
        <v>463</v>
      </c>
      <c r="C4181" t="s">
        <v>93</v>
      </c>
      <c r="D4181" t="str">
        <f>HYPERLINK("http://service.sap.com/sap/support/notes/1472721","1472721")</f>
        <v>1472721</v>
      </c>
      <c r="F4181" t="s">
        <v>4206</v>
      </c>
    </row>
    <row r="4182" spans="1:6">
      <c r="A4182" t="s">
        <v>4018</v>
      </c>
      <c r="B4182" t="s">
        <v>463</v>
      </c>
      <c r="C4182" t="s">
        <v>93</v>
      </c>
      <c r="D4182" t="str">
        <f>HYPERLINK("http://service.sap.com/sap/support/notes/1476129","1476129")</f>
        <v>1476129</v>
      </c>
      <c r="F4182" t="s">
        <v>4207</v>
      </c>
    </row>
    <row r="4183" spans="1:6">
      <c r="A4183" t="s">
        <v>4018</v>
      </c>
      <c r="B4183" t="s">
        <v>463</v>
      </c>
      <c r="C4183" t="s">
        <v>93</v>
      </c>
      <c r="D4183" t="str">
        <f>HYPERLINK("http://service.sap.com/sap/support/notes/1477236","1477236")</f>
        <v>1477236</v>
      </c>
      <c r="F4183" t="s">
        <v>4208</v>
      </c>
    </row>
    <row r="4184" spans="1:6">
      <c r="A4184" t="s">
        <v>4018</v>
      </c>
      <c r="B4184" t="s">
        <v>463</v>
      </c>
      <c r="C4184" t="s">
        <v>93</v>
      </c>
      <c r="D4184" t="str">
        <f>HYPERLINK("http://service.sap.com/sap/support/notes/1478166","1478166")</f>
        <v>1478166</v>
      </c>
      <c r="F4184" t="s">
        <v>4209</v>
      </c>
    </row>
    <row r="4185" spans="1:6">
      <c r="A4185" t="s">
        <v>4018</v>
      </c>
      <c r="B4185" t="s">
        <v>463</v>
      </c>
      <c r="C4185" t="s">
        <v>93</v>
      </c>
      <c r="D4185" t="str">
        <f>HYPERLINK("http://service.sap.com/sap/support/notes/1478253","1478253")</f>
        <v>1478253</v>
      </c>
      <c r="F4185" t="s">
        <v>4210</v>
      </c>
    </row>
    <row r="4186" spans="1:6">
      <c r="A4186" t="s">
        <v>4018</v>
      </c>
      <c r="B4186" t="s">
        <v>475</v>
      </c>
      <c r="C4186" t="s">
        <v>476</v>
      </c>
      <c r="D4186" t="str">
        <f>HYPERLINK("http://service.sap.com/sap/support/notes/1454907","1454907")</f>
        <v>1454907</v>
      </c>
      <c r="F4186" t="s">
        <v>4211</v>
      </c>
    </row>
    <row r="4187" spans="1:6">
      <c r="A4187" t="s">
        <v>4018</v>
      </c>
      <c r="B4187" t="s">
        <v>475</v>
      </c>
      <c r="C4187" t="s">
        <v>476</v>
      </c>
      <c r="D4187" t="str">
        <f>HYPERLINK("http://service.sap.com/sap/support/notes/1470695","1470695")</f>
        <v>1470695</v>
      </c>
      <c r="F4187" t="s">
        <v>4212</v>
      </c>
    </row>
    <row r="4188" spans="1:6">
      <c r="A4188" t="s">
        <v>4018</v>
      </c>
      <c r="B4188" t="s">
        <v>475</v>
      </c>
      <c r="C4188" t="s">
        <v>476</v>
      </c>
      <c r="D4188" t="str">
        <f>HYPERLINK("http://service.sap.com/sap/support/notes/1474059","1474059")</f>
        <v>1474059</v>
      </c>
      <c r="F4188" t="s">
        <v>4213</v>
      </c>
    </row>
    <row r="4189" spans="1:6">
      <c r="A4189" t="s">
        <v>4018</v>
      </c>
      <c r="B4189" t="s">
        <v>475</v>
      </c>
      <c r="C4189" t="s">
        <v>476</v>
      </c>
      <c r="D4189" t="str">
        <f>HYPERLINK("http://service.sap.com/sap/support/notes/1476047","1476047")</f>
        <v>1476047</v>
      </c>
      <c r="F4189" t="s">
        <v>4214</v>
      </c>
    </row>
    <row r="4190" spans="1:6">
      <c r="A4190" t="s">
        <v>4018</v>
      </c>
      <c r="B4190" t="s">
        <v>479</v>
      </c>
      <c r="C4190" t="s">
        <v>480</v>
      </c>
      <c r="D4190" t="str">
        <f>HYPERLINK("http://service.sap.com/sap/support/notes/1475024","1475024")</f>
        <v>1475024</v>
      </c>
      <c r="F4190" t="s">
        <v>4215</v>
      </c>
    </row>
    <row r="4191" spans="1:6">
      <c r="A4191" t="s">
        <v>4018</v>
      </c>
      <c r="B4191" t="s">
        <v>482</v>
      </c>
      <c r="C4191" t="s">
        <v>483</v>
      </c>
      <c r="D4191" t="str">
        <f>HYPERLINK("http://service.sap.com/sap/support/notes/808408","808408")</f>
        <v>808408</v>
      </c>
      <c r="F4191" t="s">
        <v>1857</v>
      </c>
    </row>
    <row r="4192" spans="1:6">
      <c r="A4192" t="s">
        <v>4018</v>
      </c>
      <c r="B4192" t="s">
        <v>482</v>
      </c>
      <c r="C4192" t="s">
        <v>483</v>
      </c>
      <c r="D4192" t="str">
        <f>HYPERLINK("http://service.sap.com/sap/support/notes/1467970","1467970")</f>
        <v>1467970</v>
      </c>
      <c r="F4192" t="s">
        <v>4216</v>
      </c>
    </row>
    <row r="4193" spans="1:6">
      <c r="A4193" t="s">
        <v>4018</v>
      </c>
      <c r="B4193" t="s">
        <v>482</v>
      </c>
      <c r="C4193" t="s">
        <v>483</v>
      </c>
      <c r="D4193" t="str">
        <f>HYPERLINK("http://service.sap.com/sap/support/notes/1471070","1471070")</f>
        <v>1471070</v>
      </c>
      <c r="F4193" t="s">
        <v>4217</v>
      </c>
    </row>
    <row r="4194" spans="1:6">
      <c r="A4194" t="s">
        <v>4018</v>
      </c>
      <c r="B4194" t="s">
        <v>482</v>
      </c>
      <c r="C4194" t="s">
        <v>483</v>
      </c>
      <c r="D4194" t="str">
        <f>HYPERLINK("http://service.sap.com/sap/support/notes/1472263","1472263")</f>
        <v>1472263</v>
      </c>
      <c r="F4194" t="s">
        <v>4218</v>
      </c>
    </row>
    <row r="4195" spans="1:6">
      <c r="A4195" t="s">
        <v>4018</v>
      </c>
      <c r="B4195" t="s">
        <v>482</v>
      </c>
      <c r="C4195" t="s">
        <v>483</v>
      </c>
      <c r="D4195" t="str">
        <f>HYPERLINK("http://service.sap.com/sap/support/notes/1476065","1476065")</f>
        <v>1476065</v>
      </c>
      <c r="F4195" t="s">
        <v>4219</v>
      </c>
    </row>
    <row r="4196" spans="1:6">
      <c r="A4196" t="s">
        <v>4018</v>
      </c>
      <c r="B4196" t="s">
        <v>485</v>
      </c>
      <c r="C4196" t="s">
        <v>486</v>
      </c>
      <c r="D4196" t="str">
        <f>HYPERLINK("http://service.sap.com/sap/support/notes/1060820","1060820")</f>
        <v>1060820</v>
      </c>
      <c r="F4196" t="s">
        <v>4220</v>
      </c>
    </row>
    <row r="4197" spans="1:6">
      <c r="A4197" t="s">
        <v>4018</v>
      </c>
      <c r="B4197" t="s">
        <v>485</v>
      </c>
      <c r="C4197" t="s">
        <v>486</v>
      </c>
      <c r="D4197" t="str">
        <f>HYPERLINK("http://service.sap.com/sap/support/notes/1430666","1430666")</f>
        <v>1430666</v>
      </c>
      <c r="F4197" t="s">
        <v>4221</v>
      </c>
    </row>
    <row r="4198" spans="1:6">
      <c r="A4198" t="s">
        <v>4018</v>
      </c>
      <c r="B4198" t="s">
        <v>485</v>
      </c>
      <c r="C4198" t="s">
        <v>486</v>
      </c>
      <c r="D4198" t="str">
        <f>HYPERLINK("http://service.sap.com/sap/support/notes/1449349","1449349")</f>
        <v>1449349</v>
      </c>
      <c r="F4198" t="s">
        <v>3872</v>
      </c>
    </row>
    <row r="4199" spans="1:6">
      <c r="A4199" t="s">
        <v>4018</v>
      </c>
      <c r="B4199" t="s">
        <v>485</v>
      </c>
      <c r="C4199" t="s">
        <v>486</v>
      </c>
      <c r="D4199" t="str">
        <f>HYPERLINK("http://service.sap.com/sap/support/notes/1450994","1450994")</f>
        <v>1450994</v>
      </c>
      <c r="F4199" t="s">
        <v>4222</v>
      </c>
    </row>
    <row r="4200" spans="1:6">
      <c r="A4200" t="s">
        <v>4018</v>
      </c>
      <c r="B4200" t="s">
        <v>485</v>
      </c>
      <c r="C4200" t="s">
        <v>486</v>
      </c>
      <c r="D4200" t="str">
        <f>HYPERLINK("http://service.sap.com/sap/support/notes/1468107","1468107")</f>
        <v>1468107</v>
      </c>
      <c r="F4200" t="s">
        <v>3874</v>
      </c>
    </row>
    <row r="4201" spans="1:6">
      <c r="A4201" t="s">
        <v>4018</v>
      </c>
      <c r="B4201" t="s">
        <v>485</v>
      </c>
      <c r="C4201" t="s">
        <v>486</v>
      </c>
      <c r="D4201" t="str">
        <f>HYPERLINK("http://service.sap.com/sap/support/notes/1472575","1472575")</f>
        <v>1472575</v>
      </c>
      <c r="F4201" t="s">
        <v>4223</v>
      </c>
    </row>
    <row r="4202" spans="1:6">
      <c r="A4202" t="s">
        <v>4018</v>
      </c>
      <c r="B4202" t="s">
        <v>485</v>
      </c>
      <c r="C4202" t="s">
        <v>486</v>
      </c>
      <c r="D4202" t="str">
        <f>HYPERLINK("http://service.sap.com/sap/support/notes/1473978","1473978")</f>
        <v>1473978</v>
      </c>
      <c r="F4202" t="s">
        <v>4224</v>
      </c>
    </row>
    <row r="4203" spans="1:6">
      <c r="A4203" t="s">
        <v>4018</v>
      </c>
      <c r="B4203" t="s">
        <v>485</v>
      </c>
      <c r="C4203" t="s">
        <v>486</v>
      </c>
      <c r="D4203" t="str">
        <f>HYPERLINK("http://service.sap.com/sap/support/notes/1475878","1475878")</f>
        <v>1475878</v>
      </c>
      <c r="F4203" t="s">
        <v>4225</v>
      </c>
    </row>
    <row r="4204" spans="1:6">
      <c r="A4204" t="s">
        <v>4018</v>
      </c>
      <c r="B4204" t="s">
        <v>485</v>
      </c>
      <c r="C4204" t="s">
        <v>486</v>
      </c>
      <c r="D4204" t="str">
        <f>HYPERLINK("http://service.sap.com/sap/support/notes/1476417","1476417")</f>
        <v>1476417</v>
      </c>
      <c r="F4204" t="s">
        <v>4226</v>
      </c>
    </row>
    <row r="4205" spans="1:6">
      <c r="A4205" t="s">
        <v>4018</v>
      </c>
      <c r="B4205" t="s">
        <v>489</v>
      </c>
      <c r="C4205" t="s">
        <v>490</v>
      </c>
      <c r="D4205" t="str">
        <f>HYPERLINK("http://service.sap.com/sap/support/notes/1341197","1341197")</f>
        <v>1341197</v>
      </c>
      <c r="F4205" t="s">
        <v>4227</v>
      </c>
    </row>
    <row r="4206" spans="1:6">
      <c r="A4206" t="s">
        <v>4018</v>
      </c>
      <c r="B4206" t="s">
        <v>489</v>
      </c>
      <c r="C4206" t="s">
        <v>490</v>
      </c>
      <c r="D4206" t="str">
        <f>HYPERLINK("http://service.sap.com/sap/support/notes/1356108","1356108")</f>
        <v>1356108</v>
      </c>
      <c r="F4206" t="s">
        <v>4228</v>
      </c>
    </row>
    <row r="4207" spans="1:6">
      <c r="A4207" t="s">
        <v>4018</v>
      </c>
      <c r="B4207" t="s">
        <v>489</v>
      </c>
      <c r="C4207" t="s">
        <v>490</v>
      </c>
      <c r="D4207" t="str">
        <f>HYPERLINK("http://service.sap.com/sap/support/notes/1458658","1458658")</f>
        <v>1458658</v>
      </c>
      <c r="F4207" t="s">
        <v>4229</v>
      </c>
    </row>
    <row r="4208" spans="1:6">
      <c r="A4208" t="s">
        <v>4018</v>
      </c>
      <c r="B4208" t="s">
        <v>489</v>
      </c>
      <c r="C4208" t="s">
        <v>490</v>
      </c>
      <c r="D4208" t="str">
        <f>HYPERLINK("http://service.sap.com/sap/support/notes/1462643","1462643")</f>
        <v>1462643</v>
      </c>
      <c r="F4208" t="s">
        <v>4230</v>
      </c>
    </row>
    <row r="4209" spans="1:6">
      <c r="A4209" t="s">
        <v>4018</v>
      </c>
      <c r="B4209" t="s">
        <v>492</v>
      </c>
      <c r="C4209" t="s">
        <v>493</v>
      </c>
      <c r="D4209" t="str">
        <f>HYPERLINK("http://service.sap.com/sap/support/notes/1463101","1463101")</f>
        <v>1463101</v>
      </c>
      <c r="F4209" t="s">
        <v>3882</v>
      </c>
    </row>
    <row r="4210" spans="1:6">
      <c r="A4210" t="s">
        <v>4018</v>
      </c>
      <c r="B4210" t="s">
        <v>492</v>
      </c>
      <c r="C4210" t="s">
        <v>493</v>
      </c>
      <c r="D4210" t="str">
        <f>HYPERLINK("http://service.sap.com/sap/support/notes/1466970","1466970")</f>
        <v>1466970</v>
      </c>
      <c r="F4210" t="s">
        <v>4231</v>
      </c>
    </row>
    <row r="4211" spans="1:6">
      <c r="A4211" t="s">
        <v>4018</v>
      </c>
      <c r="B4211" t="s">
        <v>492</v>
      </c>
      <c r="C4211" t="s">
        <v>493</v>
      </c>
      <c r="D4211" t="str">
        <f>HYPERLINK("http://service.sap.com/sap/support/notes/1472313","1472313")</f>
        <v>1472313</v>
      </c>
      <c r="F4211" t="s">
        <v>4232</v>
      </c>
    </row>
    <row r="4212" spans="1:6">
      <c r="A4212" t="s">
        <v>4018</v>
      </c>
      <c r="B4212" t="s">
        <v>492</v>
      </c>
      <c r="C4212" t="s">
        <v>493</v>
      </c>
      <c r="D4212" t="str">
        <f>HYPERLINK("http://service.sap.com/sap/support/notes/1474219","1474219")</f>
        <v>1474219</v>
      </c>
      <c r="F4212" t="s">
        <v>4233</v>
      </c>
    </row>
    <row r="4213" spans="1:6">
      <c r="A4213" t="s">
        <v>4018</v>
      </c>
      <c r="B4213" t="s">
        <v>492</v>
      </c>
      <c r="C4213" t="s">
        <v>493</v>
      </c>
      <c r="D4213" t="str">
        <f>HYPERLINK("http://service.sap.com/sap/support/notes/1475893","1475893")</f>
        <v>1475893</v>
      </c>
      <c r="F4213" t="s">
        <v>4234</v>
      </c>
    </row>
    <row r="4214" spans="1:6">
      <c r="A4214" t="s">
        <v>4018</v>
      </c>
      <c r="B4214" t="s">
        <v>492</v>
      </c>
      <c r="C4214" t="s">
        <v>493</v>
      </c>
      <c r="D4214" t="str">
        <f>HYPERLINK("http://service.sap.com/sap/support/notes/1479237","1479237")</f>
        <v>1479237</v>
      </c>
      <c r="F4214" t="s">
        <v>4235</v>
      </c>
    </row>
    <row r="4215" spans="1:6">
      <c r="A4215" t="s">
        <v>4018</v>
      </c>
      <c r="B4215" t="s">
        <v>492</v>
      </c>
      <c r="C4215" t="s">
        <v>493</v>
      </c>
      <c r="D4215" t="str">
        <f>HYPERLINK("http://service.sap.com/sap/support/notes/1479349","1479349")</f>
        <v>1479349</v>
      </c>
      <c r="F4215" t="s">
        <v>4236</v>
      </c>
    </row>
    <row r="4216" spans="1:6">
      <c r="A4216" t="s">
        <v>4018</v>
      </c>
      <c r="B4216" t="s">
        <v>492</v>
      </c>
      <c r="C4216" t="s">
        <v>493</v>
      </c>
      <c r="D4216" t="str">
        <f>HYPERLINK("http://service.sap.com/sap/support/notes/1479351","1479351")</f>
        <v>1479351</v>
      </c>
      <c r="F4216" t="s">
        <v>4237</v>
      </c>
    </row>
    <row r="4217" spans="1:6">
      <c r="A4217" t="s">
        <v>4018</v>
      </c>
      <c r="B4217" t="s">
        <v>500</v>
      </c>
      <c r="C4217" t="s">
        <v>501</v>
      </c>
      <c r="D4217" t="str">
        <f>HYPERLINK("http://service.sap.com/sap/support/notes/1382481","1382481")</f>
        <v>1382481</v>
      </c>
      <c r="F4217" t="s">
        <v>4238</v>
      </c>
    </row>
    <row r="4218" spans="1:6">
      <c r="A4218" t="s">
        <v>4018</v>
      </c>
      <c r="B4218" t="s">
        <v>500</v>
      </c>
      <c r="C4218" t="s">
        <v>501</v>
      </c>
      <c r="D4218" t="str">
        <f>HYPERLINK("http://service.sap.com/sap/support/notes/1474500","1474500")</f>
        <v>1474500</v>
      </c>
      <c r="F4218" t="s">
        <v>4239</v>
      </c>
    </row>
    <row r="4219" spans="1:6">
      <c r="A4219" t="s">
        <v>4018</v>
      </c>
      <c r="B4219" t="s">
        <v>510</v>
      </c>
      <c r="C4219" t="s">
        <v>114</v>
      </c>
      <c r="D4219" t="str">
        <f>HYPERLINK("http://service.sap.com/sap/support/notes/1475186","1475186")</f>
        <v>1475186</v>
      </c>
      <c r="F4219" t="s">
        <v>4240</v>
      </c>
    </row>
    <row r="4220" spans="1:6">
      <c r="A4220" t="s">
        <v>4018</v>
      </c>
      <c r="B4220" t="s">
        <v>513</v>
      </c>
      <c r="C4220" t="s">
        <v>514</v>
      </c>
      <c r="D4220" t="str">
        <f>HYPERLINK("http://service.sap.com/sap/support/notes/1472045","1472045")</f>
        <v>1472045</v>
      </c>
      <c r="F4220" t="s">
        <v>4241</v>
      </c>
    </row>
    <row r="4221" spans="1:6">
      <c r="A4221" t="s">
        <v>4018</v>
      </c>
      <c r="B4221" t="s">
        <v>519</v>
      </c>
      <c r="C4221" t="s">
        <v>117</v>
      </c>
      <c r="D4221" t="str">
        <f>HYPERLINK("http://service.sap.com/sap/support/notes/1469769","1469769")</f>
        <v>1469769</v>
      </c>
      <c r="F4221" t="s">
        <v>3296</v>
      </c>
    </row>
    <row r="4222" spans="1:6">
      <c r="A4222" t="s">
        <v>4018</v>
      </c>
      <c r="B4222" t="s">
        <v>1320</v>
      </c>
      <c r="C4222" t="s">
        <v>1321</v>
      </c>
      <c r="D4222" t="str">
        <f>HYPERLINK("http://service.sap.com/sap/support/notes/1479549","1479549")</f>
        <v>1479549</v>
      </c>
      <c r="F4222" t="s">
        <v>4242</v>
      </c>
    </row>
    <row r="4223" spans="1:6">
      <c r="A4223" t="s">
        <v>4018</v>
      </c>
      <c r="B4223" t="s">
        <v>1320</v>
      </c>
      <c r="C4223" t="s">
        <v>1321</v>
      </c>
      <c r="D4223" t="str">
        <f>HYPERLINK("http://service.sap.com/sap/support/notes/1479550","1479550")</f>
        <v>1479550</v>
      </c>
      <c r="F4223" t="s">
        <v>4243</v>
      </c>
    </row>
    <row r="4224" spans="1:6">
      <c r="A4224" t="s">
        <v>4018</v>
      </c>
      <c r="B4224" t="s">
        <v>525</v>
      </c>
      <c r="C4224" t="s">
        <v>208</v>
      </c>
      <c r="D4224" t="str">
        <f>HYPERLINK("http://service.sap.com/sap/support/notes/1434534","1434534")</f>
        <v>1434534</v>
      </c>
      <c r="F4224" t="s">
        <v>4244</v>
      </c>
    </row>
    <row r="4225" spans="1:6">
      <c r="A4225" t="s">
        <v>4018</v>
      </c>
      <c r="B4225" t="s">
        <v>525</v>
      </c>
      <c r="C4225" t="s">
        <v>208</v>
      </c>
      <c r="D4225" t="str">
        <f>HYPERLINK("http://service.sap.com/sap/support/notes/1464268","1464268")</f>
        <v>1464268</v>
      </c>
      <c r="F4225" t="s">
        <v>4245</v>
      </c>
    </row>
    <row r="4226" spans="1:6">
      <c r="A4226" t="s">
        <v>4018</v>
      </c>
      <c r="B4226" t="s">
        <v>525</v>
      </c>
      <c r="C4226" t="s">
        <v>208</v>
      </c>
      <c r="D4226" t="str">
        <f>HYPERLINK("http://service.sap.com/sap/support/notes/1472495","1472495")</f>
        <v>1472495</v>
      </c>
      <c r="F4226" t="s">
        <v>4246</v>
      </c>
    </row>
    <row r="4227" spans="1:6">
      <c r="A4227" t="s">
        <v>4018</v>
      </c>
      <c r="B4227" t="s">
        <v>529</v>
      </c>
      <c r="C4227" t="s">
        <v>530</v>
      </c>
      <c r="D4227" t="str">
        <f>HYPERLINK("http://service.sap.com/sap/support/notes/1431242","1431242")</f>
        <v>1431242</v>
      </c>
      <c r="F4227" t="s">
        <v>4247</v>
      </c>
    </row>
    <row r="4228" spans="1:6">
      <c r="A4228" t="s">
        <v>4018</v>
      </c>
      <c r="B4228" t="s">
        <v>529</v>
      </c>
      <c r="C4228" t="s">
        <v>530</v>
      </c>
      <c r="D4228" t="str">
        <f>HYPERLINK("http://service.sap.com/sap/support/notes/1445535","1445535")</f>
        <v>1445535</v>
      </c>
      <c r="F4228" t="s">
        <v>4248</v>
      </c>
    </row>
    <row r="4229" spans="1:6">
      <c r="A4229" t="s">
        <v>4018</v>
      </c>
      <c r="B4229" t="s">
        <v>529</v>
      </c>
      <c r="C4229" t="s">
        <v>530</v>
      </c>
      <c r="D4229" t="str">
        <f>HYPERLINK("http://service.sap.com/sap/support/notes/1474009","1474009")</f>
        <v>1474009</v>
      </c>
      <c r="F4229" t="s">
        <v>4249</v>
      </c>
    </row>
    <row r="4230" spans="1:6">
      <c r="A4230" t="s">
        <v>4018</v>
      </c>
      <c r="B4230" t="s">
        <v>529</v>
      </c>
      <c r="C4230" t="s">
        <v>530</v>
      </c>
      <c r="D4230" t="str">
        <f>HYPERLINK("http://service.sap.com/sap/support/notes/1480943","1480943")</f>
        <v>1480943</v>
      </c>
      <c r="F4230" t="s">
        <v>4250</v>
      </c>
    </row>
    <row r="4231" spans="1:6">
      <c r="A4231" t="s">
        <v>4018</v>
      </c>
      <c r="B4231" t="s">
        <v>533</v>
      </c>
      <c r="C4231" t="s">
        <v>534</v>
      </c>
      <c r="D4231" t="str">
        <f>HYPERLINK("http://service.sap.com/sap/support/notes/1437391","1437391")</f>
        <v>1437391</v>
      </c>
      <c r="F4231" t="s">
        <v>4251</v>
      </c>
    </row>
    <row r="4232" spans="1:6">
      <c r="A4232" t="s">
        <v>4018</v>
      </c>
      <c r="B4232" t="s">
        <v>533</v>
      </c>
      <c r="C4232" t="s">
        <v>534</v>
      </c>
      <c r="D4232" t="str">
        <f>HYPERLINK("http://service.sap.com/sap/support/notes/1459699","1459699")</f>
        <v>1459699</v>
      </c>
      <c r="F4232" t="s">
        <v>4252</v>
      </c>
    </row>
    <row r="4233" spans="1:6">
      <c r="A4233" t="s">
        <v>4018</v>
      </c>
      <c r="B4233" t="s">
        <v>533</v>
      </c>
      <c r="C4233" t="s">
        <v>534</v>
      </c>
      <c r="D4233" t="str">
        <f>HYPERLINK("http://service.sap.com/sap/support/notes/1475424","1475424")</f>
        <v>1475424</v>
      </c>
      <c r="F4233" t="s">
        <v>4253</v>
      </c>
    </row>
    <row r="4234" spans="1:6">
      <c r="A4234" t="s">
        <v>4018</v>
      </c>
      <c r="B4234" t="s">
        <v>541</v>
      </c>
      <c r="C4234" t="s">
        <v>542</v>
      </c>
    </row>
    <row r="4235" spans="1:6">
      <c r="A4235" t="s">
        <v>4018</v>
      </c>
      <c r="B4235" t="s">
        <v>544</v>
      </c>
      <c r="C4235" t="s">
        <v>545</v>
      </c>
      <c r="D4235" t="str">
        <f>HYPERLINK("http://service.sap.com/sap/support/notes/1424191","1424191")</f>
        <v>1424191</v>
      </c>
      <c r="F4235" t="s">
        <v>4254</v>
      </c>
    </row>
    <row r="4236" spans="1:6">
      <c r="A4236" t="s">
        <v>4018</v>
      </c>
      <c r="B4236" t="s">
        <v>544</v>
      </c>
      <c r="C4236" t="s">
        <v>545</v>
      </c>
      <c r="D4236" t="str">
        <f>HYPERLINK("http://service.sap.com/sap/support/notes/1478234","1478234")</f>
        <v>1478234</v>
      </c>
      <c r="F4236" t="s">
        <v>4255</v>
      </c>
    </row>
    <row r="4237" spans="1:6">
      <c r="A4237" t="s">
        <v>4018</v>
      </c>
      <c r="B4237" t="s">
        <v>1914</v>
      </c>
      <c r="C4237" t="s">
        <v>1915</v>
      </c>
      <c r="D4237" t="str">
        <f>HYPERLINK("http://service.sap.com/sap/support/notes/1175233","1175233")</f>
        <v>1175233</v>
      </c>
      <c r="F4237" t="s">
        <v>1916</v>
      </c>
    </row>
    <row r="4238" spans="1:6">
      <c r="A4238" t="s">
        <v>4018</v>
      </c>
      <c r="B4238" t="s">
        <v>1914</v>
      </c>
      <c r="C4238" t="s">
        <v>1915</v>
      </c>
      <c r="D4238" t="str">
        <f>HYPERLINK("http://service.sap.com/sap/support/notes/1457179","1457179")</f>
        <v>1457179</v>
      </c>
      <c r="F4238" t="s">
        <v>4256</v>
      </c>
    </row>
    <row r="4239" spans="1:6">
      <c r="A4239" t="s">
        <v>4018</v>
      </c>
      <c r="B4239" t="s">
        <v>1914</v>
      </c>
      <c r="C4239" t="s">
        <v>1915</v>
      </c>
      <c r="D4239" t="str">
        <f>HYPERLINK("http://service.sap.com/sap/support/notes/1462098","1462098")</f>
        <v>1462098</v>
      </c>
      <c r="F4239" t="s">
        <v>4257</v>
      </c>
    </row>
    <row r="4240" spans="1:6">
      <c r="A4240" t="s">
        <v>4018</v>
      </c>
      <c r="B4240" t="s">
        <v>1914</v>
      </c>
      <c r="C4240" t="s">
        <v>1915</v>
      </c>
      <c r="D4240" t="str">
        <f>HYPERLINK("http://service.sap.com/sap/support/notes/1462465","1462465")</f>
        <v>1462465</v>
      </c>
      <c r="F4240" t="s">
        <v>4258</v>
      </c>
    </row>
    <row r="4241" spans="1:6">
      <c r="A4241" t="s">
        <v>4018</v>
      </c>
      <c r="B4241" t="s">
        <v>1914</v>
      </c>
      <c r="C4241" t="s">
        <v>1915</v>
      </c>
      <c r="D4241" t="str">
        <f>HYPERLINK("http://service.sap.com/sap/support/notes/1466493","1466493")</f>
        <v>1466493</v>
      </c>
      <c r="F4241" t="s">
        <v>4259</v>
      </c>
    </row>
    <row r="4242" spans="1:6">
      <c r="A4242" t="s">
        <v>4018</v>
      </c>
      <c r="B4242" t="s">
        <v>1914</v>
      </c>
      <c r="C4242" t="s">
        <v>1915</v>
      </c>
      <c r="D4242" t="str">
        <f>HYPERLINK("http://service.sap.com/sap/support/notes/1467785","1467785")</f>
        <v>1467785</v>
      </c>
      <c r="F4242" t="s">
        <v>4260</v>
      </c>
    </row>
    <row r="4243" spans="1:6">
      <c r="A4243" t="s">
        <v>4018</v>
      </c>
      <c r="B4243" t="s">
        <v>1914</v>
      </c>
      <c r="C4243" t="s">
        <v>1915</v>
      </c>
      <c r="D4243" t="str">
        <f>HYPERLINK("http://service.sap.com/sap/support/notes/1470293","1470293")</f>
        <v>1470293</v>
      </c>
      <c r="F4243" t="s">
        <v>4261</v>
      </c>
    </row>
    <row r="4244" spans="1:6">
      <c r="A4244" t="s">
        <v>4018</v>
      </c>
      <c r="B4244" t="s">
        <v>1914</v>
      </c>
      <c r="C4244" t="s">
        <v>1915</v>
      </c>
      <c r="D4244" t="str">
        <f>HYPERLINK("http://service.sap.com/sap/support/notes/1470419","1470419")</f>
        <v>1470419</v>
      </c>
      <c r="F4244" t="s">
        <v>4262</v>
      </c>
    </row>
    <row r="4245" spans="1:6">
      <c r="A4245" t="s">
        <v>4018</v>
      </c>
      <c r="B4245" t="s">
        <v>1914</v>
      </c>
      <c r="C4245" t="s">
        <v>1915</v>
      </c>
      <c r="D4245" t="str">
        <f>HYPERLINK("http://service.sap.com/sap/support/notes/1472918","1472918")</f>
        <v>1472918</v>
      </c>
      <c r="F4245" t="s">
        <v>4263</v>
      </c>
    </row>
    <row r="4246" spans="1:6">
      <c r="A4246" t="s">
        <v>4018</v>
      </c>
      <c r="B4246" t="s">
        <v>1914</v>
      </c>
      <c r="C4246" t="s">
        <v>1915</v>
      </c>
      <c r="D4246" t="str">
        <f>HYPERLINK("http://service.sap.com/sap/support/notes/1474210","1474210")</f>
        <v>1474210</v>
      </c>
      <c r="F4246" t="s">
        <v>4264</v>
      </c>
    </row>
    <row r="4247" spans="1:6">
      <c r="A4247" t="s">
        <v>4265</v>
      </c>
      <c r="B4247" t="s">
        <v>7</v>
      </c>
      <c r="C4247" t="s">
        <v>8</v>
      </c>
    </row>
    <row r="4248" spans="1:6">
      <c r="A4248" t="s">
        <v>4265</v>
      </c>
      <c r="B4248" t="s">
        <v>9</v>
      </c>
      <c r="C4248" t="s">
        <v>10</v>
      </c>
      <c r="D4248" t="str">
        <f>HYPERLINK("http://service.sap.com/sap/support/notes/1379729","1379729")</f>
        <v>1379729</v>
      </c>
      <c r="F4248" t="s">
        <v>4266</v>
      </c>
    </row>
    <row r="4249" spans="1:6">
      <c r="A4249" t="s">
        <v>4265</v>
      </c>
      <c r="B4249" t="s">
        <v>9</v>
      </c>
      <c r="C4249" t="s">
        <v>10</v>
      </c>
      <c r="D4249" t="str">
        <f>HYPERLINK("http://service.sap.com/sap/support/notes/1483558","1483558")</f>
        <v>1483558</v>
      </c>
      <c r="F4249" t="s">
        <v>4267</v>
      </c>
    </row>
    <row r="4250" spans="1:6">
      <c r="A4250" t="s">
        <v>4265</v>
      </c>
      <c r="B4250" t="s">
        <v>9</v>
      </c>
      <c r="C4250" t="s">
        <v>10</v>
      </c>
      <c r="D4250" t="str">
        <f>HYPERLINK("http://service.sap.com/sap/support/notes/1492063","1492063")</f>
        <v>1492063</v>
      </c>
      <c r="F4250" t="s">
        <v>4268</v>
      </c>
    </row>
    <row r="4251" spans="1:6">
      <c r="A4251" t="s">
        <v>4265</v>
      </c>
      <c r="B4251" t="s">
        <v>12</v>
      </c>
      <c r="C4251" t="s">
        <v>13</v>
      </c>
    </row>
    <row r="4252" spans="1:6">
      <c r="A4252" t="s">
        <v>4265</v>
      </c>
      <c r="B4252" t="s">
        <v>14</v>
      </c>
      <c r="C4252" t="s">
        <v>15</v>
      </c>
    </row>
    <row r="4253" spans="1:6">
      <c r="A4253" t="s">
        <v>4265</v>
      </c>
      <c r="B4253" t="s">
        <v>16</v>
      </c>
      <c r="C4253" t="s">
        <v>17</v>
      </c>
      <c r="D4253" t="str">
        <f>HYPERLINK("http://service.sap.com/sap/support/notes/1342620","1342620")</f>
        <v>1342620</v>
      </c>
      <c r="F4253" t="s">
        <v>4269</v>
      </c>
    </row>
    <row r="4254" spans="1:6">
      <c r="A4254" t="s">
        <v>4265</v>
      </c>
      <c r="B4254" t="s">
        <v>563</v>
      </c>
      <c r="C4254" t="s">
        <v>564</v>
      </c>
      <c r="D4254" t="str">
        <f>HYPERLINK("http://service.sap.com/sap/support/notes/1478373","1478373")</f>
        <v>1478373</v>
      </c>
      <c r="F4254" t="s">
        <v>4270</v>
      </c>
    </row>
    <row r="4255" spans="1:6">
      <c r="A4255" t="s">
        <v>4265</v>
      </c>
      <c r="B4255" t="s">
        <v>563</v>
      </c>
      <c r="C4255" t="s">
        <v>564</v>
      </c>
      <c r="D4255" t="str">
        <f>HYPERLINK("http://service.sap.com/sap/support/notes/1482258","1482258")</f>
        <v>1482258</v>
      </c>
      <c r="F4255" t="s">
        <v>4271</v>
      </c>
    </row>
    <row r="4256" spans="1:6">
      <c r="A4256" t="s">
        <v>4265</v>
      </c>
      <c r="B4256" t="s">
        <v>563</v>
      </c>
      <c r="C4256" t="s">
        <v>564</v>
      </c>
      <c r="D4256" t="str">
        <f>HYPERLINK("http://service.sap.com/sap/support/notes/1482262","1482262")</f>
        <v>1482262</v>
      </c>
      <c r="F4256" t="s">
        <v>4272</v>
      </c>
    </row>
    <row r="4257" spans="1:6">
      <c r="A4257" t="s">
        <v>4265</v>
      </c>
      <c r="B4257" t="s">
        <v>29</v>
      </c>
      <c r="C4257" t="s">
        <v>30</v>
      </c>
    </row>
    <row r="4258" spans="1:6">
      <c r="A4258" t="s">
        <v>4265</v>
      </c>
      <c r="B4258" t="s">
        <v>31</v>
      </c>
      <c r="C4258" t="s">
        <v>32</v>
      </c>
      <c r="D4258" t="str">
        <f>HYPERLINK("http://service.sap.com/sap/support/notes/1483620","1483620")</f>
        <v>1483620</v>
      </c>
      <c r="F4258" t="s">
        <v>4273</v>
      </c>
    </row>
    <row r="4259" spans="1:6">
      <c r="A4259" t="s">
        <v>4265</v>
      </c>
      <c r="B4259" t="s">
        <v>33</v>
      </c>
      <c r="C4259" t="s">
        <v>34</v>
      </c>
      <c r="D4259" t="str">
        <f>HYPERLINK("http://service.sap.com/sap/support/notes/1284280","1284280")</f>
        <v>1284280</v>
      </c>
      <c r="F4259" t="s">
        <v>35</v>
      </c>
    </row>
    <row r="4260" spans="1:6">
      <c r="A4260" t="s">
        <v>4265</v>
      </c>
      <c r="B4260" t="s">
        <v>4274</v>
      </c>
      <c r="C4260" t="s">
        <v>4275</v>
      </c>
      <c r="D4260" t="str">
        <f>HYPERLINK("http://service.sap.com/sap/support/notes/998956","998956")</f>
        <v>998956</v>
      </c>
      <c r="F4260" t="s">
        <v>4276</v>
      </c>
    </row>
    <row r="4261" spans="1:6">
      <c r="A4261" t="s">
        <v>4265</v>
      </c>
      <c r="B4261" t="s">
        <v>37</v>
      </c>
      <c r="C4261" t="s">
        <v>17</v>
      </c>
    </row>
    <row r="4262" spans="1:6">
      <c r="A4262" t="s">
        <v>4265</v>
      </c>
      <c r="B4262" t="s">
        <v>618</v>
      </c>
      <c r="C4262" t="s">
        <v>1925</v>
      </c>
      <c r="D4262" t="str">
        <f>HYPERLINK("http://service.sap.com/sap/support/notes/1353890","1353890")</f>
        <v>1353890</v>
      </c>
      <c r="F4262" t="s">
        <v>4277</v>
      </c>
    </row>
    <row r="4263" spans="1:6">
      <c r="A4263" t="s">
        <v>4265</v>
      </c>
      <c r="B4263" t="s">
        <v>44</v>
      </c>
      <c r="C4263" t="s">
        <v>45</v>
      </c>
    </row>
    <row r="4264" spans="1:6">
      <c r="A4264" t="s">
        <v>4265</v>
      </c>
      <c r="B4264" t="s">
        <v>49</v>
      </c>
      <c r="C4264" t="s">
        <v>50</v>
      </c>
      <c r="D4264" t="str">
        <f>HYPERLINK("http://service.sap.com/sap/support/notes/1390645","1390645")</f>
        <v>1390645</v>
      </c>
      <c r="F4264" t="s">
        <v>4278</v>
      </c>
    </row>
    <row r="4265" spans="1:6">
      <c r="A4265" t="s">
        <v>4265</v>
      </c>
      <c r="B4265" t="s">
        <v>49</v>
      </c>
      <c r="C4265" t="s">
        <v>50</v>
      </c>
      <c r="D4265" t="str">
        <f>HYPERLINK("http://service.sap.com/sap/support/notes/1474365","1474365")</f>
        <v>1474365</v>
      </c>
      <c r="F4265" t="s">
        <v>4279</v>
      </c>
    </row>
    <row r="4266" spans="1:6">
      <c r="A4266" t="s">
        <v>4265</v>
      </c>
      <c r="B4266" t="s">
        <v>49</v>
      </c>
      <c r="C4266" t="s">
        <v>50</v>
      </c>
      <c r="D4266" t="str">
        <f>HYPERLINK("http://service.sap.com/sap/support/notes/1477261","1477261")</f>
        <v>1477261</v>
      </c>
      <c r="F4266" t="s">
        <v>4280</v>
      </c>
    </row>
    <row r="4267" spans="1:6">
      <c r="A4267" t="s">
        <v>4265</v>
      </c>
      <c r="B4267" t="s">
        <v>49</v>
      </c>
      <c r="C4267" t="s">
        <v>50</v>
      </c>
      <c r="D4267" t="str">
        <f>HYPERLINK("http://service.sap.com/sap/support/notes/1481193","1481193")</f>
        <v>1481193</v>
      </c>
      <c r="F4267" t="s">
        <v>4281</v>
      </c>
    </row>
    <row r="4268" spans="1:6">
      <c r="A4268" t="s">
        <v>4265</v>
      </c>
      <c r="B4268" t="s">
        <v>49</v>
      </c>
      <c r="C4268" t="s">
        <v>50</v>
      </c>
      <c r="D4268" t="str">
        <f>HYPERLINK("http://service.sap.com/sap/support/notes/1491432","1491432")</f>
        <v>1491432</v>
      </c>
      <c r="F4268" t="s">
        <v>4282</v>
      </c>
    </row>
    <row r="4269" spans="1:6">
      <c r="A4269" t="s">
        <v>4265</v>
      </c>
      <c r="B4269" t="s">
        <v>59</v>
      </c>
      <c r="C4269" t="s">
        <v>60</v>
      </c>
      <c r="D4269" t="str">
        <f>HYPERLINK("http://service.sap.com/sap/support/notes/1489311","1489311")</f>
        <v>1489311</v>
      </c>
      <c r="F4269" t="s">
        <v>4283</v>
      </c>
    </row>
    <row r="4270" spans="1:6">
      <c r="A4270" t="s">
        <v>4265</v>
      </c>
      <c r="B4270" t="s">
        <v>62</v>
      </c>
      <c r="C4270" t="s">
        <v>63</v>
      </c>
      <c r="D4270" t="str">
        <f>HYPERLINK("http://service.sap.com/sap/support/notes/1456476","1456476")</f>
        <v>1456476</v>
      </c>
      <c r="F4270" t="s">
        <v>4023</v>
      </c>
    </row>
    <row r="4271" spans="1:6">
      <c r="A4271" t="s">
        <v>4265</v>
      </c>
      <c r="B4271" t="s">
        <v>649</v>
      </c>
      <c r="C4271" t="s">
        <v>212</v>
      </c>
      <c r="D4271" t="str">
        <f>HYPERLINK("http://service.sap.com/sap/support/notes/1479420","1479420")</f>
        <v>1479420</v>
      </c>
      <c r="F4271" t="s">
        <v>4284</v>
      </c>
    </row>
    <row r="4272" spans="1:6">
      <c r="A4272" t="s">
        <v>4265</v>
      </c>
      <c r="B4272" t="s">
        <v>65</v>
      </c>
      <c r="C4272" t="s">
        <v>66</v>
      </c>
      <c r="D4272" t="str">
        <f>HYPERLINK("http://service.sap.com/sap/support/notes/1465169","1465169")</f>
        <v>1465169</v>
      </c>
      <c r="F4272" t="s">
        <v>4285</v>
      </c>
    </row>
    <row r="4273" spans="1:6">
      <c r="A4273" t="s">
        <v>4265</v>
      </c>
      <c r="B4273" t="s">
        <v>68</v>
      </c>
      <c r="C4273" t="s">
        <v>69</v>
      </c>
      <c r="D4273" t="str">
        <f>HYPERLINK("http://service.sap.com/sap/support/notes/1322754","1322754")</f>
        <v>1322754</v>
      </c>
      <c r="F4273" t="s">
        <v>4286</v>
      </c>
    </row>
    <row r="4274" spans="1:6">
      <c r="A4274" t="s">
        <v>4265</v>
      </c>
      <c r="B4274" t="s">
        <v>68</v>
      </c>
      <c r="C4274" t="s">
        <v>69</v>
      </c>
      <c r="D4274" t="str">
        <f>HYPERLINK("http://service.sap.com/sap/support/notes/1487929","1487929")</f>
        <v>1487929</v>
      </c>
      <c r="F4274" t="s">
        <v>4287</v>
      </c>
    </row>
    <row r="4275" spans="1:6">
      <c r="A4275" t="s">
        <v>4265</v>
      </c>
      <c r="B4275" t="s">
        <v>68</v>
      </c>
      <c r="C4275" t="s">
        <v>69</v>
      </c>
      <c r="D4275" t="str">
        <f>HYPERLINK("http://service.sap.com/sap/support/notes/1490377","1490377")</f>
        <v>1490377</v>
      </c>
      <c r="F4275" t="s">
        <v>4288</v>
      </c>
    </row>
    <row r="4276" spans="1:6">
      <c r="A4276" t="s">
        <v>4265</v>
      </c>
      <c r="B4276" t="s">
        <v>75</v>
      </c>
      <c r="C4276" t="s">
        <v>76</v>
      </c>
      <c r="D4276" t="str">
        <f>HYPERLINK("http://service.sap.com/sap/support/notes/700094","700094")</f>
        <v>700094</v>
      </c>
      <c r="F4276" t="s">
        <v>77</v>
      </c>
    </row>
    <row r="4277" spans="1:6">
      <c r="A4277" t="s">
        <v>4265</v>
      </c>
      <c r="B4277" t="s">
        <v>79</v>
      </c>
      <c r="C4277" t="s">
        <v>80</v>
      </c>
      <c r="D4277" t="str">
        <f>HYPERLINK("http://service.sap.com/sap/support/notes/1396592","1396592")</f>
        <v>1396592</v>
      </c>
      <c r="F4277" t="s">
        <v>4289</v>
      </c>
    </row>
    <row r="4278" spans="1:6">
      <c r="A4278" t="s">
        <v>4265</v>
      </c>
      <c r="B4278" t="s">
        <v>79</v>
      </c>
      <c r="C4278" t="s">
        <v>80</v>
      </c>
      <c r="D4278" t="str">
        <f>HYPERLINK("http://service.sap.com/sap/support/notes/1472701","1472701")</f>
        <v>1472701</v>
      </c>
      <c r="F4278" t="s">
        <v>4026</v>
      </c>
    </row>
    <row r="4279" spans="1:6">
      <c r="A4279" t="s">
        <v>4265</v>
      </c>
      <c r="B4279" t="s">
        <v>79</v>
      </c>
      <c r="C4279" t="s">
        <v>80</v>
      </c>
      <c r="D4279" t="str">
        <f>HYPERLINK("http://service.sap.com/sap/support/notes/1481330","1481330")</f>
        <v>1481330</v>
      </c>
      <c r="F4279" t="s">
        <v>4290</v>
      </c>
    </row>
    <row r="4280" spans="1:6">
      <c r="A4280" t="s">
        <v>4265</v>
      </c>
      <c r="B4280" t="s">
        <v>79</v>
      </c>
      <c r="C4280" t="s">
        <v>80</v>
      </c>
      <c r="D4280" t="str">
        <f>HYPERLINK("http://service.sap.com/sap/support/notes/1485017","1485017")</f>
        <v>1485017</v>
      </c>
      <c r="F4280" t="s">
        <v>4291</v>
      </c>
    </row>
    <row r="4281" spans="1:6">
      <c r="A4281" t="s">
        <v>4265</v>
      </c>
      <c r="B4281" t="s">
        <v>79</v>
      </c>
      <c r="C4281" t="s">
        <v>80</v>
      </c>
      <c r="D4281" t="str">
        <f>HYPERLINK("http://service.sap.com/sap/support/notes/1485462","1485462")</f>
        <v>1485462</v>
      </c>
      <c r="F4281" t="s">
        <v>4292</v>
      </c>
    </row>
    <row r="4282" spans="1:6">
      <c r="A4282" t="s">
        <v>4265</v>
      </c>
      <c r="B4282" t="s">
        <v>79</v>
      </c>
      <c r="C4282" t="s">
        <v>80</v>
      </c>
      <c r="D4282" t="str">
        <f>HYPERLINK("http://service.sap.com/sap/support/notes/1488160","1488160")</f>
        <v>1488160</v>
      </c>
      <c r="F4282" t="s">
        <v>4293</v>
      </c>
    </row>
    <row r="4283" spans="1:6">
      <c r="A4283" t="s">
        <v>4265</v>
      </c>
      <c r="B4283" t="s">
        <v>662</v>
      </c>
      <c r="C4283" t="s">
        <v>411</v>
      </c>
      <c r="D4283" t="str">
        <f>HYPERLINK("http://service.sap.com/sap/support/notes/1246386","1246386")</f>
        <v>1246386</v>
      </c>
      <c r="F4283" t="s">
        <v>2282</v>
      </c>
    </row>
    <row r="4284" spans="1:6">
      <c r="A4284" t="s">
        <v>4265</v>
      </c>
      <c r="B4284" t="s">
        <v>662</v>
      </c>
      <c r="C4284" t="s">
        <v>411</v>
      </c>
      <c r="D4284" t="str">
        <f>HYPERLINK("http://service.sap.com/sap/support/notes/1488080","1488080")</f>
        <v>1488080</v>
      </c>
      <c r="F4284" t="s">
        <v>4294</v>
      </c>
    </row>
    <row r="4285" spans="1:6">
      <c r="A4285" t="s">
        <v>4265</v>
      </c>
      <c r="B4285" t="s">
        <v>665</v>
      </c>
      <c r="C4285" t="s">
        <v>425</v>
      </c>
      <c r="D4285" t="str">
        <f>HYPERLINK("http://service.sap.com/sap/support/notes/448307","448307")</f>
        <v>448307</v>
      </c>
      <c r="F4285" t="s">
        <v>666</v>
      </c>
    </row>
    <row r="4286" spans="1:6">
      <c r="A4286" t="s">
        <v>4265</v>
      </c>
      <c r="B4286" t="s">
        <v>667</v>
      </c>
      <c r="C4286" t="s">
        <v>442</v>
      </c>
      <c r="D4286" t="str">
        <f>HYPERLINK("http://service.sap.com/sap/support/notes/1480603","1480603")</f>
        <v>1480603</v>
      </c>
      <c r="F4286" t="s">
        <v>4295</v>
      </c>
    </row>
    <row r="4287" spans="1:6">
      <c r="A4287" t="s">
        <v>4265</v>
      </c>
      <c r="B4287" t="s">
        <v>667</v>
      </c>
      <c r="C4287" t="s">
        <v>442</v>
      </c>
      <c r="D4287" t="str">
        <f>HYPERLINK("http://service.sap.com/sap/support/notes/1482949","1482949")</f>
        <v>1482949</v>
      </c>
      <c r="F4287" t="s">
        <v>4296</v>
      </c>
    </row>
    <row r="4288" spans="1:6">
      <c r="A4288" t="s">
        <v>4265</v>
      </c>
      <c r="B4288" t="s">
        <v>667</v>
      </c>
      <c r="C4288" t="s">
        <v>442</v>
      </c>
      <c r="D4288" t="str">
        <f>HYPERLINK("http://service.sap.com/sap/support/notes/1483484","1483484")</f>
        <v>1483484</v>
      </c>
      <c r="F4288" t="s">
        <v>3413</v>
      </c>
    </row>
    <row r="4289" spans="1:6">
      <c r="A4289" t="s">
        <v>4265</v>
      </c>
      <c r="B4289" t="s">
        <v>667</v>
      </c>
      <c r="C4289" t="s">
        <v>442</v>
      </c>
      <c r="D4289" t="str">
        <f>HYPERLINK("http://service.sap.com/sap/support/notes/1483887","1483887")</f>
        <v>1483887</v>
      </c>
      <c r="F4289" t="s">
        <v>4297</v>
      </c>
    </row>
    <row r="4290" spans="1:6">
      <c r="A4290" t="s">
        <v>4265</v>
      </c>
      <c r="B4290" t="s">
        <v>667</v>
      </c>
      <c r="C4290" t="s">
        <v>442</v>
      </c>
      <c r="D4290" t="str">
        <f>HYPERLINK("http://service.sap.com/sap/support/notes/1485228","1485228")</f>
        <v>1485228</v>
      </c>
      <c r="F4290" t="s">
        <v>4298</v>
      </c>
    </row>
    <row r="4291" spans="1:6">
      <c r="A4291" t="s">
        <v>4265</v>
      </c>
      <c r="B4291" t="s">
        <v>667</v>
      </c>
      <c r="C4291" t="s">
        <v>442</v>
      </c>
      <c r="D4291" t="str">
        <f>HYPERLINK("http://service.sap.com/sap/support/notes/1487523","1487523")</f>
        <v>1487523</v>
      </c>
      <c r="F4291" t="s">
        <v>4299</v>
      </c>
    </row>
    <row r="4292" spans="1:6">
      <c r="A4292" t="s">
        <v>4265</v>
      </c>
      <c r="B4292" t="s">
        <v>86</v>
      </c>
      <c r="C4292" t="s">
        <v>87</v>
      </c>
      <c r="D4292" t="str">
        <f>HYPERLINK("http://service.sap.com/sap/support/notes/1481483","1481483")</f>
        <v>1481483</v>
      </c>
      <c r="F4292" t="s">
        <v>4300</v>
      </c>
    </row>
    <row r="4293" spans="1:6">
      <c r="A4293" t="s">
        <v>4265</v>
      </c>
      <c r="B4293" t="s">
        <v>86</v>
      </c>
      <c r="C4293" t="s">
        <v>87</v>
      </c>
      <c r="D4293" t="str">
        <f>HYPERLINK("http://service.sap.com/sap/support/notes/1481636","1481636")</f>
        <v>1481636</v>
      </c>
      <c r="F4293" t="s">
        <v>4301</v>
      </c>
    </row>
    <row r="4294" spans="1:6">
      <c r="A4294" t="s">
        <v>4265</v>
      </c>
      <c r="B4294" t="s">
        <v>89</v>
      </c>
      <c r="C4294" t="s">
        <v>90</v>
      </c>
      <c r="D4294" t="str">
        <f>HYPERLINK("http://service.sap.com/sap/support/notes/1487069","1487069")</f>
        <v>1487069</v>
      </c>
      <c r="F4294" t="s">
        <v>4302</v>
      </c>
    </row>
    <row r="4295" spans="1:6">
      <c r="A4295" t="s">
        <v>4265</v>
      </c>
      <c r="B4295" t="s">
        <v>92</v>
      </c>
      <c r="C4295" t="s">
        <v>93</v>
      </c>
      <c r="D4295" t="str">
        <f>HYPERLINK("http://service.sap.com/sap/support/notes/1404840","1404840")</f>
        <v>1404840</v>
      </c>
      <c r="F4295" t="s">
        <v>4303</v>
      </c>
    </row>
    <row r="4296" spans="1:6">
      <c r="A4296" t="s">
        <v>4265</v>
      </c>
      <c r="B4296" t="s">
        <v>92</v>
      </c>
      <c r="C4296" t="s">
        <v>93</v>
      </c>
      <c r="D4296" t="str">
        <f>HYPERLINK("http://service.sap.com/sap/support/notes/1478662","1478662")</f>
        <v>1478662</v>
      </c>
      <c r="F4296" t="s">
        <v>4304</v>
      </c>
    </row>
    <row r="4297" spans="1:6">
      <c r="A4297" t="s">
        <v>4265</v>
      </c>
      <c r="B4297" t="s">
        <v>92</v>
      </c>
      <c r="C4297" t="s">
        <v>93</v>
      </c>
      <c r="D4297" t="str">
        <f>HYPERLINK("http://service.sap.com/sap/support/notes/1483993","1483993")</f>
        <v>1483993</v>
      </c>
      <c r="F4297" t="s">
        <v>4305</v>
      </c>
    </row>
    <row r="4298" spans="1:6">
      <c r="A4298" t="s">
        <v>4265</v>
      </c>
      <c r="B4298" t="s">
        <v>92</v>
      </c>
      <c r="C4298" t="s">
        <v>93</v>
      </c>
      <c r="D4298" t="str">
        <f>HYPERLINK("http://service.sap.com/sap/support/notes/1484977","1484977")</f>
        <v>1484977</v>
      </c>
      <c r="F4298" t="s">
        <v>4306</v>
      </c>
    </row>
    <row r="4299" spans="1:6">
      <c r="A4299" t="s">
        <v>4265</v>
      </c>
      <c r="B4299" t="s">
        <v>92</v>
      </c>
      <c r="C4299" t="s">
        <v>93</v>
      </c>
      <c r="D4299" t="str">
        <f>HYPERLINK("http://service.sap.com/sap/support/notes/1486550","1486550")</f>
        <v>1486550</v>
      </c>
      <c r="F4299" t="s">
        <v>4307</v>
      </c>
    </row>
    <row r="4300" spans="1:6">
      <c r="A4300" t="s">
        <v>4265</v>
      </c>
      <c r="B4300" t="s">
        <v>92</v>
      </c>
      <c r="C4300" t="s">
        <v>93</v>
      </c>
      <c r="D4300" t="str">
        <f>HYPERLINK("http://service.sap.com/sap/support/notes/1486575","1486575")</f>
        <v>1486575</v>
      </c>
      <c r="F4300" t="s">
        <v>4308</v>
      </c>
    </row>
    <row r="4301" spans="1:6">
      <c r="A4301" t="s">
        <v>4265</v>
      </c>
      <c r="B4301" t="s">
        <v>99</v>
      </c>
      <c r="C4301" t="s">
        <v>100</v>
      </c>
      <c r="D4301" t="str">
        <f>HYPERLINK("http://service.sap.com/sap/support/notes/1470206","1470206")</f>
        <v>1470206</v>
      </c>
      <c r="F4301" t="s">
        <v>4309</v>
      </c>
    </row>
    <row r="4302" spans="1:6">
      <c r="A4302" t="s">
        <v>4265</v>
      </c>
      <c r="B4302" t="s">
        <v>99</v>
      </c>
      <c r="C4302" t="s">
        <v>100</v>
      </c>
      <c r="D4302" t="str">
        <f>HYPERLINK("http://service.sap.com/sap/support/notes/1479076","1479076")</f>
        <v>1479076</v>
      </c>
      <c r="F4302" t="s">
        <v>4033</v>
      </c>
    </row>
    <row r="4303" spans="1:6">
      <c r="A4303" t="s">
        <v>4265</v>
      </c>
      <c r="B4303" t="s">
        <v>99</v>
      </c>
      <c r="C4303" t="s">
        <v>100</v>
      </c>
      <c r="D4303" t="str">
        <f>HYPERLINK("http://service.sap.com/sap/support/notes/1479742","1479742")</f>
        <v>1479742</v>
      </c>
      <c r="F4303" t="s">
        <v>4310</v>
      </c>
    </row>
    <row r="4304" spans="1:6">
      <c r="A4304" t="s">
        <v>4265</v>
      </c>
      <c r="B4304" t="s">
        <v>99</v>
      </c>
      <c r="C4304" t="s">
        <v>100</v>
      </c>
      <c r="D4304" t="str">
        <f>HYPERLINK("http://service.sap.com/sap/support/notes/1481689","1481689")</f>
        <v>1481689</v>
      </c>
      <c r="F4304" t="s">
        <v>4311</v>
      </c>
    </row>
    <row r="4305" spans="1:6">
      <c r="A4305" t="s">
        <v>4265</v>
      </c>
      <c r="B4305" t="s">
        <v>99</v>
      </c>
      <c r="C4305" t="s">
        <v>100</v>
      </c>
      <c r="D4305" t="str">
        <f>HYPERLINK("http://service.sap.com/sap/support/notes/1487888","1487888")</f>
        <v>1487888</v>
      </c>
      <c r="F4305" t="s">
        <v>4312</v>
      </c>
    </row>
    <row r="4306" spans="1:6">
      <c r="A4306" t="s">
        <v>4265</v>
      </c>
      <c r="B4306" t="s">
        <v>99</v>
      </c>
      <c r="C4306" t="s">
        <v>100</v>
      </c>
      <c r="D4306" t="str">
        <f>HYPERLINK("http://service.sap.com/sap/support/notes/1488289","1488289")</f>
        <v>1488289</v>
      </c>
      <c r="F4306" t="s">
        <v>4313</v>
      </c>
    </row>
    <row r="4307" spans="1:6">
      <c r="A4307" t="s">
        <v>4265</v>
      </c>
      <c r="B4307" t="s">
        <v>99</v>
      </c>
      <c r="C4307" t="s">
        <v>100</v>
      </c>
      <c r="D4307" t="str">
        <f>HYPERLINK("http://service.sap.com/sap/support/notes/1489688","1489688")</f>
        <v>1489688</v>
      </c>
      <c r="F4307" t="s">
        <v>4314</v>
      </c>
    </row>
    <row r="4308" spans="1:6">
      <c r="A4308" t="s">
        <v>4265</v>
      </c>
      <c r="B4308" t="s">
        <v>99</v>
      </c>
      <c r="C4308" t="s">
        <v>100</v>
      </c>
      <c r="D4308" t="str">
        <f>HYPERLINK("http://service.sap.com/sap/support/notes/1489837","1489837")</f>
        <v>1489837</v>
      </c>
      <c r="F4308" t="s">
        <v>4315</v>
      </c>
    </row>
    <row r="4309" spans="1:6">
      <c r="A4309" t="s">
        <v>4265</v>
      </c>
      <c r="B4309" t="s">
        <v>99</v>
      </c>
      <c r="C4309" t="s">
        <v>100</v>
      </c>
      <c r="D4309" t="str">
        <f>HYPERLINK("http://service.sap.com/sap/support/notes/1490053","1490053")</f>
        <v>1490053</v>
      </c>
      <c r="F4309" t="s">
        <v>4316</v>
      </c>
    </row>
    <row r="4310" spans="1:6">
      <c r="A4310" t="s">
        <v>4265</v>
      </c>
      <c r="B4310" t="s">
        <v>99</v>
      </c>
      <c r="C4310" t="s">
        <v>100</v>
      </c>
      <c r="D4310" t="str">
        <f>HYPERLINK("http://service.sap.com/sap/support/notes/1491487","1491487")</f>
        <v>1491487</v>
      </c>
      <c r="F4310" t="s">
        <v>4317</v>
      </c>
    </row>
    <row r="4311" spans="1:6">
      <c r="A4311" t="s">
        <v>4265</v>
      </c>
      <c r="B4311" t="s">
        <v>99</v>
      </c>
      <c r="C4311" t="s">
        <v>100</v>
      </c>
      <c r="D4311" t="str">
        <f>HYPERLINK("http://service.sap.com/sap/support/notes/1491627","1491627")</f>
        <v>1491627</v>
      </c>
      <c r="F4311" t="s">
        <v>4318</v>
      </c>
    </row>
    <row r="4312" spans="1:6">
      <c r="A4312" t="s">
        <v>4265</v>
      </c>
      <c r="B4312" t="s">
        <v>99</v>
      </c>
      <c r="C4312" t="s">
        <v>100</v>
      </c>
      <c r="D4312" t="str">
        <f>HYPERLINK("http://service.sap.com/sap/support/notes/1491860","1491860")</f>
        <v>1491860</v>
      </c>
      <c r="F4312" t="s">
        <v>4319</v>
      </c>
    </row>
    <row r="4313" spans="1:6">
      <c r="A4313" t="s">
        <v>4265</v>
      </c>
      <c r="B4313" t="s">
        <v>99</v>
      </c>
      <c r="C4313" t="s">
        <v>100</v>
      </c>
      <c r="D4313" t="str">
        <f>HYPERLINK("http://service.sap.com/sap/support/notes/1492343","1492343")</f>
        <v>1492343</v>
      </c>
      <c r="F4313" t="s">
        <v>4320</v>
      </c>
    </row>
    <row r="4314" spans="1:6">
      <c r="A4314" t="s">
        <v>4265</v>
      </c>
      <c r="B4314" t="s">
        <v>116</v>
      </c>
      <c r="C4314" t="s">
        <v>117</v>
      </c>
      <c r="D4314" t="str">
        <f>HYPERLINK("http://service.sap.com/sap/support/notes/1485190","1485190")</f>
        <v>1485190</v>
      </c>
      <c r="F4314" t="s">
        <v>4321</v>
      </c>
    </row>
    <row r="4315" spans="1:6">
      <c r="A4315" t="s">
        <v>4265</v>
      </c>
      <c r="B4315" t="s">
        <v>1967</v>
      </c>
      <c r="C4315" t="s">
        <v>1968</v>
      </c>
      <c r="D4315" t="str">
        <f>HYPERLINK("http://service.sap.com/sap/support/notes/1472225","1472225")</f>
        <v>1472225</v>
      </c>
      <c r="F4315" t="s">
        <v>4322</v>
      </c>
    </row>
    <row r="4316" spans="1:6">
      <c r="A4316" t="s">
        <v>4265</v>
      </c>
      <c r="B4316" t="s">
        <v>128</v>
      </c>
      <c r="C4316" t="s">
        <v>129</v>
      </c>
    </row>
    <row r="4317" spans="1:6">
      <c r="A4317" t="s">
        <v>4265</v>
      </c>
      <c r="B4317" t="s">
        <v>130</v>
      </c>
      <c r="C4317" t="s">
        <v>131</v>
      </c>
      <c r="D4317" t="str">
        <f>HYPERLINK("http://service.sap.com/sap/support/notes/1481323","1481323")</f>
        <v>1481323</v>
      </c>
      <c r="F4317" t="s">
        <v>4323</v>
      </c>
    </row>
    <row r="4318" spans="1:6">
      <c r="A4318" t="s">
        <v>4265</v>
      </c>
      <c r="B4318" t="s">
        <v>130</v>
      </c>
      <c r="C4318" t="s">
        <v>131</v>
      </c>
      <c r="D4318" t="str">
        <f>HYPERLINK("http://service.sap.com/sap/support/notes/1483191","1483191")</f>
        <v>1483191</v>
      </c>
      <c r="F4318" t="s">
        <v>4324</v>
      </c>
    </row>
    <row r="4319" spans="1:6">
      <c r="A4319" t="s">
        <v>4265</v>
      </c>
      <c r="B4319" t="s">
        <v>130</v>
      </c>
      <c r="C4319" t="s">
        <v>131</v>
      </c>
      <c r="D4319" t="str">
        <f>HYPERLINK("http://service.sap.com/sap/support/notes/1487295","1487295")</f>
        <v>1487295</v>
      </c>
      <c r="F4319" t="s">
        <v>4325</v>
      </c>
    </row>
    <row r="4320" spans="1:6">
      <c r="A4320" t="s">
        <v>4265</v>
      </c>
      <c r="B4320" t="s">
        <v>130</v>
      </c>
      <c r="C4320" t="s">
        <v>131</v>
      </c>
      <c r="D4320" t="str">
        <f>HYPERLINK("http://service.sap.com/sap/support/notes/1489067","1489067")</f>
        <v>1489067</v>
      </c>
      <c r="F4320" t="s">
        <v>4326</v>
      </c>
    </row>
    <row r="4321" spans="1:6">
      <c r="A4321" t="s">
        <v>4265</v>
      </c>
      <c r="B4321" t="s">
        <v>134</v>
      </c>
      <c r="C4321" t="s">
        <v>135</v>
      </c>
      <c r="D4321" t="str">
        <f>HYPERLINK("http://service.sap.com/sap/support/notes/1481203","1481203")</f>
        <v>1481203</v>
      </c>
      <c r="F4321" t="s">
        <v>4327</v>
      </c>
    </row>
    <row r="4322" spans="1:6">
      <c r="A4322" t="s">
        <v>4265</v>
      </c>
      <c r="B4322" t="s">
        <v>137</v>
      </c>
      <c r="C4322" t="s">
        <v>138</v>
      </c>
    </row>
    <row r="4323" spans="1:6">
      <c r="A4323" t="s">
        <v>4265</v>
      </c>
      <c r="B4323" t="s">
        <v>1541</v>
      </c>
      <c r="C4323" t="s">
        <v>1542</v>
      </c>
      <c r="D4323" t="str">
        <f>HYPERLINK("http://service.sap.com/sap/support/notes/1468959","1468959")</f>
        <v>1468959</v>
      </c>
      <c r="F4323" t="s">
        <v>4328</v>
      </c>
    </row>
    <row r="4324" spans="1:6">
      <c r="A4324" t="s">
        <v>4265</v>
      </c>
      <c r="B4324" t="s">
        <v>139</v>
      </c>
      <c r="C4324" t="s">
        <v>140</v>
      </c>
    </row>
    <row r="4325" spans="1:6">
      <c r="A4325" t="s">
        <v>4265</v>
      </c>
      <c r="B4325" t="s">
        <v>141</v>
      </c>
      <c r="C4325" t="s">
        <v>142</v>
      </c>
      <c r="D4325" t="str">
        <f>HYPERLINK("http://service.sap.com/sap/support/notes/1427341","1427341")</f>
        <v>1427341</v>
      </c>
      <c r="F4325" t="s">
        <v>4329</v>
      </c>
    </row>
    <row r="4326" spans="1:6">
      <c r="A4326" t="s">
        <v>4265</v>
      </c>
      <c r="B4326" t="s">
        <v>141</v>
      </c>
      <c r="C4326" t="s">
        <v>142</v>
      </c>
      <c r="D4326" t="str">
        <f>HYPERLINK("http://service.sap.com/sap/support/notes/1477986","1477986")</f>
        <v>1477986</v>
      </c>
      <c r="F4326" t="s">
        <v>4330</v>
      </c>
    </row>
    <row r="4327" spans="1:6">
      <c r="A4327" t="s">
        <v>4265</v>
      </c>
      <c r="B4327" t="s">
        <v>146</v>
      </c>
      <c r="C4327" t="s">
        <v>147</v>
      </c>
    </row>
    <row r="4328" spans="1:6">
      <c r="A4328" t="s">
        <v>4265</v>
      </c>
      <c r="B4328" t="s">
        <v>148</v>
      </c>
      <c r="C4328" t="s">
        <v>149</v>
      </c>
      <c r="D4328" t="str">
        <f>HYPERLINK("http://service.sap.com/sap/support/notes/1489019","1489019")</f>
        <v>1489019</v>
      </c>
      <c r="F4328" t="s">
        <v>4331</v>
      </c>
    </row>
    <row r="4329" spans="1:6">
      <c r="A4329" t="s">
        <v>4265</v>
      </c>
      <c r="B4329" t="s">
        <v>148</v>
      </c>
      <c r="C4329" t="s">
        <v>149</v>
      </c>
      <c r="D4329" t="str">
        <f>HYPERLINK("http://service.sap.com/sap/support/notes/1490936","1490936")</f>
        <v>1490936</v>
      </c>
      <c r="F4329" t="s">
        <v>4332</v>
      </c>
    </row>
    <row r="4330" spans="1:6">
      <c r="A4330" t="s">
        <v>4265</v>
      </c>
      <c r="B4330" t="s">
        <v>158</v>
      </c>
      <c r="C4330" t="s">
        <v>159</v>
      </c>
    </row>
    <row r="4331" spans="1:6">
      <c r="A4331" t="s">
        <v>4265</v>
      </c>
      <c r="B4331" t="s">
        <v>160</v>
      </c>
      <c r="C4331" t="s">
        <v>47</v>
      </c>
      <c r="D4331" t="str">
        <f>HYPERLINK("http://service.sap.com/sap/support/notes/1448476","1448476")</f>
        <v>1448476</v>
      </c>
      <c r="F4331" t="s">
        <v>4333</v>
      </c>
    </row>
    <row r="4332" spans="1:6">
      <c r="A4332" t="s">
        <v>4265</v>
      </c>
      <c r="B4332" t="s">
        <v>160</v>
      </c>
      <c r="C4332" t="s">
        <v>47</v>
      </c>
      <c r="D4332" t="str">
        <f>HYPERLINK("http://service.sap.com/sap/support/notes/1470424","1470424")</f>
        <v>1470424</v>
      </c>
      <c r="F4332" t="s">
        <v>4334</v>
      </c>
    </row>
    <row r="4333" spans="1:6">
      <c r="A4333" t="s">
        <v>4265</v>
      </c>
      <c r="B4333" t="s">
        <v>160</v>
      </c>
      <c r="C4333" t="s">
        <v>47</v>
      </c>
      <c r="D4333" t="str">
        <f>HYPERLINK("http://service.sap.com/sap/support/notes/1473524","1473524")</f>
        <v>1473524</v>
      </c>
      <c r="F4333" t="s">
        <v>4335</v>
      </c>
    </row>
    <row r="4334" spans="1:6">
      <c r="A4334" t="s">
        <v>4265</v>
      </c>
      <c r="B4334" t="s">
        <v>160</v>
      </c>
      <c r="C4334" t="s">
        <v>47</v>
      </c>
      <c r="D4334" t="str">
        <f>HYPERLINK("http://service.sap.com/sap/support/notes/1476483","1476483")</f>
        <v>1476483</v>
      </c>
      <c r="F4334" t="s">
        <v>4336</v>
      </c>
    </row>
    <row r="4335" spans="1:6">
      <c r="A4335" t="s">
        <v>4265</v>
      </c>
      <c r="B4335" t="s">
        <v>160</v>
      </c>
      <c r="C4335" t="s">
        <v>47</v>
      </c>
      <c r="D4335" t="str">
        <f>HYPERLINK("http://service.sap.com/sap/support/notes/1481337","1481337")</f>
        <v>1481337</v>
      </c>
      <c r="F4335" t="s">
        <v>4337</v>
      </c>
    </row>
    <row r="4336" spans="1:6">
      <c r="A4336" t="s">
        <v>4265</v>
      </c>
      <c r="B4336" t="s">
        <v>160</v>
      </c>
      <c r="C4336" t="s">
        <v>47</v>
      </c>
      <c r="D4336" t="str">
        <f>HYPERLINK("http://service.sap.com/sap/support/notes/1487344","1487344")</f>
        <v>1487344</v>
      </c>
      <c r="F4336" t="s">
        <v>4338</v>
      </c>
    </row>
    <row r="4337" spans="1:6">
      <c r="A4337" t="s">
        <v>4265</v>
      </c>
      <c r="B4337" t="s">
        <v>160</v>
      </c>
      <c r="C4337" t="s">
        <v>47</v>
      </c>
      <c r="D4337" t="str">
        <f>HYPERLINK("http://service.sap.com/sap/support/notes/1487826","1487826")</f>
        <v>1487826</v>
      </c>
      <c r="F4337" t="s">
        <v>4339</v>
      </c>
    </row>
    <row r="4338" spans="1:6">
      <c r="A4338" t="s">
        <v>4265</v>
      </c>
      <c r="B4338" t="s">
        <v>160</v>
      </c>
      <c r="C4338" t="s">
        <v>47</v>
      </c>
      <c r="D4338" t="str">
        <f>HYPERLINK("http://service.sap.com/sap/support/notes/1488725","1488725")</f>
        <v>1488725</v>
      </c>
      <c r="F4338" t="s">
        <v>4340</v>
      </c>
    </row>
    <row r="4339" spans="1:6">
      <c r="A4339" t="s">
        <v>4265</v>
      </c>
      <c r="B4339" t="s">
        <v>160</v>
      </c>
      <c r="C4339" t="s">
        <v>47</v>
      </c>
      <c r="D4339" t="str">
        <f>HYPERLINK("http://service.sap.com/sap/support/notes/1491823","1491823")</f>
        <v>1491823</v>
      </c>
      <c r="F4339" t="s">
        <v>4341</v>
      </c>
    </row>
    <row r="4340" spans="1:6">
      <c r="A4340" t="s">
        <v>4265</v>
      </c>
      <c r="B4340" t="s">
        <v>166</v>
      </c>
      <c r="C4340" t="s">
        <v>50</v>
      </c>
      <c r="D4340" t="str">
        <f>HYPERLINK("http://service.sap.com/sap/support/notes/1442275","1442275")</f>
        <v>1442275</v>
      </c>
      <c r="F4340" t="s">
        <v>4342</v>
      </c>
    </row>
    <row r="4341" spans="1:6">
      <c r="A4341" t="s">
        <v>4265</v>
      </c>
      <c r="B4341" t="s">
        <v>166</v>
      </c>
      <c r="C4341" t="s">
        <v>50</v>
      </c>
      <c r="D4341" t="str">
        <f>HYPERLINK("http://service.sap.com/sap/support/notes/1465569","1465569")</f>
        <v>1465569</v>
      </c>
      <c r="F4341" t="s">
        <v>4343</v>
      </c>
    </row>
    <row r="4342" spans="1:6">
      <c r="A4342" t="s">
        <v>4265</v>
      </c>
      <c r="B4342" t="s">
        <v>166</v>
      </c>
      <c r="C4342" t="s">
        <v>50</v>
      </c>
      <c r="D4342" t="str">
        <f>HYPERLINK("http://service.sap.com/sap/support/notes/1475302","1475302")</f>
        <v>1475302</v>
      </c>
      <c r="F4342" t="s">
        <v>4344</v>
      </c>
    </row>
    <row r="4343" spans="1:6">
      <c r="A4343" t="s">
        <v>4265</v>
      </c>
      <c r="B4343" t="s">
        <v>166</v>
      </c>
      <c r="C4343" t="s">
        <v>50</v>
      </c>
      <c r="D4343" t="str">
        <f>HYPERLINK("http://service.sap.com/sap/support/notes/1475781","1475781")</f>
        <v>1475781</v>
      </c>
      <c r="F4343" t="s">
        <v>4345</v>
      </c>
    </row>
    <row r="4344" spans="1:6">
      <c r="A4344" t="s">
        <v>4265</v>
      </c>
      <c r="B4344" t="s">
        <v>166</v>
      </c>
      <c r="C4344" t="s">
        <v>50</v>
      </c>
      <c r="D4344" t="str">
        <f>HYPERLINK("http://service.sap.com/sap/support/notes/1476427","1476427")</f>
        <v>1476427</v>
      </c>
      <c r="F4344" t="s">
        <v>4346</v>
      </c>
    </row>
    <row r="4345" spans="1:6">
      <c r="A4345" t="s">
        <v>4265</v>
      </c>
      <c r="B4345" t="s">
        <v>166</v>
      </c>
      <c r="C4345" t="s">
        <v>50</v>
      </c>
      <c r="D4345" t="str">
        <f>HYPERLINK("http://service.sap.com/sap/support/notes/1476429","1476429")</f>
        <v>1476429</v>
      </c>
      <c r="F4345" t="s">
        <v>4347</v>
      </c>
    </row>
    <row r="4346" spans="1:6">
      <c r="A4346" t="s">
        <v>4265</v>
      </c>
      <c r="B4346" t="s">
        <v>166</v>
      </c>
      <c r="C4346" t="s">
        <v>50</v>
      </c>
      <c r="D4346" t="str">
        <f>HYPERLINK("http://service.sap.com/sap/support/notes/1481157","1481157")</f>
        <v>1481157</v>
      </c>
      <c r="F4346" t="s">
        <v>4348</v>
      </c>
    </row>
    <row r="4347" spans="1:6">
      <c r="A4347" t="s">
        <v>4265</v>
      </c>
      <c r="B4347" t="s">
        <v>166</v>
      </c>
      <c r="C4347" t="s">
        <v>50</v>
      </c>
      <c r="D4347" t="str">
        <f>HYPERLINK("http://service.sap.com/sap/support/notes/1484448","1484448")</f>
        <v>1484448</v>
      </c>
      <c r="F4347" t="s">
        <v>4349</v>
      </c>
    </row>
    <row r="4348" spans="1:6">
      <c r="A4348" t="s">
        <v>4265</v>
      </c>
      <c r="B4348" t="s">
        <v>166</v>
      </c>
      <c r="C4348" t="s">
        <v>50</v>
      </c>
      <c r="D4348" t="str">
        <f>HYPERLINK("http://service.sap.com/sap/support/notes/1485737","1485737")</f>
        <v>1485737</v>
      </c>
      <c r="F4348" t="s">
        <v>4350</v>
      </c>
    </row>
    <row r="4349" spans="1:6">
      <c r="A4349" t="s">
        <v>4265</v>
      </c>
      <c r="B4349" t="s">
        <v>166</v>
      </c>
      <c r="C4349" t="s">
        <v>50</v>
      </c>
      <c r="D4349" t="str">
        <f>HYPERLINK("http://service.sap.com/sap/support/notes/1491986","1491986")</f>
        <v>1491986</v>
      </c>
      <c r="F4349" t="s">
        <v>4351</v>
      </c>
    </row>
    <row r="4350" spans="1:6">
      <c r="A4350" t="s">
        <v>4265</v>
      </c>
      <c r="B4350" t="s">
        <v>941</v>
      </c>
      <c r="C4350" t="s">
        <v>189</v>
      </c>
      <c r="D4350" t="str">
        <f>HYPERLINK("http://service.sap.com/sap/support/notes/1478337","1478337")</f>
        <v>1478337</v>
      </c>
      <c r="F4350" t="s">
        <v>4352</v>
      </c>
    </row>
    <row r="4351" spans="1:6">
      <c r="A4351" t="s">
        <v>4265</v>
      </c>
      <c r="B4351" t="s">
        <v>941</v>
      </c>
      <c r="C4351" t="s">
        <v>189</v>
      </c>
      <c r="D4351" t="str">
        <f>HYPERLINK("http://service.sap.com/sap/support/notes/1487114","1487114")</f>
        <v>1487114</v>
      </c>
      <c r="F4351" t="s">
        <v>4353</v>
      </c>
    </row>
    <row r="4352" spans="1:6">
      <c r="A4352" t="s">
        <v>4265</v>
      </c>
      <c r="B4352" t="s">
        <v>941</v>
      </c>
      <c r="C4352" t="s">
        <v>189</v>
      </c>
      <c r="D4352" t="str">
        <f>HYPERLINK("http://service.sap.com/sap/support/notes/1487670","1487670")</f>
        <v>1487670</v>
      </c>
      <c r="F4352" t="s">
        <v>4354</v>
      </c>
    </row>
    <row r="4353" spans="1:6">
      <c r="A4353" t="s">
        <v>4265</v>
      </c>
      <c r="B4353" t="s">
        <v>174</v>
      </c>
      <c r="C4353" t="s">
        <v>175</v>
      </c>
      <c r="D4353" t="str">
        <f>HYPERLINK("http://service.sap.com/sap/support/notes/815445","815445")</f>
        <v>815445</v>
      </c>
      <c r="F4353" t="s">
        <v>176</v>
      </c>
    </row>
    <row r="4354" spans="1:6">
      <c r="A4354" t="s">
        <v>4265</v>
      </c>
      <c r="B4354" t="s">
        <v>174</v>
      </c>
      <c r="C4354" t="s">
        <v>175</v>
      </c>
      <c r="D4354" t="str">
        <f>HYPERLINK("http://service.sap.com/sap/support/notes/1382562","1382562")</f>
        <v>1382562</v>
      </c>
      <c r="F4354" t="s">
        <v>4355</v>
      </c>
    </row>
    <row r="4355" spans="1:6">
      <c r="A4355" t="s">
        <v>4265</v>
      </c>
      <c r="B4355" t="s">
        <v>174</v>
      </c>
      <c r="C4355" t="s">
        <v>175</v>
      </c>
      <c r="D4355" t="str">
        <f>HYPERLINK("http://service.sap.com/sap/support/notes/1435458","1435458")</f>
        <v>1435458</v>
      </c>
      <c r="F4355" t="s">
        <v>4356</v>
      </c>
    </row>
    <row r="4356" spans="1:6">
      <c r="A4356" t="s">
        <v>4265</v>
      </c>
      <c r="B4356" t="s">
        <v>174</v>
      </c>
      <c r="C4356" t="s">
        <v>175</v>
      </c>
      <c r="D4356" t="str">
        <f>HYPERLINK("http://service.sap.com/sap/support/notes/1463285","1463285")</f>
        <v>1463285</v>
      </c>
      <c r="F4356" t="s">
        <v>4357</v>
      </c>
    </row>
    <row r="4357" spans="1:6">
      <c r="A4357" t="s">
        <v>4265</v>
      </c>
      <c r="B4357" t="s">
        <v>174</v>
      </c>
      <c r="C4357" t="s">
        <v>175</v>
      </c>
      <c r="D4357" t="str">
        <f>HYPERLINK("http://service.sap.com/sap/support/notes/1464726","1464726")</f>
        <v>1464726</v>
      </c>
      <c r="F4357" t="s">
        <v>4358</v>
      </c>
    </row>
    <row r="4358" spans="1:6">
      <c r="A4358" t="s">
        <v>4265</v>
      </c>
      <c r="B4358" t="s">
        <v>174</v>
      </c>
      <c r="C4358" t="s">
        <v>175</v>
      </c>
      <c r="D4358" t="str">
        <f>HYPERLINK("http://service.sap.com/sap/support/notes/1466024","1466024")</f>
        <v>1466024</v>
      </c>
      <c r="F4358" t="s">
        <v>3620</v>
      </c>
    </row>
    <row r="4359" spans="1:6">
      <c r="A4359" t="s">
        <v>4265</v>
      </c>
      <c r="B4359" t="s">
        <v>174</v>
      </c>
      <c r="C4359" t="s">
        <v>175</v>
      </c>
      <c r="D4359" t="str">
        <f>HYPERLINK("http://service.sap.com/sap/support/notes/1470107","1470107")</f>
        <v>1470107</v>
      </c>
      <c r="F4359" t="s">
        <v>4359</v>
      </c>
    </row>
    <row r="4360" spans="1:6">
      <c r="A4360" t="s">
        <v>4265</v>
      </c>
      <c r="B4360" t="s">
        <v>174</v>
      </c>
      <c r="C4360" t="s">
        <v>175</v>
      </c>
      <c r="D4360" t="str">
        <f>HYPERLINK("http://service.sap.com/sap/support/notes/1473233","1473233")</f>
        <v>1473233</v>
      </c>
      <c r="F4360" t="s">
        <v>4360</v>
      </c>
    </row>
    <row r="4361" spans="1:6">
      <c r="A4361" t="s">
        <v>4265</v>
      </c>
      <c r="B4361" t="s">
        <v>174</v>
      </c>
      <c r="C4361" t="s">
        <v>175</v>
      </c>
      <c r="D4361" t="str">
        <f>HYPERLINK("http://service.sap.com/sap/support/notes/1480209","1480209")</f>
        <v>1480209</v>
      </c>
      <c r="F4361" t="s">
        <v>4361</v>
      </c>
    </row>
    <row r="4362" spans="1:6">
      <c r="A4362" t="s">
        <v>4265</v>
      </c>
      <c r="B4362" t="s">
        <v>174</v>
      </c>
      <c r="C4362" t="s">
        <v>175</v>
      </c>
      <c r="D4362" t="str">
        <f>HYPERLINK("http://service.sap.com/sap/support/notes/1480930","1480930")</f>
        <v>1480930</v>
      </c>
      <c r="F4362" t="s">
        <v>4362</v>
      </c>
    </row>
    <row r="4363" spans="1:6">
      <c r="A4363" t="s">
        <v>4265</v>
      </c>
      <c r="B4363" t="s">
        <v>174</v>
      </c>
      <c r="C4363" t="s">
        <v>175</v>
      </c>
      <c r="D4363" t="str">
        <f>HYPERLINK("http://service.sap.com/sap/support/notes/1481021","1481021")</f>
        <v>1481021</v>
      </c>
      <c r="F4363" t="s">
        <v>4363</v>
      </c>
    </row>
    <row r="4364" spans="1:6">
      <c r="A4364" t="s">
        <v>4265</v>
      </c>
      <c r="B4364" t="s">
        <v>174</v>
      </c>
      <c r="C4364" t="s">
        <v>175</v>
      </c>
      <c r="D4364" t="str">
        <f>HYPERLINK("http://service.sap.com/sap/support/notes/1484087","1484087")</f>
        <v>1484087</v>
      </c>
      <c r="F4364" t="s">
        <v>4364</v>
      </c>
    </row>
    <row r="4365" spans="1:6">
      <c r="A4365" t="s">
        <v>4265</v>
      </c>
      <c r="B4365" t="s">
        <v>174</v>
      </c>
      <c r="C4365" t="s">
        <v>175</v>
      </c>
      <c r="D4365" t="str">
        <f>HYPERLINK("http://service.sap.com/sap/support/notes/1484108","1484108")</f>
        <v>1484108</v>
      </c>
      <c r="F4365" t="s">
        <v>3076</v>
      </c>
    </row>
    <row r="4366" spans="1:6">
      <c r="A4366" t="s">
        <v>4265</v>
      </c>
      <c r="B4366" t="s">
        <v>174</v>
      </c>
      <c r="C4366" t="s">
        <v>175</v>
      </c>
      <c r="D4366" t="str">
        <f>HYPERLINK("http://service.sap.com/sap/support/notes/1484980","1484980")</f>
        <v>1484980</v>
      </c>
      <c r="F4366" t="s">
        <v>4365</v>
      </c>
    </row>
    <row r="4367" spans="1:6">
      <c r="A4367" t="s">
        <v>4265</v>
      </c>
      <c r="B4367" t="s">
        <v>174</v>
      </c>
      <c r="C4367" t="s">
        <v>175</v>
      </c>
      <c r="D4367" t="str">
        <f>HYPERLINK("http://service.sap.com/sap/support/notes/1486030","1486030")</f>
        <v>1486030</v>
      </c>
      <c r="F4367" t="s">
        <v>4366</v>
      </c>
    </row>
    <row r="4368" spans="1:6">
      <c r="A4368" t="s">
        <v>4265</v>
      </c>
      <c r="B4368" t="s">
        <v>174</v>
      </c>
      <c r="C4368" t="s">
        <v>175</v>
      </c>
      <c r="D4368" t="str">
        <f>HYPERLINK("http://service.sap.com/sap/support/notes/1486189","1486189")</f>
        <v>1486189</v>
      </c>
      <c r="F4368" t="s">
        <v>4367</v>
      </c>
    </row>
    <row r="4369" spans="1:6">
      <c r="A4369" t="s">
        <v>4265</v>
      </c>
      <c r="B4369" t="s">
        <v>174</v>
      </c>
      <c r="C4369" t="s">
        <v>175</v>
      </c>
      <c r="D4369" t="str">
        <f>HYPERLINK("http://service.sap.com/sap/support/notes/1486345","1486345")</f>
        <v>1486345</v>
      </c>
      <c r="F4369" t="s">
        <v>4368</v>
      </c>
    </row>
    <row r="4370" spans="1:6">
      <c r="A4370" t="s">
        <v>4265</v>
      </c>
      <c r="B4370" t="s">
        <v>174</v>
      </c>
      <c r="C4370" t="s">
        <v>175</v>
      </c>
      <c r="D4370" t="str">
        <f>HYPERLINK("http://service.sap.com/sap/support/notes/1486644","1486644")</f>
        <v>1486644</v>
      </c>
      <c r="F4370" t="s">
        <v>4369</v>
      </c>
    </row>
    <row r="4371" spans="1:6">
      <c r="A4371" t="s">
        <v>4265</v>
      </c>
      <c r="B4371" t="s">
        <v>174</v>
      </c>
      <c r="C4371" t="s">
        <v>175</v>
      </c>
      <c r="D4371" t="str">
        <f>HYPERLINK("http://service.sap.com/sap/support/notes/1487206","1487206")</f>
        <v>1487206</v>
      </c>
      <c r="F4371" t="s">
        <v>4370</v>
      </c>
    </row>
    <row r="4372" spans="1:6">
      <c r="A4372" t="s">
        <v>4265</v>
      </c>
      <c r="B4372" t="s">
        <v>174</v>
      </c>
      <c r="C4372" t="s">
        <v>175</v>
      </c>
      <c r="D4372" t="str">
        <f>HYPERLINK("http://service.sap.com/sap/support/notes/1490075","1490075")</f>
        <v>1490075</v>
      </c>
      <c r="F4372" t="s">
        <v>4371</v>
      </c>
    </row>
    <row r="4373" spans="1:6">
      <c r="A4373" t="s">
        <v>4265</v>
      </c>
      <c r="B4373" t="s">
        <v>174</v>
      </c>
      <c r="C4373" t="s">
        <v>175</v>
      </c>
      <c r="D4373" t="str">
        <f>HYPERLINK("http://service.sap.com/sap/support/notes/1490076","1490076")</f>
        <v>1490076</v>
      </c>
      <c r="F4373" t="s">
        <v>4372</v>
      </c>
    </row>
    <row r="4374" spans="1:6">
      <c r="A4374" t="s">
        <v>4265</v>
      </c>
      <c r="B4374" t="s">
        <v>174</v>
      </c>
      <c r="C4374" t="s">
        <v>175</v>
      </c>
      <c r="D4374" t="str">
        <f>HYPERLINK("http://service.sap.com/sap/support/notes/1491592","1491592")</f>
        <v>1491592</v>
      </c>
      <c r="F4374" t="s">
        <v>4373</v>
      </c>
    </row>
    <row r="4375" spans="1:6">
      <c r="A4375" t="s">
        <v>4265</v>
      </c>
      <c r="B4375" t="s">
        <v>188</v>
      </c>
      <c r="C4375" t="s">
        <v>189</v>
      </c>
      <c r="D4375" t="str">
        <f>HYPERLINK("http://service.sap.com/sap/support/notes/1378373","1378373")</f>
        <v>1378373</v>
      </c>
      <c r="F4375" t="s">
        <v>960</v>
      </c>
    </row>
    <row r="4376" spans="1:6">
      <c r="A4376" t="s">
        <v>4265</v>
      </c>
      <c r="B4376" t="s">
        <v>188</v>
      </c>
      <c r="C4376" t="s">
        <v>189</v>
      </c>
      <c r="D4376" t="str">
        <f>HYPERLINK("http://service.sap.com/sap/support/notes/1479900","1479900")</f>
        <v>1479900</v>
      </c>
      <c r="F4376" t="s">
        <v>4374</v>
      </c>
    </row>
    <row r="4377" spans="1:6">
      <c r="A4377" t="s">
        <v>4265</v>
      </c>
      <c r="B4377" t="s">
        <v>188</v>
      </c>
      <c r="C4377" t="s">
        <v>189</v>
      </c>
      <c r="D4377" t="str">
        <f>HYPERLINK("http://service.sap.com/sap/support/notes/1491073","1491073")</f>
        <v>1491073</v>
      </c>
      <c r="F4377" t="s">
        <v>4375</v>
      </c>
    </row>
    <row r="4378" spans="1:6">
      <c r="A4378" t="s">
        <v>4265</v>
      </c>
      <c r="B4378" t="s">
        <v>192</v>
      </c>
      <c r="C4378" t="s">
        <v>60</v>
      </c>
      <c r="D4378" t="str">
        <f>HYPERLINK("http://service.sap.com/sap/support/notes/1456610","1456610")</f>
        <v>1456610</v>
      </c>
      <c r="F4378" t="s">
        <v>4376</v>
      </c>
    </row>
    <row r="4379" spans="1:6">
      <c r="A4379" t="s">
        <v>4265</v>
      </c>
      <c r="B4379" t="s">
        <v>192</v>
      </c>
      <c r="C4379" t="s">
        <v>60</v>
      </c>
      <c r="D4379" t="str">
        <f>HYPERLINK("http://service.sap.com/sap/support/notes/1476868","1476868")</f>
        <v>1476868</v>
      </c>
      <c r="F4379" t="s">
        <v>4377</v>
      </c>
    </row>
    <row r="4380" spans="1:6">
      <c r="A4380" t="s">
        <v>4265</v>
      </c>
      <c r="B4380" t="s">
        <v>192</v>
      </c>
      <c r="C4380" t="s">
        <v>60</v>
      </c>
      <c r="D4380" t="str">
        <f>HYPERLINK("http://service.sap.com/sap/support/notes/1481092","1481092")</f>
        <v>1481092</v>
      </c>
      <c r="F4380" t="s">
        <v>4378</v>
      </c>
    </row>
    <row r="4381" spans="1:6">
      <c r="A4381" t="s">
        <v>4265</v>
      </c>
      <c r="B4381" t="s">
        <v>192</v>
      </c>
      <c r="C4381" t="s">
        <v>60</v>
      </c>
      <c r="D4381" t="str">
        <f>HYPERLINK("http://service.sap.com/sap/support/notes/1481647","1481647")</f>
        <v>1481647</v>
      </c>
      <c r="F4381" t="s">
        <v>4379</v>
      </c>
    </row>
    <row r="4382" spans="1:6">
      <c r="A4382" t="s">
        <v>4265</v>
      </c>
      <c r="B4382" t="s">
        <v>192</v>
      </c>
      <c r="C4382" t="s">
        <v>60</v>
      </c>
      <c r="D4382" t="str">
        <f>HYPERLINK("http://service.sap.com/sap/support/notes/1482588","1482588")</f>
        <v>1482588</v>
      </c>
      <c r="F4382" t="s">
        <v>4380</v>
      </c>
    </row>
    <row r="4383" spans="1:6">
      <c r="A4383" t="s">
        <v>4265</v>
      </c>
      <c r="B4383" t="s">
        <v>192</v>
      </c>
      <c r="C4383" t="s">
        <v>60</v>
      </c>
      <c r="D4383" t="str">
        <f>HYPERLINK("http://service.sap.com/sap/support/notes/1487691","1487691")</f>
        <v>1487691</v>
      </c>
      <c r="F4383" t="s">
        <v>4381</v>
      </c>
    </row>
    <row r="4384" spans="1:6">
      <c r="A4384" t="s">
        <v>4265</v>
      </c>
      <c r="B4384" t="s">
        <v>192</v>
      </c>
      <c r="C4384" t="s">
        <v>60</v>
      </c>
      <c r="D4384" t="str">
        <f>HYPERLINK("http://service.sap.com/sap/support/notes/1487738","1487738")</f>
        <v>1487738</v>
      </c>
      <c r="F4384" t="s">
        <v>4382</v>
      </c>
    </row>
    <row r="4385" spans="1:6">
      <c r="A4385" t="s">
        <v>4265</v>
      </c>
      <c r="B4385" t="s">
        <v>192</v>
      </c>
      <c r="C4385" t="s">
        <v>60</v>
      </c>
      <c r="D4385" t="str">
        <f>HYPERLINK("http://service.sap.com/sap/support/notes/1488645","1488645")</f>
        <v>1488645</v>
      </c>
      <c r="F4385" t="s">
        <v>4383</v>
      </c>
    </row>
    <row r="4386" spans="1:6">
      <c r="A4386" t="s">
        <v>4265</v>
      </c>
      <c r="B4386" t="s">
        <v>192</v>
      </c>
      <c r="C4386" t="s">
        <v>60</v>
      </c>
      <c r="D4386" t="str">
        <f>HYPERLINK("http://service.sap.com/sap/support/notes/1489164","1489164")</f>
        <v>1489164</v>
      </c>
      <c r="F4386" t="s">
        <v>4384</v>
      </c>
    </row>
    <row r="4387" spans="1:6">
      <c r="A4387" t="s">
        <v>4265</v>
      </c>
      <c r="B4387" t="s">
        <v>192</v>
      </c>
      <c r="C4387" t="s">
        <v>60</v>
      </c>
      <c r="D4387" t="str">
        <f>HYPERLINK("http://service.sap.com/sap/support/notes/1489511","1489511")</f>
        <v>1489511</v>
      </c>
      <c r="F4387" t="s">
        <v>4385</v>
      </c>
    </row>
    <row r="4388" spans="1:6">
      <c r="A4388" t="s">
        <v>4265</v>
      </c>
      <c r="B4388" t="s">
        <v>192</v>
      </c>
      <c r="C4388" t="s">
        <v>60</v>
      </c>
      <c r="D4388" t="str">
        <f>HYPERLINK("http://service.sap.com/sap/support/notes/1490516","1490516")</f>
        <v>1490516</v>
      </c>
      <c r="F4388" t="s">
        <v>4386</v>
      </c>
    </row>
    <row r="4389" spans="1:6">
      <c r="A4389" t="s">
        <v>4265</v>
      </c>
      <c r="B4389" t="s">
        <v>4387</v>
      </c>
      <c r="C4389" t="s">
        <v>189</v>
      </c>
      <c r="D4389" t="str">
        <f>HYPERLINK("http://service.sap.com/sap/support/notes/1481837","1481837")</f>
        <v>1481837</v>
      </c>
      <c r="F4389" t="s">
        <v>4388</v>
      </c>
    </row>
    <row r="4390" spans="1:6">
      <c r="A4390" t="s">
        <v>4265</v>
      </c>
      <c r="B4390" t="s">
        <v>4387</v>
      </c>
      <c r="C4390" t="s">
        <v>189</v>
      </c>
      <c r="D4390" t="str">
        <f>HYPERLINK("http://service.sap.com/sap/support/notes/1488063","1488063")</f>
        <v>1488063</v>
      </c>
      <c r="F4390" t="s">
        <v>4389</v>
      </c>
    </row>
    <row r="4391" spans="1:6">
      <c r="A4391" t="s">
        <v>4265</v>
      </c>
      <c r="B4391" t="s">
        <v>4387</v>
      </c>
      <c r="C4391" t="s">
        <v>189</v>
      </c>
      <c r="D4391" t="str">
        <f>HYPERLINK("http://service.sap.com/sap/support/notes/1488092","1488092")</f>
        <v>1488092</v>
      </c>
      <c r="F4391" t="s">
        <v>4390</v>
      </c>
    </row>
    <row r="4392" spans="1:6">
      <c r="A4392" t="s">
        <v>4265</v>
      </c>
      <c r="B4392" t="s">
        <v>197</v>
      </c>
      <c r="C4392" t="s">
        <v>63</v>
      </c>
      <c r="D4392" t="str">
        <f>HYPERLINK("http://service.sap.com/sap/support/notes/1464284","1464284")</f>
        <v>1464284</v>
      </c>
      <c r="F4392" t="s">
        <v>4391</v>
      </c>
    </row>
    <row r="4393" spans="1:6">
      <c r="A4393" t="s">
        <v>4265</v>
      </c>
      <c r="B4393" t="s">
        <v>204</v>
      </c>
      <c r="C4393" t="s">
        <v>205</v>
      </c>
      <c r="D4393" t="str">
        <f>HYPERLINK("http://service.sap.com/sap/support/notes/1450610","1450610")</f>
        <v>1450610</v>
      </c>
      <c r="F4393" t="s">
        <v>4392</v>
      </c>
    </row>
    <row r="4394" spans="1:6">
      <c r="A4394" t="s">
        <v>4265</v>
      </c>
      <c r="B4394" t="s">
        <v>4393</v>
      </c>
      <c r="C4394" t="s">
        <v>4394</v>
      </c>
      <c r="D4394" t="str">
        <f>HYPERLINK("http://service.sap.com/sap/support/notes/1487768","1487768")</f>
        <v>1487768</v>
      </c>
      <c r="F4394" t="s">
        <v>4395</v>
      </c>
    </row>
    <row r="4395" spans="1:6">
      <c r="A4395" t="s">
        <v>4265</v>
      </c>
      <c r="B4395" t="s">
        <v>207</v>
      </c>
      <c r="C4395" t="s">
        <v>208</v>
      </c>
      <c r="D4395" t="str">
        <f>HYPERLINK("http://service.sap.com/sap/support/notes/1483865","1483865")</f>
        <v>1483865</v>
      </c>
      <c r="F4395" t="s">
        <v>4396</v>
      </c>
    </row>
    <row r="4396" spans="1:6">
      <c r="A4396" t="s">
        <v>4265</v>
      </c>
      <c r="B4396" t="s">
        <v>207</v>
      </c>
      <c r="C4396" t="s">
        <v>208</v>
      </c>
      <c r="D4396" t="str">
        <f>HYPERLINK("http://service.sap.com/sap/support/notes/1486084","1486084")</f>
        <v>1486084</v>
      </c>
      <c r="F4396" t="s">
        <v>4397</v>
      </c>
    </row>
    <row r="4397" spans="1:6">
      <c r="A4397" t="s">
        <v>4265</v>
      </c>
      <c r="B4397" t="s">
        <v>211</v>
      </c>
      <c r="C4397" t="s">
        <v>212</v>
      </c>
      <c r="D4397" t="str">
        <f>HYPERLINK("http://service.sap.com/sap/support/notes/1470844","1470844")</f>
        <v>1470844</v>
      </c>
      <c r="F4397" t="s">
        <v>2742</v>
      </c>
    </row>
    <row r="4398" spans="1:6">
      <c r="A4398" t="s">
        <v>4265</v>
      </c>
      <c r="B4398" t="s">
        <v>218</v>
      </c>
      <c r="C4398" t="s">
        <v>219</v>
      </c>
      <c r="D4398" t="str">
        <f>HYPERLINK("http://service.sap.com/sap/support/notes/1434814","1434814")</f>
        <v>1434814</v>
      </c>
      <c r="F4398" t="s">
        <v>2387</v>
      </c>
    </row>
    <row r="4399" spans="1:6">
      <c r="A4399" t="s">
        <v>4265</v>
      </c>
      <c r="B4399" t="s">
        <v>218</v>
      </c>
      <c r="C4399" t="s">
        <v>219</v>
      </c>
      <c r="D4399" t="str">
        <f>HYPERLINK("http://service.sap.com/sap/support/notes/1485608","1485608")</f>
        <v>1485608</v>
      </c>
      <c r="F4399" t="s">
        <v>4398</v>
      </c>
    </row>
    <row r="4400" spans="1:6">
      <c r="A4400" t="s">
        <v>4265</v>
      </c>
      <c r="B4400" t="s">
        <v>228</v>
      </c>
      <c r="C4400" t="s">
        <v>69</v>
      </c>
      <c r="D4400" t="str">
        <f>HYPERLINK("http://service.sap.com/sap/support/notes/1484882","1484882")</f>
        <v>1484882</v>
      </c>
      <c r="F4400" t="s">
        <v>4399</v>
      </c>
    </row>
    <row r="4401" spans="1:6">
      <c r="A4401" t="s">
        <v>4265</v>
      </c>
      <c r="B4401" t="s">
        <v>1024</v>
      </c>
      <c r="C4401" t="s">
        <v>1458</v>
      </c>
      <c r="D4401" t="str">
        <f>HYPERLINK("http://service.sap.com/sap/support/notes/1472908","1472908")</f>
        <v>1472908</v>
      </c>
      <c r="F4401" t="s">
        <v>4400</v>
      </c>
    </row>
    <row r="4402" spans="1:6">
      <c r="A4402" t="s">
        <v>4265</v>
      </c>
      <c r="B4402" t="s">
        <v>1024</v>
      </c>
      <c r="C4402" t="s">
        <v>1458</v>
      </c>
      <c r="D4402" t="str">
        <f>HYPERLINK("http://service.sap.com/sap/support/notes/1475973","1475973")</f>
        <v>1475973</v>
      </c>
      <c r="F4402" t="s">
        <v>4401</v>
      </c>
    </row>
    <row r="4403" spans="1:6">
      <c r="A4403" t="s">
        <v>4265</v>
      </c>
      <c r="B4403" t="s">
        <v>1024</v>
      </c>
      <c r="C4403" t="s">
        <v>1458</v>
      </c>
      <c r="D4403" t="str">
        <f>HYPERLINK("http://service.sap.com/sap/support/notes/1490249","1490249")</f>
        <v>1490249</v>
      </c>
      <c r="F4403" t="s">
        <v>4402</v>
      </c>
    </row>
    <row r="4404" spans="1:6">
      <c r="A4404" t="s">
        <v>4265</v>
      </c>
      <c r="B4404" t="s">
        <v>233</v>
      </c>
      <c r="C4404" t="s">
        <v>234</v>
      </c>
    </row>
    <row r="4405" spans="1:6">
      <c r="A4405" t="s">
        <v>4265</v>
      </c>
      <c r="B4405" t="s">
        <v>235</v>
      </c>
      <c r="C4405" t="s">
        <v>236</v>
      </c>
      <c r="D4405" t="str">
        <f>HYPERLINK("http://service.sap.com/sap/support/notes/1473529","1473529")</f>
        <v>1473529</v>
      </c>
      <c r="F4405" t="s">
        <v>4403</v>
      </c>
    </row>
    <row r="4406" spans="1:6">
      <c r="A4406" t="s">
        <v>4265</v>
      </c>
      <c r="B4406" t="s">
        <v>235</v>
      </c>
      <c r="C4406" t="s">
        <v>236</v>
      </c>
      <c r="D4406" t="str">
        <f>HYPERLINK("http://service.sap.com/sap/support/notes/1478850","1478850")</f>
        <v>1478850</v>
      </c>
      <c r="F4406" t="s">
        <v>4404</v>
      </c>
    </row>
    <row r="4407" spans="1:6">
      <c r="A4407" t="s">
        <v>4265</v>
      </c>
      <c r="B4407" t="s">
        <v>235</v>
      </c>
      <c r="C4407" t="s">
        <v>236</v>
      </c>
      <c r="D4407" t="str">
        <f>HYPERLINK("http://service.sap.com/sap/support/notes/1479355","1479355")</f>
        <v>1479355</v>
      </c>
      <c r="F4407" t="s">
        <v>4405</v>
      </c>
    </row>
    <row r="4408" spans="1:6">
      <c r="A4408" t="s">
        <v>4265</v>
      </c>
      <c r="B4408" t="s">
        <v>1460</v>
      </c>
      <c r="C4408" t="s">
        <v>1461</v>
      </c>
      <c r="D4408" t="str">
        <f>HYPERLINK("http://service.sap.com/sap/support/notes/1478145","1478145")</f>
        <v>1478145</v>
      </c>
      <c r="F4408" t="s">
        <v>4406</v>
      </c>
    </row>
    <row r="4409" spans="1:6">
      <c r="A4409" t="s">
        <v>4265</v>
      </c>
      <c r="B4409" t="s">
        <v>1460</v>
      </c>
      <c r="C4409" t="s">
        <v>1461</v>
      </c>
      <c r="D4409" t="str">
        <f>HYPERLINK("http://service.sap.com/sap/support/notes/1479130","1479130")</f>
        <v>1479130</v>
      </c>
      <c r="F4409" t="s">
        <v>4407</v>
      </c>
    </row>
    <row r="4410" spans="1:6">
      <c r="A4410" t="s">
        <v>4265</v>
      </c>
      <c r="B4410" t="s">
        <v>1460</v>
      </c>
      <c r="C4410" t="s">
        <v>1461</v>
      </c>
      <c r="D4410" t="str">
        <f>HYPERLINK("http://service.sap.com/sap/support/notes/1479857","1479857")</f>
        <v>1479857</v>
      </c>
      <c r="F4410" t="s">
        <v>4408</v>
      </c>
    </row>
    <row r="4411" spans="1:6">
      <c r="A4411" t="s">
        <v>4265</v>
      </c>
      <c r="B4411" t="s">
        <v>1460</v>
      </c>
      <c r="C4411" t="s">
        <v>1461</v>
      </c>
      <c r="D4411" t="str">
        <f>HYPERLINK("http://service.sap.com/sap/support/notes/1479925","1479925")</f>
        <v>1479925</v>
      </c>
      <c r="F4411" t="s">
        <v>4409</v>
      </c>
    </row>
    <row r="4412" spans="1:6">
      <c r="A4412" t="s">
        <v>4265</v>
      </c>
      <c r="B4412" t="s">
        <v>1460</v>
      </c>
      <c r="C4412" t="s">
        <v>1461</v>
      </c>
      <c r="D4412" t="str">
        <f>HYPERLINK("http://service.sap.com/sap/support/notes/1479927","1479927")</f>
        <v>1479927</v>
      </c>
      <c r="F4412" t="s">
        <v>4410</v>
      </c>
    </row>
    <row r="4413" spans="1:6">
      <c r="A4413" t="s">
        <v>4265</v>
      </c>
      <c r="B4413" t="s">
        <v>1460</v>
      </c>
      <c r="C4413" t="s">
        <v>1461</v>
      </c>
      <c r="D4413" t="str">
        <f>HYPERLINK("http://service.sap.com/sap/support/notes/1480403","1480403")</f>
        <v>1480403</v>
      </c>
      <c r="F4413" t="s">
        <v>4411</v>
      </c>
    </row>
    <row r="4414" spans="1:6">
      <c r="A4414" t="s">
        <v>4265</v>
      </c>
      <c r="B4414" t="s">
        <v>1460</v>
      </c>
      <c r="C4414" t="s">
        <v>1461</v>
      </c>
      <c r="D4414" t="str">
        <f>HYPERLINK("http://service.sap.com/sap/support/notes/1482267","1482267")</f>
        <v>1482267</v>
      </c>
      <c r="F4414" t="s">
        <v>4412</v>
      </c>
    </row>
    <row r="4415" spans="1:6">
      <c r="A4415" t="s">
        <v>4265</v>
      </c>
      <c r="B4415" t="s">
        <v>1460</v>
      </c>
      <c r="C4415" t="s">
        <v>1461</v>
      </c>
      <c r="D4415" t="str">
        <f>HYPERLINK("http://service.sap.com/sap/support/notes/1483160","1483160")</f>
        <v>1483160</v>
      </c>
      <c r="F4415" t="s">
        <v>4413</v>
      </c>
    </row>
    <row r="4416" spans="1:6">
      <c r="A4416" t="s">
        <v>4265</v>
      </c>
      <c r="B4416" t="s">
        <v>1460</v>
      </c>
      <c r="C4416" t="s">
        <v>1461</v>
      </c>
      <c r="D4416" t="str">
        <f>HYPERLINK("http://service.sap.com/sap/support/notes/1483650","1483650")</f>
        <v>1483650</v>
      </c>
      <c r="F4416" t="s">
        <v>4414</v>
      </c>
    </row>
    <row r="4417" spans="1:6">
      <c r="A4417" t="s">
        <v>4265</v>
      </c>
      <c r="B4417" t="s">
        <v>1460</v>
      </c>
      <c r="C4417" t="s">
        <v>1461</v>
      </c>
      <c r="D4417" t="str">
        <f>HYPERLINK("http://service.sap.com/sap/support/notes/1484115","1484115")</f>
        <v>1484115</v>
      </c>
      <c r="F4417" t="s">
        <v>4415</v>
      </c>
    </row>
    <row r="4418" spans="1:6">
      <c r="A4418" t="s">
        <v>4265</v>
      </c>
      <c r="B4418" t="s">
        <v>1460</v>
      </c>
      <c r="C4418" t="s">
        <v>1461</v>
      </c>
      <c r="D4418" t="str">
        <f>HYPERLINK("http://service.sap.com/sap/support/notes/1484960","1484960")</f>
        <v>1484960</v>
      </c>
      <c r="F4418" t="s">
        <v>4416</v>
      </c>
    </row>
    <row r="4419" spans="1:6">
      <c r="A4419" t="s">
        <v>4265</v>
      </c>
      <c r="B4419" t="s">
        <v>1460</v>
      </c>
      <c r="C4419" t="s">
        <v>1461</v>
      </c>
      <c r="D4419" t="str">
        <f>HYPERLINK("http://service.sap.com/sap/support/notes/1485668","1485668")</f>
        <v>1485668</v>
      </c>
      <c r="F4419" t="s">
        <v>4417</v>
      </c>
    </row>
    <row r="4420" spans="1:6">
      <c r="A4420" t="s">
        <v>4265</v>
      </c>
      <c r="B4420" t="s">
        <v>1460</v>
      </c>
      <c r="C4420" t="s">
        <v>1461</v>
      </c>
      <c r="D4420" t="str">
        <f>HYPERLINK("http://service.sap.com/sap/support/notes/1487650","1487650")</f>
        <v>1487650</v>
      </c>
      <c r="F4420" t="s">
        <v>4418</v>
      </c>
    </row>
    <row r="4421" spans="1:6">
      <c r="A4421" t="s">
        <v>4265</v>
      </c>
      <c r="B4421" t="s">
        <v>1460</v>
      </c>
      <c r="C4421" t="s">
        <v>1461</v>
      </c>
      <c r="D4421" t="str">
        <f>HYPERLINK("http://service.sap.com/sap/support/notes/1488684","1488684")</f>
        <v>1488684</v>
      </c>
      <c r="F4421" t="s">
        <v>4419</v>
      </c>
    </row>
    <row r="4422" spans="1:6">
      <c r="A4422" t="s">
        <v>4265</v>
      </c>
      <c r="B4422" t="s">
        <v>1460</v>
      </c>
      <c r="C4422" t="s">
        <v>1461</v>
      </c>
      <c r="D4422" t="str">
        <f>HYPERLINK("http://service.sap.com/sap/support/notes/1490165","1490165")</f>
        <v>1490165</v>
      </c>
      <c r="F4422" t="s">
        <v>4420</v>
      </c>
    </row>
    <row r="4423" spans="1:6">
      <c r="A4423" t="s">
        <v>4265</v>
      </c>
      <c r="B4423" t="s">
        <v>1460</v>
      </c>
      <c r="C4423" t="s">
        <v>1461</v>
      </c>
      <c r="D4423" t="str">
        <f>HYPERLINK("http://service.sap.com/sap/support/notes/1491346","1491346")</f>
        <v>1491346</v>
      </c>
      <c r="F4423" t="s">
        <v>4421</v>
      </c>
    </row>
    <row r="4424" spans="1:6">
      <c r="A4424" t="s">
        <v>4265</v>
      </c>
      <c r="B4424" t="s">
        <v>4422</v>
      </c>
      <c r="C4424" t="s">
        <v>1756</v>
      </c>
      <c r="D4424" t="str">
        <f>HYPERLINK("http://service.sap.com/sap/support/notes/1481391","1481391")</f>
        <v>1481391</v>
      </c>
      <c r="F4424" t="s">
        <v>4423</v>
      </c>
    </row>
    <row r="4425" spans="1:6">
      <c r="A4425" t="s">
        <v>4265</v>
      </c>
      <c r="B4425" t="s">
        <v>238</v>
      </c>
      <c r="C4425" t="s">
        <v>239</v>
      </c>
    </row>
    <row r="4426" spans="1:6">
      <c r="A4426" t="s">
        <v>4265</v>
      </c>
      <c r="B4426" t="s">
        <v>240</v>
      </c>
      <c r="C4426" t="s">
        <v>241</v>
      </c>
      <c r="D4426" t="str">
        <f>HYPERLINK("http://service.sap.com/sap/support/notes/1473275","1473275")</f>
        <v>1473275</v>
      </c>
      <c r="F4426" t="s">
        <v>4424</v>
      </c>
    </row>
    <row r="4427" spans="1:6">
      <c r="A4427" t="s">
        <v>4265</v>
      </c>
      <c r="B4427" t="s">
        <v>240</v>
      </c>
      <c r="C4427" t="s">
        <v>241</v>
      </c>
      <c r="D4427" t="str">
        <f>HYPERLINK("http://service.sap.com/sap/support/notes/1486538","1486538")</f>
        <v>1486538</v>
      </c>
      <c r="F4427" t="s">
        <v>4425</v>
      </c>
    </row>
    <row r="4428" spans="1:6">
      <c r="A4428" t="s">
        <v>4265</v>
      </c>
      <c r="B4428" t="s">
        <v>240</v>
      </c>
      <c r="C4428" t="s">
        <v>241</v>
      </c>
      <c r="D4428" t="str">
        <f>HYPERLINK("http://service.sap.com/sap/support/notes/1487954","1487954")</f>
        <v>1487954</v>
      </c>
      <c r="F4428" t="s">
        <v>4426</v>
      </c>
    </row>
    <row r="4429" spans="1:6">
      <c r="A4429" t="s">
        <v>4265</v>
      </c>
      <c r="B4429" t="s">
        <v>240</v>
      </c>
      <c r="C4429" t="s">
        <v>241</v>
      </c>
      <c r="D4429" t="str">
        <f>HYPERLINK("http://service.sap.com/sap/support/notes/1491219","1491219")</f>
        <v>1491219</v>
      </c>
      <c r="F4429" t="s">
        <v>4427</v>
      </c>
    </row>
    <row r="4430" spans="1:6">
      <c r="A4430" t="s">
        <v>4265</v>
      </c>
      <c r="B4430" t="s">
        <v>244</v>
      </c>
      <c r="C4430" t="s">
        <v>245</v>
      </c>
      <c r="D4430" t="str">
        <f>HYPERLINK("http://service.sap.com/sap/support/notes/1482027","1482027")</f>
        <v>1482027</v>
      </c>
      <c r="F4430" t="s">
        <v>4428</v>
      </c>
    </row>
    <row r="4431" spans="1:6">
      <c r="A4431" t="s">
        <v>4265</v>
      </c>
      <c r="B4431" t="s">
        <v>244</v>
      </c>
      <c r="C4431" t="s">
        <v>245</v>
      </c>
      <c r="D4431" t="str">
        <f>HYPERLINK("http://service.sap.com/sap/support/notes/1483229","1483229")</f>
        <v>1483229</v>
      </c>
      <c r="F4431" t="s">
        <v>4429</v>
      </c>
    </row>
    <row r="4432" spans="1:6">
      <c r="A4432" t="s">
        <v>4265</v>
      </c>
      <c r="B4432" t="s">
        <v>244</v>
      </c>
      <c r="C4432" t="s">
        <v>245</v>
      </c>
      <c r="D4432" t="str">
        <f>HYPERLINK("http://service.sap.com/sap/support/notes/1483744","1483744")</f>
        <v>1483744</v>
      </c>
      <c r="F4432" t="s">
        <v>4430</v>
      </c>
    </row>
    <row r="4433" spans="1:6">
      <c r="A4433" t="s">
        <v>4265</v>
      </c>
      <c r="B4433" t="s">
        <v>244</v>
      </c>
      <c r="C4433" t="s">
        <v>245</v>
      </c>
      <c r="D4433" t="str">
        <f>HYPERLINK("http://service.sap.com/sap/support/notes/1483966","1483966")</f>
        <v>1483966</v>
      </c>
      <c r="F4433" t="s">
        <v>4431</v>
      </c>
    </row>
    <row r="4434" spans="1:6">
      <c r="A4434" t="s">
        <v>4265</v>
      </c>
      <c r="B4434" t="s">
        <v>244</v>
      </c>
      <c r="C4434" t="s">
        <v>245</v>
      </c>
      <c r="D4434" t="str">
        <f>HYPERLINK("http://service.sap.com/sap/support/notes/1487313","1487313")</f>
        <v>1487313</v>
      </c>
      <c r="F4434" t="s">
        <v>4432</v>
      </c>
    </row>
    <row r="4435" spans="1:6">
      <c r="A4435" t="s">
        <v>4265</v>
      </c>
      <c r="B4435" t="s">
        <v>244</v>
      </c>
      <c r="C4435" t="s">
        <v>245</v>
      </c>
      <c r="D4435" t="str">
        <f>HYPERLINK("http://service.sap.com/sap/support/notes/1489764","1489764")</f>
        <v>1489764</v>
      </c>
      <c r="F4435" t="s">
        <v>4433</v>
      </c>
    </row>
    <row r="4436" spans="1:6">
      <c r="A4436" t="s">
        <v>4265</v>
      </c>
      <c r="B4436" t="s">
        <v>244</v>
      </c>
      <c r="C4436" t="s">
        <v>245</v>
      </c>
      <c r="D4436" t="str">
        <f>HYPERLINK("http://service.sap.com/sap/support/notes/1491288","1491288")</f>
        <v>1491288</v>
      </c>
      <c r="F4436" t="s">
        <v>4434</v>
      </c>
    </row>
    <row r="4437" spans="1:6">
      <c r="A4437" t="s">
        <v>4265</v>
      </c>
      <c r="B4437" t="s">
        <v>244</v>
      </c>
      <c r="C4437" t="s">
        <v>245</v>
      </c>
      <c r="D4437" t="str">
        <f>HYPERLINK("http://service.sap.com/sap/support/notes/1491480","1491480")</f>
        <v>1491480</v>
      </c>
      <c r="F4437" t="s">
        <v>4435</v>
      </c>
    </row>
    <row r="4438" spans="1:6">
      <c r="A4438" t="s">
        <v>4265</v>
      </c>
      <c r="B4438" t="s">
        <v>249</v>
      </c>
      <c r="C4438" t="s">
        <v>250</v>
      </c>
      <c r="D4438" t="str">
        <f>HYPERLINK("http://service.sap.com/sap/support/notes/1460600","1460600")</f>
        <v>1460600</v>
      </c>
      <c r="F4438" t="s">
        <v>4436</v>
      </c>
    </row>
    <row r="4439" spans="1:6">
      <c r="A4439" t="s">
        <v>4265</v>
      </c>
      <c r="B4439" t="s">
        <v>1058</v>
      </c>
      <c r="C4439" t="s">
        <v>1655</v>
      </c>
      <c r="D4439" t="str">
        <f>HYPERLINK("http://service.sap.com/sap/support/notes/1476800","1476800")</f>
        <v>1476800</v>
      </c>
      <c r="F4439" t="s">
        <v>4437</v>
      </c>
    </row>
    <row r="4440" spans="1:6">
      <c r="A4440" t="s">
        <v>4265</v>
      </c>
      <c r="B4440" t="s">
        <v>254</v>
      </c>
      <c r="C4440" t="s">
        <v>255</v>
      </c>
      <c r="D4440" t="str">
        <f>HYPERLINK("http://service.sap.com/sap/support/notes/1468280","1468280")</f>
        <v>1468280</v>
      </c>
      <c r="F4440" t="s">
        <v>4438</v>
      </c>
    </row>
    <row r="4441" spans="1:6">
      <c r="A4441" t="s">
        <v>4265</v>
      </c>
      <c r="B4441" t="s">
        <v>254</v>
      </c>
      <c r="C4441" t="s">
        <v>255</v>
      </c>
      <c r="D4441" t="str">
        <f>HYPERLINK("http://service.sap.com/sap/support/notes/1481129","1481129")</f>
        <v>1481129</v>
      </c>
      <c r="F4441" t="s">
        <v>4439</v>
      </c>
    </row>
    <row r="4442" spans="1:6">
      <c r="A4442" t="s">
        <v>4265</v>
      </c>
      <c r="B4442" t="s">
        <v>254</v>
      </c>
      <c r="C4442" t="s">
        <v>255</v>
      </c>
      <c r="D4442" t="str">
        <f>HYPERLINK("http://service.sap.com/sap/support/notes/1482248","1482248")</f>
        <v>1482248</v>
      </c>
      <c r="F4442" t="s">
        <v>4440</v>
      </c>
    </row>
    <row r="4443" spans="1:6">
      <c r="A4443" t="s">
        <v>4265</v>
      </c>
      <c r="B4443" t="s">
        <v>258</v>
      </c>
      <c r="C4443" t="s">
        <v>189</v>
      </c>
      <c r="D4443" t="str">
        <f>HYPERLINK("http://service.sap.com/sap/support/notes/1481980","1481980")</f>
        <v>1481980</v>
      </c>
      <c r="F4443" t="s">
        <v>4441</v>
      </c>
    </row>
    <row r="4444" spans="1:6">
      <c r="A4444" t="s">
        <v>4265</v>
      </c>
      <c r="B4444" t="s">
        <v>258</v>
      </c>
      <c r="C4444" t="s">
        <v>189</v>
      </c>
      <c r="D4444" t="str">
        <f>HYPERLINK("http://service.sap.com/sap/support/notes/1482982","1482982")</f>
        <v>1482982</v>
      </c>
      <c r="F4444" t="s">
        <v>4442</v>
      </c>
    </row>
    <row r="4445" spans="1:6">
      <c r="A4445" t="s">
        <v>4265</v>
      </c>
      <c r="B4445" t="s">
        <v>258</v>
      </c>
      <c r="C4445" t="s">
        <v>189</v>
      </c>
      <c r="D4445" t="str">
        <f>HYPERLINK("http://service.sap.com/sap/support/notes/1483600","1483600")</f>
        <v>1483600</v>
      </c>
      <c r="F4445" t="s">
        <v>4443</v>
      </c>
    </row>
    <row r="4446" spans="1:6">
      <c r="A4446" t="s">
        <v>4265</v>
      </c>
      <c r="B4446" t="s">
        <v>258</v>
      </c>
      <c r="C4446" t="s">
        <v>189</v>
      </c>
      <c r="D4446" t="str">
        <f>HYPERLINK("http://service.sap.com/sap/support/notes/1485980","1485980")</f>
        <v>1485980</v>
      </c>
      <c r="F4446" t="s">
        <v>4444</v>
      </c>
    </row>
    <row r="4447" spans="1:6">
      <c r="A4447" t="s">
        <v>4265</v>
      </c>
      <c r="B4447" t="s">
        <v>258</v>
      </c>
      <c r="C4447" t="s">
        <v>189</v>
      </c>
      <c r="D4447" t="str">
        <f>HYPERLINK("http://service.sap.com/sap/support/notes/1486510","1486510")</f>
        <v>1486510</v>
      </c>
      <c r="F4447" t="s">
        <v>4445</v>
      </c>
    </row>
    <row r="4448" spans="1:6">
      <c r="A4448" t="s">
        <v>4265</v>
      </c>
      <c r="B4448" t="s">
        <v>258</v>
      </c>
      <c r="C4448" t="s">
        <v>189</v>
      </c>
      <c r="D4448" t="str">
        <f>HYPERLINK("http://service.sap.com/sap/support/notes/1487646","1487646")</f>
        <v>1487646</v>
      </c>
      <c r="F4448" t="s">
        <v>4446</v>
      </c>
    </row>
    <row r="4449" spans="1:6">
      <c r="A4449" t="s">
        <v>4265</v>
      </c>
      <c r="B4449" t="s">
        <v>258</v>
      </c>
      <c r="C4449" t="s">
        <v>189</v>
      </c>
      <c r="D4449" t="str">
        <f>HYPERLINK("http://service.sap.com/sap/support/notes/1490291","1490291")</f>
        <v>1490291</v>
      </c>
      <c r="F4449" t="s">
        <v>4447</v>
      </c>
    </row>
    <row r="4450" spans="1:6">
      <c r="A4450" t="s">
        <v>4265</v>
      </c>
      <c r="B4450" t="s">
        <v>258</v>
      </c>
      <c r="C4450" t="s">
        <v>189</v>
      </c>
      <c r="D4450" t="str">
        <f>HYPERLINK("http://service.sap.com/sap/support/notes/1491299","1491299")</f>
        <v>1491299</v>
      </c>
      <c r="F4450" t="s">
        <v>4448</v>
      </c>
    </row>
    <row r="4451" spans="1:6">
      <c r="A4451" t="s">
        <v>4265</v>
      </c>
      <c r="B4451" t="s">
        <v>273</v>
      </c>
      <c r="C4451" t="s">
        <v>274</v>
      </c>
      <c r="D4451" t="str">
        <f>HYPERLINK("http://service.sap.com/sap/support/notes/1485779","1485779")</f>
        <v>1485779</v>
      </c>
      <c r="F4451" t="s">
        <v>4449</v>
      </c>
    </row>
    <row r="4452" spans="1:6">
      <c r="A4452" t="s">
        <v>4265</v>
      </c>
      <c r="B4452" t="s">
        <v>273</v>
      </c>
      <c r="C4452" t="s">
        <v>274</v>
      </c>
      <c r="D4452" t="str">
        <f>HYPERLINK("http://service.sap.com/sap/support/notes/1489426","1489426")</f>
        <v>1489426</v>
      </c>
      <c r="F4452" t="s">
        <v>4450</v>
      </c>
    </row>
    <row r="4453" spans="1:6">
      <c r="A4453" t="s">
        <v>4265</v>
      </c>
      <c r="B4453" t="s">
        <v>273</v>
      </c>
      <c r="C4453" t="s">
        <v>274</v>
      </c>
      <c r="D4453" t="str">
        <f>HYPERLINK("http://service.sap.com/sap/support/notes/1489861","1489861")</f>
        <v>1489861</v>
      </c>
      <c r="F4453" t="s">
        <v>4451</v>
      </c>
    </row>
    <row r="4454" spans="1:6">
      <c r="A4454" t="s">
        <v>4265</v>
      </c>
      <c r="B4454" t="s">
        <v>273</v>
      </c>
      <c r="C4454" t="s">
        <v>274</v>
      </c>
      <c r="D4454" t="str">
        <f>HYPERLINK("http://service.sap.com/sap/support/notes/1489919","1489919")</f>
        <v>1489919</v>
      </c>
      <c r="F4454" t="s">
        <v>4452</v>
      </c>
    </row>
    <row r="4455" spans="1:6">
      <c r="A4455" t="s">
        <v>4265</v>
      </c>
      <c r="B4455" t="s">
        <v>279</v>
      </c>
      <c r="C4455" t="s">
        <v>280</v>
      </c>
      <c r="D4455" t="str">
        <f>HYPERLINK("http://service.sap.com/sap/support/notes/1443289","1443289")</f>
        <v>1443289</v>
      </c>
      <c r="F4455" t="s">
        <v>4121</v>
      </c>
    </row>
    <row r="4456" spans="1:6">
      <c r="A4456" t="s">
        <v>4265</v>
      </c>
      <c r="B4456" t="s">
        <v>279</v>
      </c>
      <c r="C4456" t="s">
        <v>280</v>
      </c>
      <c r="D4456" t="str">
        <f>HYPERLINK("http://service.sap.com/sap/support/notes/1462871","1462871")</f>
        <v>1462871</v>
      </c>
      <c r="F4456" t="s">
        <v>3694</v>
      </c>
    </row>
    <row r="4457" spans="1:6">
      <c r="A4457" t="s">
        <v>4265</v>
      </c>
      <c r="B4457" t="s">
        <v>279</v>
      </c>
      <c r="C4457" t="s">
        <v>280</v>
      </c>
      <c r="D4457" t="str">
        <f>HYPERLINK("http://service.sap.com/sap/support/notes/1480198","1480198")</f>
        <v>1480198</v>
      </c>
      <c r="F4457" t="s">
        <v>4453</v>
      </c>
    </row>
    <row r="4458" spans="1:6">
      <c r="A4458" t="s">
        <v>4265</v>
      </c>
      <c r="B4458" t="s">
        <v>279</v>
      </c>
      <c r="C4458" t="s">
        <v>280</v>
      </c>
      <c r="D4458" t="str">
        <f>HYPERLINK("http://service.sap.com/sap/support/notes/1482672","1482672")</f>
        <v>1482672</v>
      </c>
      <c r="F4458" t="s">
        <v>4454</v>
      </c>
    </row>
    <row r="4459" spans="1:6">
      <c r="A4459" t="s">
        <v>4265</v>
      </c>
      <c r="B4459" t="s">
        <v>279</v>
      </c>
      <c r="C4459" t="s">
        <v>280</v>
      </c>
      <c r="D4459" t="str">
        <f>HYPERLINK("http://service.sap.com/sap/support/notes/1483658","1483658")</f>
        <v>1483658</v>
      </c>
      <c r="F4459" t="s">
        <v>4455</v>
      </c>
    </row>
    <row r="4460" spans="1:6">
      <c r="A4460" t="s">
        <v>4265</v>
      </c>
      <c r="B4460" t="s">
        <v>279</v>
      </c>
      <c r="C4460" t="s">
        <v>280</v>
      </c>
      <c r="D4460" t="str">
        <f>HYPERLINK("http://service.sap.com/sap/support/notes/1486850","1486850")</f>
        <v>1486850</v>
      </c>
      <c r="F4460" t="s">
        <v>4456</v>
      </c>
    </row>
    <row r="4461" spans="1:6">
      <c r="A4461" t="s">
        <v>4265</v>
      </c>
      <c r="B4461" t="s">
        <v>279</v>
      </c>
      <c r="C4461" t="s">
        <v>280</v>
      </c>
      <c r="D4461" t="str">
        <f>HYPERLINK("http://service.sap.com/sap/support/notes/1487316","1487316")</f>
        <v>1487316</v>
      </c>
      <c r="F4461" t="s">
        <v>4457</v>
      </c>
    </row>
    <row r="4462" spans="1:6">
      <c r="A4462" t="s">
        <v>4265</v>
      </c>
      <c r="B4462" t="s">
        <v>279</v>
      </c>
      <c r="C4462" t="s">
        <v>280</v>
      </c>
      <c r="D4462" t="str">
        <f>HYPERLINK("http://service.sap.com/sap/support/notes/1487467","1487467")</f>
        <v>1487467</v>
      </c>
      <c r="F4462" t="s">
        <v>4458</v>
      </c>
    </row>
    <row r="4463" spans="1:6">
      <c r="A4463" t="s">
        <v>4265</v>
      </c>
      <c r="B4463" t="s">
        <v>279</v>
      </c>
      <c r="C4463" t="s">
        <v>280</v>
      </c>
      <c r="D4463" t="str">
        <f>HYPERLINK("http://service.sap.com/sap/support/notes/1487933","1487933")</f>
        <v>1487933</v>
      </c>
      <c r="F4463" t="s">
        <v>4459</v>
      </c>
    </row>
    <row r="4464" spans="1:6">
      <c r="A4464" t="s">
        <v>4265</v>
      </c>
      <c r="B4464" t="s">
        <v>279</v>
      </c>
      <c r="C4464" t="s">
        <v>280</v>
      </c>
      <c r="D4464" t="str">
        <f>HYPERLINK("http://service.sap.com/sap/support/notes/1487940","1487940")</f>
        <v>1487940</v>
      </c>
      <c r="F4464" t="s">
        <v>4460</v>
      </c>
    </row>
    <row r="4465" spans="1:6">
      <c r="A4465" t="s">
        <v>4265</v>
      </c>
      <c r="B4465" t="s">
        <v>279</v>
      </c>
      <c r="C4465" t="s">
        <v>280</v>
      </c>
      <c r="D4465" t="str">
        <f>HYPERLINK("http://service.sap.com/sap/support/notes/1488127","1488127")</f>
        <v>1488127</v>
      </c>
      <c r="F4465" t="s">
        <v>4461</v>
      </c>
    </row>
    <row r="4466" spans="1:6">
      <c r="A4466" t="s">
        <v>4265</v>
      </c>
      <c r="B4466" t="s">
        <v>279</v>
      </c>
      <c r="C4466" t="s">
        <v>280</v>
      </c>
      <c r="D4466" t="str">
        <f>HYPERLINK("http://service.sap.com/sap/support/notes/1488807","1488807")</f>
        <v>1488807</v>
      </c>
      <c r="F4466" t="s">
        <v>4453</v>
      </c>
    </row>
    <row r="4467" spans="1:6">
      <c r="A4467" t="s">
        <v>4265</v>
      </c>
      <c r="B4467" t="s">
        <v>279</v>
      </c>
      <c r="C4467" t="s">
        <v>280</v>
      </c>
      <c r="D4467" t="str">
        <f>HYPERLINK("http://service.sap.com/sap/support/notes/1490448","1490448")</f>
        <v>1490448</v>
      </c>
      <c r="F4467" t="s">
        <v>4462</v>
      </c>
    </row>
    <row r="4468" spans="1:6">
      <c r="A4468" t="s">
        <v>4265</v>
      </c>
      <c r="B4468" t="s">
        <v>279</v>
      </c>
      <c r="C4468" t="s">
        <v>280</v>
      </c>
      <c r="D4468" t="str">
        <f>HYPERLINK("http://service.sap.com/sap/support/notes/1490746","1490746")</f>
        <v>1490746</v>
      </c>
      <c r="F4468" t="s">
        <v>4463</v>
      </c>
    </row>
    <row r="4469" spans="1:6">
      <c r="A4469" t="s">
        <v>4265</v>
      </c>
      <c r="B4469" t="s">
        <v>292</v>
      </c>
      <c r="C4469" t="s">
        <v>293</v>
      </c>
      <c r="D4469" t="str">
        <f>HYPERLINK("http://service.sap.com/sap/support/notes/1483532","1483532")</f>
        <v>1483532</v>
      </c>
      <c r="F4469" t="s">
        <v>4464</v>
      </c>
    </row>
    <row r="4470" spans="1:6">
      <c r="A4470" t="s">
        <v>4265</v>
      </c>
      <c r="B4470" t="s">
        <v>295</v>
      </c>
      <c r="C4470" t="s">
        <v>208</v>
      </c>
    </row>
    <row r="4471" spans="1:6">
      <c r="A4471" t="s">
        <v>4265</v>
      </c>
      <c r="B4471" t="s">
        <v>299</v>
      </c>
      <c r="C4471" t="s">
        <v>300</v>
      </c>
      <c r="D4471" t="str">
        <f>HYPERLINK("http://service.sap.com/sap/support/notes/1453627","1453627")</f>
        <v>1453627</v>
      </c>
      <c r="F4471" t="s">
        <v>4465</v>
      </c>
    </row>
    <row r="4472" spans="1:6">
      <c r="A4472" t="s">
        <v>4265</v>
      </c>
      <c r="B4472" t="s">
        <v>299</v>
      </c>
      <c r="C4472" t="s">
        <v>300</v>
      </c>
      <c r="D4472" t="str">
        <f>HYPERLINK("http://service.sap.com/sap/support/notes/1481414","1481414")</f>
        <v>1481414</v>
      </c>
      <c r="F4472" t="s">
        <v>4466</v>
      </c>
    </row>
    <row r="4473" spans="1:6">
      <c r="A4473" t="s">
        <v>4265</v>
      </c>
      <c r="B4473" t="s">
        <v>299</v>
      </c>
      <c r="C4473" t="s">
        <v>300</v>
      </c>
      <c r="D4473" t="str">
        <f>HYPERLINK("http://service.sap.com/sap/support/notes/1483094","1483094")</f>
        <v>1483094</v>
      </c>
      <c r="F4473" t="s">
        <v>4467</v>
      </c>
    </row>
    <row r="4474" spans="1:6">
      <c r="A4474" t="s">
        <v>4265</v>
      </c>
      <c r="B4474" t="s">
        <v>305</v>
      </c>
      <c r="C4474" t="s">
        <v>306</v>
      </c>
      <c r="D4474" t="str">
        <f>HYPERLINK("http://service.sap.com/sap/support/notes/1017716","1017716")</f>
        <v>1017716</v>
      </c>
      <c r="F4474" t="s">
        <v>307</v>
      </c>
    </row>
    <row r="4475" spans="1:6">
      <c r="A4475" t="s">
        <v>4265</v>
      </c>
      <c r="B4475" t="s">
        <v>305</v>
      </c>
      <c r="C4475" t="s">
        <v>306</v>
      </c>
      <c r="D4475" t="str">
        <f>HYPERLINK("http://service.sap.com/sap/support/notes/1442810","1442810")</f>
        <v>1442810</v>
      </c>
      <c r="F4475" t="s">
        <v>4468</v>
      </c>
    </row>
    <row r="4476" spans="1:6">
      <c r="A4476" t="s">
        <v>4265</v>
      </c>
      <c r="B4476" t="s">
        <v>305</v>
      </c>
      <c r="C4476" t="s">
        <v>306</v>
      </c>
      <c r="D4476" t="str">
        <f>HYPERLINK("http://service.sap.com/sap/support/notes/1462735","1462735")</f>
        <v>1462735</v>
      </c>
      <c r="F4476" t="s">
        <v>4469</v>
      </c>
    </row>
    <row r="4477" spans="1:6">
      <c r="A4477" t="s">
        <v>4265</v>
      </c>
      <c r="B4477" t="s">
        <v>305</v>
      </c>
      <c r="C4477" t="s">
        <v>306</v>
      </c>
      <c r="D4477" t="str">
        <f>HYPERLINK("http://service.sap.com/sap/support/notes/1464102","1464102")</f>
        <v>1464102</v>
      </c>
      <c r="F4477" t="s">
        <v>4470</v>
      </c>
    </row>
    <row r="4478" spans="1:6">
      <c r="A4478" t="s">
        <v>4265</v>
      </c>
      <c r="B4478" t="s">
        <v>305</v>
      </c>
      <c r="C4478" t="s">
        <v>306</v>
      </c>
      <c r="D4478" t="str">
        <f>HYPERLINK("http://service.sap.com/sap/support/notes/1470323","1470323")</f>
        <v>1470323</v>
      </c>
      <c r="F4478" t="s">
        <v>4471</v>
      </c>
    </row>
    <row r="4479" spans="1:6">
      <c r="A4479" t="s">
        <v>4265</v>
      </c>
      <c r="B4479" t="s">
        <v>305</v>
      </c>
      <c r="C4479" t="s">
        <v>306</v>
      </c>
      <c r="D4479" t="str">
        <f>HYPERLINK("http://service.sap.com/sap/support/notes/1470392","1470392")</f>
        <v>1470392</v>
      </c>
      <c r="F4479" t="s">
        <v>4472</v>
      </c>
    </row>
    <row r="4480" spans="1:6">
      <c r="A4480" t="s">
        <v>4265</v>
      </c>
      <c r="B4480" t="s">
        <v>305</v>
      </c>
      <c r="C4480" t="s">
        <v>306</v>
      </c>
      <c r="D4480" t="str">
        <f>HYPERLINK("http://service.sap.com/sap/support/notes/1470410","1470410")</f>
        <v>1470410</v>
      </c>
      <c r="F4480" t="s">
        <v>4473</v>
      </c>
    </row>
    <row r="4481" spans="1:6">
      <c r="A4481" t="s">
        <v>4265</v>
      </c>
      <c r="B4481" t="s">
        <v>305</v>
      </c>
      <c r="C4481" t="s">
        <v>306</v>
      </c>
      <c r="D4481" t="str">
        <f>HYPERLINK("http://service.sap.com/sap/support/notes/1470996","1470996")</f>
        <v>1470996</v>
      </c>
      <c r="F4481" t="s">
        <v>4474</v>
      </c>
    </row>
    <row r="4482" spans="1:6">
      <c r="A4482" t="s">
        <v>4265</v>
      </c>
      <c r="B4482" t="s">
        <v>305</v>
      </c>
      <c r="C4482" t="s">
        <v>306</v>
      </c>
      <c r="D4482" t="str">
        <f>HYPERLINK("http://service.sap.com/sap/support/notes/1471475","1471475")</f>
        <v>1471475</v>
      </c>
      <c r="F4482" t="s">
        <v>4475</v>
      </c>
    </row>
    <row r="4483" spans="1:6">
      <c r="A4483" t="s">
        <v>4265</v>
      </c>
      <c r="B4483" t="s">
        <v>305</v>
      </c>
      <c r="C4483" t="s">
        <v>306</v>
      </c>
      <c r="D4483" t="str">
        <f>HYPERLINK("http://service.sap.com/sap/support/notes/1471953","1471953")</f>
        <v>1471953</v>
      </c>
      <c r="F4483" t="s">
        <v>4476</v>
      </c>
    </row>
    <row r="4484" spans="1:6">
      <c r="A4484" t="s">
        <v>4265</v>
      </c>
      <c r="B4484" t="s">
        <v>305</v>
      </c>
      <c r="C4484" t="s">
        <v>306</v>
      </c>
      <c r="D4484" t="str">
        <f>HYPERLINK("http://service.sap.com/sap/support/notes/1472159","1472159")</f>
        <v>1472159</v>
      </c>
      <c r="F4484" t="s">
        <v>4477</v>
      </c>
    </row>
    <row r="4485" spans="1:6">
      <c r="A4485" t="s">
        <v>4265</v>
      </c>
      <c r="B4485" t="s">
        <v>305</v>
      </c>
      <c r="C4485" t="s">
        <v>306</v>
      </c>
      <c r="D4485" t="str">
        <f>HYPERLINK("http://service.sap.com/sap/support/notes/1472584","1472584")</f>
        <v>1472584</v>
      </c>
      <c r="F4485" t="s">
        <v>4478</v>
      </c>
    </row>
    <row r="4486" spans="1:6">
      <c r="A4486" t="s">
        <v>4265</v>
      </c>
      <c r="B4486" t="s">
        <v>305</v>
      </c>
      <c r="C4486" t="s">
        <v>306</v>
      </c>
      <c r="D4486" t="str">
        <f>HYPERLINK("http://service.sap.com/sap/support/notes/1472589","1472589")</f>
        <v>1472589</v>
      </c>
      <c r="F4486" t="s">
        <v>4479</v>
      </c>
    </row>
    <row r="4487" spans="1:6">
      <c r="A4487" t="s">
        <v>4265</v>
      </c>
      <c r="B4487" t="s">
        <v>305</v>
      </c>
      <c r="C4487" t="s">
        <v>306</v>
      </c>
      <c r="D4487" t="str">
        <f>HYPERLINK("http://service.sap.com/sap/support/notes/1472590","1472590")</f>
        <v>1472590</v>
      </c>
      <c r="F4487" t="s">
        <v>4480</v>
      </c>
    </row>
    <row r="4488" spans="1:6">
      <c r="A4488" t="s">
        <v>4265</v>
      </c>
      <c r="B4488" t="s">
        <v>305</v>
      </c>
      <c r="C4488" t="s">
        <v>306</v>
      </c>
      <c r="D4488" t="str">
        <f>HYPERLINK("http://service.sap.com/sap/support/notes/1473174","1473174")</f>
        <v>1473174</v>
      </c>
      <c r="F4488" t="s">
        <v>4481</v>
      </c>
    </row>
    <row r="4489" spans="1:6">
      <c r="A4489" t="s">
        <v>4265</v>
      </c>
      <c r="B4489" t="s">
        <v>305</v>
      </c>
      <c r="C4489" t="s">
        <v>306</v>
      </c>
      <c r="D4489" t="str">
        <f>HYPERLINK("http://service.sap.com/sap/support/notes/1473176","1473176")</f>
        <v>1473176</v>
      </c>
      <c r="F4489" t="s">
        <v>4482</v>
      </c>
    </row>
    <row r="4490" spans="1:6">
      <c r="A4490" t="s">
        <v>4265</v>
      </c>
      <c r="B4490" t="s">
        <v>305</v>
      </c>
      <c r="C4490" t="s">
        <v>306</v>
      </c>
      <c r="D4490" t="str">
        <f>HYPERLINK("http://service.sap.com/sap/support/notes/1473449","1473449")</f>
        <v>1473449</v>
      </c>
      <c r="F4490" t="s">
        <v>4483</v>
      </c>
    </row>
    <row r="4491" spans="1:6">
      <c r="A4491" t="s">
        <v>4265</v>
      </c>
      <c r="B4491" t="s">
        <v>305</v>
      </c>
      <c r="C4491" t="s">
        <v>306</v>
      </c>
      <c r="D4491" t="str">
        <f>HYPERLINK("http://service.sap.com/sap/support/notes/1473581","1473581")</f>
        <v>1473581</v>
      </c>
      <c r="F4491" t="s">
        <v>4484</v>
      </c>
    </row>
    <row r="4492" spans="1:6">
      <c r="A4492" t="s">
        <v>4265</v>
      </c>
      <c r="B4492" t="s">
        <v>305</v>
      </c>
      <c r="C4492" t="s">
        <v>306</v>
      </c>
      <c r="D4492" t="str">
        <f>HYPERLINK("http://service.sap.com/sap/support/notes/1473619","1473619")</f>
        <v>1473619</v>
      </c>
      <c r="F4492" t="s">
        <v>4485</v>
      </c>
    </row>
    <row r="4493" spans="1:6">
      <c r="A4493" t="s">
        <v>4265</v>
      </c>
      <c r="B4493" t="s">
        <v>305</v>
      </c>
      <c r="C4493" t="s">
        <v>306</v>
      </c>
      <c r="D4493" t="str">
        <f>HYPERLINK("http://service.sap.com/sap/support/notes/1475401","1475401")</f>
        <v>1475401</v>
      </c>
      <c r="F4493" t="s">
        <v>4486</v>
      </c>
    </row>
    <row r="4494" spans="1:6">
      <c r="A4494" t="s">
        <v>4265</v>
      </c>
      <c r="B4494" t="s">
        <v>305</v>
      </c>
      <c r="C4494" t="s">
        <v>306</v>
      </c>
      <c r="D4494" t="str">
        <f>HYPERLINK("http://service.sap.com/sap/support/notes/1476473","1476473")</f>
        <v>1476473</v>
      </c>
      <c r="F4494" t="s">
        <v>4487</v>
      </c>
    </row>
    <row r="4495" spans="1:6">
      <c r="A4495" t="s">
        <v>4265</v>
      </c>
      <c r="B4495" t="s">
        <v>305</v>
      </c>
      <c r="C4495" t="s">
        <v>306</v>
      </c>
      <c r="D4495" t="str">
        <f>HYPERLINK("http://service.sap.com/sap/support/notes/1476475","1476475")</f>
        <v>1476475</v>
      </c>
      <c r="F4495" t="s">
        <v>4488</v>
      </c>
    </row>
    <row r="4496" spans="1:6">
      <c r="A4496" t="s">
        <v>4265</v>
      </c>
      <c r="B4496" t="s">
        <v>305</v>
      </c>
      <c r="C4496" t="s">
        <v>306</v>
      </c>
      <c r="D4496" t="str">
        <f>HYPERLINK("http://service.sap.com/sap/support/notes/1476994","1476994")</f>
        <v>1476994</v>
      </c>
      <c r="F4496" t="s">
        <v>4489</v>
      </c>
    </row>
    <row r="4497" spans="1:6">
      <c r="A4497" t="s">
        <v>4265</v>
      </c>
      <c r="B4497" t="s">
        <v>305</v>
      </c>
      <c r="C4497" t="s">
        <v>306</v>
      </c>
      <c r="D4497" t="str">
        <f>HYPERLINK("http://service.sap.com/sap/support/notes/1477392","1477392")</f>
        <v>1477392</v>
      </c>
      <c r="F4497" t="s">
        <v>4490</v>
      </c>
    </row>
    <row r="4498" spans="1:6">
      <c r="A4498" t="s">
        <v>4265</v>
      </c>
      <c r="B4498" t="s">
        <v>305</v>
      </c>
      <c r="C4498" t="s">
        <v>306</v>
      </c>
      <c r="D4498" t="str">
        <f>HYPERLINK("http://service.sap.com/sap/support/notes/1477998","1477998")</f>
        <v>1477998</v>
      </c>
      <c r="F4498" t="s">
        <v>4491</v>
      </c>
    </row>
    <row r="4499" spans="1:6">
      <c r="A4499" t="s">
        <v>4265</v>
      </c>
      <c r="B4499" t="s">
        <v>305</v>
      </c>
      <c r="C4499" t="s">
        <v>306</v>
      </c>
      <c r="D4499" t="str">
        <f>HYPERLINK("http://service.sap.com/sap/support/notes/1477999","1477999")</f>
        <v>1477999</v>
      </c>
      <c r="F4499" t="s">
        <v>4492</v>
      </c>
    </row>
    <row r="4500" spans="1:6">
      <c r="A4500" t="s">
        <v>4265</v>
      </c>
      <c r="B4500" t="s">
        <v>305</v>
      </c>
      <c r="C4500" t="s">
        <v>306</v>
      </c>
      <c r="D4500" t="str">
        <f>HYPERLINK("http://service.sap.com/sap/support/notes/1478465","1478465")</f>
        <v>1478465</v>
      </c>
      <c r="F4500" t="s">
        <v>4493</v>
      </c>
    </row>
    <row r="4501" spans="1:6">
      <c r="A4501" t="s">
        <v>4265</v>
      </c>
      <c r="B4501" t="s">
        <v>305</v>
      </c>
      <c r="C4501" t="s">
        <v>306</v>
      </c>
      <c r="D4501" t="str">
        <f>HYPERLINK("http://service.sap.com/sap/support/notes/1479015","1479015")</f>
        <v>1479015</v>
      </c>
      <c r="F4501" t="s">
        <v>4494</v>
      </c>
    </row>
    <row r="4502" spans="1:6">
      <c r="A4502" t="s">
        <v>4265</v>
      </c>
      <c r="B4502" t="s">
        <v>305</v>
      </c>
      <c r="C4502" t="s">
        <v>306</v>
      </c>
      <c r="D4502" t="str">
        <f>HYPERLINK("http://service.sap.com/sap/support/notes/1480073","1480073")</f>
        <v>1480073</v>
      </c>
      <c r="F4502" t="s">
        <v>4149</v>
      </c>
    </row>
    <row r="4503" spans="1:6">
      <c r="A4503" t="s">
        <v>4265</v>
      </c>
      <c r="B4503" t="s">
        <v>305</v>
      </c>
      <c r="C4503" t="s">
        <v>306</v>
      </c>
      <c r="D4503" t="str">
        <f>HYPERLINK("http://service.sap.com/sap/support/notes/1480890","1480890")</f>
        <v>1480890</v>
      </c>
      <c r="F4503" t="s">
        <v>4495</v>
      </c>
    </row>
    <row r="4504" spans="1:6">
      <c r="A4504" t="s">
        <v>4265</v>
      </c>
      <c r="B4504" t="s">
        <v>305</v>
      </c>
      <c r="C4504" t="s">
        <v>306</v>
      </c>
      <c r="D4504" t="str">
        <f>HYPERLINK("http://service.sap.com/sap/support/notes/1482448","1482448")</f>
        <v>1482448</v>
      </c>
      <c r="F4504" t="s">
        <v>4496</v>
      </c>
    </row>
    <row r="4505" spans="1:6">
      <c r="A4505" t="s">
        <v>4265</v>
      </c>
      <c r="B4505" t="s">
        <v>305</v>
      </c>
      <c r="C4505" t="s">
        <v>306</v>
      </c>
      <c r="D4505" t="str">
        <f>HYPERLINK("http://service.sap.com/sap/support/notes/1482924","1482924")</f>
        <v>1482924</v>
      </c>
      <c r="F4505" t="s">
        <v>4497</v>
      </c>
    </row>
    <row r="4506" spans="1:6">
      <c r="A4506" t="s">
        <v>4265</v>
      </c>
      <c r="B4506" t="s">
        <v>305</v>
      </c>
      <c r="C4506" t="s">
        <v>306</v>
      </c>
      <c r="D4506" t="str">
        <f>HYPERLINK("http://service.sap.com/sap/support/notes/1483222","1483222")</f>
        <v>1483222</v>
      </c>
      <c r="F4506" t="s">
        <v>4498</v>
      </c>
    </row>
    <row r="4507" spans="1:6">
      <c r="A4507" t="s">
        <v>4265</v>
      </c>
      <c r="B4507" t="s">
        <v>305</v>
      </c>
      <c r="C4507" t="s">
        <v>306</v>
      </c>
      <c r="D4507" t="str">
        <f>HYPERLINK("http://service.sap.com/sap/support/notes/1483258","1483258")</f>
        <v>1483258</v>
      </c>
      <c r="F4507" t="s">
        <v>4499</v>
      </c>
    </row>
    <row r="4508" spans="1:6">
      <c r="A4508" t="s">
        <v>4265</v>
      </c>
      <c r="B4508" t="s">
        <v>305</v>
      </c>
      <c r="C4508" t="s">
        <v>306</v>
      </c>
      <c r="D4508" t="str">
        <f>HYPERLINK("http://service.sap.com/sap/support/notes/1483377","1483377")</f>
        <v>1483377</v>
      </c>
      <c r="F4508" t="s">
        <v>4500</v>
      </c>
    </row>
    <row r="4509" spans="1:6">
      <c r="A4509" t="s">
        <v>4265</v>
      </c>
      <c r="B4509" t="s">
        <v>305</v>
      </c>
      <c r="C4509" t="s">
        <v>306</v>
      </c>
      <c r="D4509" t="str">
        <f>HYPERLINK("http://service.sap.com/sap/support/notes/1483821","1483821")</f>
        <v>1483821</v>
      </c>
      <c r="F4509" t="s">
        <v>4501</v>
      </c>
    </row>
    <row r="4510" spans="1:6">
      <c r="A4510" t="s">
        <v>4265</v>
      </c>
      <c r="B4510" t="s">
        <v>305</v>
      </c>
      <c r="C4510" t="s">
        <v>306</v>
      </c>
      <c r="D4510" t="str">
        <f>HYPERLINK("http://service.sap.com/sap/support/notes/1484672","1484672")</f>
        <v>1484672</v>
      </c>
      <c r="F4510" t="s">
        <v>4502</v>
      </c>
    </row>
    <row r="4511" spans="1:6">
      <c r="A4511" t="s">
        <v>4265</v>
      </c>
      <c r="B4511" t="s">
        <v>305</v>
      </c>
      <c r="C4511" t="s">
        <v>306</v>
      </c>
      <c r="D4511" t="str">
        <f>HYPERLINK("http://service.sap.com/sap/support/notes/1484796","1484796")</f>
        <v>1484796</v>
      </c>
      <c r="F4511" t="s">
        <v>4503</v>
      </c>
    </row>
    <row r="4512" spans="1:6">
      <c r="A4512" t="s">
        <v>4265</v>
      </c>
      <c r="B4512" t="s">
        <v>305</v>
      </c>
      <c r="C4512" t="s">
        <v>306</v>
      </c>
      <c r="D4512" t="str">
        <f>HYPERLINK("http://service.sap.com/sap/support/notes/1485142","1485142")</f>
        <v>1485142</v>
      </c>
      <c r="F4512" t="s">
        <v>4504</v>
      </c>
    </row>
    <row r="4513" spans="1:6">
      <c r="A4513" t="s">
        <v>4265</v>
      </c>
      <c r="B4513" t="s">
        <v>305</v>
      </c>
      <c r="C4513" t="s">
        <v>306</v>
      </c>
      <c r="D4513" t="str">
        <f>HYPERLINK("http://service.sap.com/sap/support/notes/1486393","1486393")</f>
        <v>1486393</v>
      </c>
      <c r="F4513" t="s">
        <v>4505</v>
      </c>
    </row>
    <row r="4514" spans="1:6">
      <c r="A4514" t="s">
        <v>4265</v>
      </c>
      <c r="B4514" t="s">
        <v>305</v>
      </c>
      <c r="C4514" t="s">
        <v>306</v>
      </c>
      <c r="D4514" t="str">
        <f>HYPERLINK("http://service.sap.com/sap/support/notes/1486781","1486781")</f>
        <v>1486781</v>
      </c>
      <c r="F4514" t="s">
        <v>4506</v>
      </c>
    </row>
    <row r="4515" spans="1:6">
      <c r="A4515" t="s">
        <v>4265</v>
      </c>
      <c r="B4515" t="s">
        <v>305</v>
      </c>
      <c r="C4515" t="s">
        <v>306</v>
      </c>
      <c r="D4515" t="str">
        <f>HYPERLINK("http://service.sap.com/sap/support/notes/1487405","1487405")</f>
        <v>1487405</v>
      </c>
      <c r="F4515" t="s">
        <v>4507</v>
      </c>
    </row>
    <row r="4516" spans="1:6">
      <c r="A4516" t="s">
        <v>4265</v>
      </c>
      <c r="B4516" t="s">
        <v>305</v>
      </c>
      <c r="C4516" t="s">
        <v>306</v>
      </c>
      <c r="D4516" t="str">
        <f>HYPERLINK("http://service.sap.com/sap/support/notes/1487807","1487807")</f>
        <v>1487807</v>
      </c>
      <c r="F4516" t="s">
        <v>4508</v>
      </c>
    </row>
    <row r="4517" spans="1:6">
      <c r="A4517" t="s">
        <v>4265</v>
      </c>
      <c r="B4517" t="s">
        <v>305</v>
      </c>
      <c r="C4517" t="s">
        <v>306</v>
      </c>
      <c r="D4517" t="str">
        <f>HYPERLINK("http://service.sap.com/sap/support/notes/1487824","1487824")</f>
        <v>1487824</v>
      </c>
      <c r="F4517" t="s">
        <v>4509</v>
      </c>
    </row>
    <row r="4518" spans="1:6">
      <c r="A4518" t="s">
        <v>4265</v>
      </c>
      <c r="B4518" t="s">
        <v>305</v>
      </c>
      <c r="C4518" t="s">
        <v>306</v>
      </c>
      <c r="D4518" t="str">
        <f>HYPERLINK("http://service.sap.com/sap/support/notes/1489479","1489479")</f>
        <v>1489479</v>
      </c>
      <c r="F4518" t="s">
        <v>4510</v>
      </c>
    </row>
    <row r="4519" spans="1:6">
      <c r="A4519" t="s">
        <v>4265</v>
      </c>
      <c r="B4519" t="s">
        <v>305</v>
      </c>
      <c r="C4519" t="s">
        <v>306</v>
      </c>
      <c r="D4519" t="str">
        <f>HYPERLINK("http://service.sap.com/sap/support/notes/1490379","1490379")</f>
        <v>1490379</v>
      </c>
      <c r="F4519" t="s">
        <v>4511</v>
      </c>
    </row>
    <row r="4520" spans="1:6">
      <c r="A4520" t="s">
        <v>4265</v>
      </c>
      <c r="B4520" t="s">
        <v>305</v>
      </c>
      <c r="C4520" t="s">
        <v>306</v>
      </c>
      <c r="D4520" t="str">
        <f>HYPERLINK("http://service.sap.com/sap/support/notes/1490459","1490459")</f>
        <v>1490459</v>
      </c>
      <c r="F4520" t="s">
        <v>4512</v>
      </c>
    </row>
    <row r="4521" spans="1:6">
      <c r="A4521" t="s">
        <v>4265</v>
      </c>
      <c r="B4521" t="s">
        <v>305</v>
      </c>
      <c r="C4521" t="s">
        <v>306</v>
      </c>
      <c r="D4521" t="str">
        <f>HYPERLINK("http://service.sap.com/sap/support/notes/1491282","1491282")</f>
        <v>1491282</v>
      </c>
      <c r="F4521" t="s">
        <v>4513</v>
      </c>
    </row>
    <row r="4522" spans="1:6">
      <c r="A4522" t="s">
        <v>4265</v>
      </c>
      <c r="B4522" t="s">
        <v>305</v>
      </c>
      <c r="C4522" t="s">
        <v>306</v>
      </c>
      <c r="D4522" t="str">
        <f>HYPERLINK("http://service.sap.com/sap/support/notes/1491360","1491360")</f>
        <v>1491360</v>
      </c>
      <c r="F4522" t="s">
        <v>4514</v>
      </c>
    </row>
    <row r="4523" spans="1:6">
      <c r="A4523" t="s">
        <v>4265</v>
      </c>
      <c r="B4523" t="s">
        <v>352</v>
      </c>
      <c r="C4523" t="s">
        <v>353</v>
      </c>
      <c r="D4523" t="str">
        <f>HYPERLINK("http://service.sap.com/sap/support/notes/1417895","1417895")</f>
        <v>1417895</v>
      </c>
      <c r="F4523" t="s">
        <v>4515</v>
      </c>
    </row>
    <row r="4524" spans="1:6">
      <c r="A4524" t="s">
        <v>4265</v>
      </c>
      <c r="B4524" t="s">
        <v>352</v>
      </c>
      <c r="C4524" t="s">
        <v>353</v>
      </c>
      <c r="D4524" t="str">
        <f>HYPERLINK("http://service.sap.com/sap/support/notes/1482096","1482096")</f>
        <v>1482096</v>
      </c>
      <c r="F4524" t="s">
        <v>4516</v>
      </c>
    </row>
    <row r="4525" spans="1:6">
      <c r="A4525" t="s">
        <v>4265</v>
      </c>
      <c r="B4525" t="s">
        <v>357</v>
      </c>
      <c r="C4525" t="s">
        <v>76</v>
      </c>
      <c r="D4525" t="str">
        <f>HYPERLINK("http://service.sap.com/sap/support/notes/1316400","1316400")</f>
        <v>1316400</v>
      </c>
      <c r="F4525" t="s">
        <v>4517</v>
      </c>
    </row>
    <row r="4526" spans="1:6">
      <c r="A4526" t="s">
        <v>4265</v>
      </c>
      <c r="B4526" t="s">
        <v>357</v>
      </c>
      <c r="C4526" t="s">
        <v>76</v>
      </c>
      <c r="D4526" t="str">
        <f>HYPERLINK("http://service.sap.com/sap/support/notes/1320587","1320587")</f>
        <v>1320587</v>
      </c>
      <c r="F4526" t="s">
        <v>4518</v>
      </c>
    </row>
    <row r="4527" spans="1:6">
      <c r="A4527" t="s">
        <v>4265</v>
      </c>
      <c r="B4527" t="s">
        <v>357</v>
      </c>
      <c r="C4527" t="s">
        <v>76</v>
      </c>
      <c r="D4527" t="str">
        <f>HYPERLINK("http://service.sap.com/sap/support/notes/1389954","1389954")</f>
        <v>1389954</v>
      </c>
      <c r="F4527" t="s">
        <v>4519</v>
      </c>
    </row>
    <row r="4528" spans="1:6">
      <c r="A4528" t="s">
        <v>4265</v>
      </c>
      <c r="B4528" t="s">
        <v>357</v>
      </c>
      <c r="C4528" t="s">
        <v>76</v>
      </c>
      <c r="D4528" t="str">
        <f>HYPERLINK("http://service.sap.com/sap/support/notes/1467283","1467283")</f>
        <v>1467283</v>
      </c>
      <c r="F4528" t="s">
        <v>4520</v>
      </c>
    </row>
    <row r="4529" spans="1:6">
      <c r="A4529" t="s">
        <v>4265</v>
      </c>
      <c r="B4529" t="s">
        <v>357</v>
      </c>
      <c r="C4529" t="s">
        <v>76</v>
      </c>
      <c r="D4529" t="str">
        <f>HYPERLINK("http://service.sap.com/sap/support/notes/1476102","1476102")</f>
        <v>1476102</v>
      </c>
      <c r="F4529" t="s">
        <v>4521</v>
      </c>
    </row>
    <row r="4530" spans="1:6">
      <c r="A4530" t="s">
        <v>4265</v>
      </c>
      <c r="B4530" t="s">
        <v>357</v>
      </c>
      <c r="C4530" t="s">
        <v>76</v>
      </c>
      <c r="D4530" t="str">
        <f>HYPERLINK("http://service.sap.com/sap/support/notes/1478984","1478984")</f>
        <v>1478984</v>
      </c>
      <c r="F4530" t="s">
        <v>4522</v>
      </c>
    </row>
    <row r="4531" spans="1:6">
      <c r="A4531" t="s">
        <v>4265</v>
      </c>
      <c r="B4531" t="s">
        <v>357</v>
      </c>
      <c r="C4531" t="s">
        <v>76</v>
      </c>
      <c r="D4531" t="str">
        <f>HYPERLINK("http://service.sap.com/sap/support/notes/1479484","1479484")</f>
        <v>1479484</v>
      </c>
      <c r="F4531" t="s">
        <v>4523</v>
      </c>
    </row>
    <row r="4532" spans="1:6">
      <c r="A4532" t="s">
        <v>4265</v>
      </c>
      <c r="B4532" t="s">
        <v>357</v>
      </c>
      <c r="C4532" t="s">
        <v>76</v>
      </c>
      <c r="D4532" t="str">
        <f>HYPERLINK("http://service.sap.com/sap/support/notes/1479837","1479837")</f>
        <v>1479837</v>
      </c>
      <c r="F4532" t="s">
        <v>4524</v>
      </c>
    </row>
    <row r="4533" spans="1:6">
      <c r="A4533" t="s">
        <v>4265</v>
      </c>
      <c r="B4533" t="s">
        <v>357</v>
      </c>
      <c r="C4533" t="s">
        <v>76</v>
      </c>
      <c r="D4533" t="str">
        <f>HYPERLINK("http://service.sap.com/sap/support/notes/1480687","1480687")</f>
        <v>1480687</v>
      </c>
      <c r="F4533" t="s">
        <v>4525</v>
      </c>
    </row>
    <row r="4534" spans="1:6">
      <c r="A4534" t="s">
        <v>4265</v>
      </c>
      <c r="B4534" t="s">
        <v>357</v>
      </c>
      <c r="C4534" t="s">
        <v>76</v>
      </c>
      <c r="D4534" t="str">
        <f>HYPERLINK("http://service.sap.com/sap/support/notes/1483565","1483565")</f>
        <v>1483565</v>
      </c>
      <c r="F4534" t="s">
        <v>4526</v>
      </c>
    </row>
    <row r="4535" spans="1:6">
      <c r="A4535" t="s">
        <v>4265</v>
      </c>
      <c r="B4535" t="s">
        <v>357</v>
      </c>
      <c r="C4535" t="s">
        <v>76</v>
      </c>
      <c r="D4535" t="str">
        <f>HYPERLINK("http://service.sap.com/sap/support/notes/1483724","1483724")</f>
        <v>1483724</v>
      </c>
      <c r="F4535" t="s">
        <v>4527</v>
      </c>
    </row>
    <row r="4536" spans="1:6">
      <c r="A4536" t="s">
        <v>4265</v>
      </c>
      <c r="B4536" t="s">
        <v>357</v>
      </c>
      <c r="C4536" t="s">
        <v>76</v>
      </c>
      <c r="D4536" t="str">
        <f>HYPERLINK("http://service.sap.com/sap/support/notes/1485316","1485316")</f>
        <v>1485316</v>
      </c>
      <c r="F4536" t="s">
        <v>4528</v>
      </c>
    </row>
    <row r="4537" spans="1:6">
      <c r="A4537" t="s">
        <v>4265</v>
      </c>
      <c r="B4537" t="s">
        <v>357</v>
      </c>
      <c r="C4537" t="s">
        <v>76</v>
      </c>
      <c r="D4537" t="str">
        <f>HYPERLINK("http://service.sap.com/sap/support/notes/1485320","1485320")</f>
        <v>1485320</v>
      </c>
      <c r="F4537" t="s">
        <v>4529</v>
      </c>
    </row>
    <row r="4538" spans="1:6">
      <c r="A4538" t="s">
        <v>4265</v>
      </c>
      <c r="B4538" t="s">
        <v>357</v>
      </c>
      <c r="C4538" t="s">
        <v>76</v>
      </c>
      <c r="D4538" t="str">
        <f>HYPERLINK("http://service.sap.com/sap/support/notes/1485357","1485357")</f>
        <v>1485357</v>
      </c>
      <c r="F4538" t="s">
        <v>4530</v>
      </c>
    </row>
    <row r="4539" spans="1:6">
      <c r="A4539" t="s">
        <v>4265</v>
      </c>
      <c r="B4539" t="s">
        <v>357</v>
      </c>
      <c r="C4539" t="s">
        <v>76</v>
      </c>
      <c r="D4539" t="str">
        <f>HYPERLINK("http://service.sap.com/sap/support/notes/1485521","1485521")</f>
        <v>1485521</v>
      </c>
      <c r="F4539" t="s">
        <v>4531</v>
      </c>
    </row>
    <row r="4540" spans="1:6">
      <c r="A4540" t="s">
        <v>4265</v>
      </c>
      <c r="B4540" t="s">
        <v>357</v>
      </c>
      <c r="C4540" t="s">
        <v>76</v>
      </c>
      <c r="D4540" t="str">
        <f>HYPERLINK("http://service.sap.com/sap/support/notes/1485764","1485764")</f>
        <v>1485764</v>
      </c>
      <c r="F4540" t="s">
        <v>4532</v>
      </c>
    </row>
    <row r="4541" spans="1:6">
      <c r="A4541" t="s">
        <v>4265</v>
      </c>
      <c r="B4541" t="s">
        <v>357</v>
      </c>
      <c r="C4541" t="s">
        <v>76</v>
      </c>
      <c r="D4541" t="str">
        <f>HYPERLINK("http://service.sap.com/sap/support/notes/1486580","1486580")</f>
        <v>1486580</v>
      </c>
      <c r="F4541" t="s">
        <v>4533</v>
      </c>
    </row>
    <row r="4542" spans="1:6">
      <c r="A4542" t="s">
        <v>4265</v>
      </c>
      <c r="B4542" t="s">
        <v>357</v>
      </c>
      <c r="C4542" t="s">
        <v>76</v>
      </c>
      <c r="D4542" t="str">
        <f>HYPERLINK("http://service.sap.com/sap/support/notes/1486830","1486830")</f>
        <v>1486830</v>
      </c>
      <c r="F4542" t="s">
        <v>4534</v>
      </c>
    </row>
    <row r="4543" spans="1:6">
      <c r="A4543" t="s">
        <v>4265</v>
      </c>
      <c r="B4543" t="s">
        <v>357</v>
      </c>
      <c r="C4543" t="s">
        <v>76</v>
      </c>
      <c r="D4543" t="str">
        <f>HYPERLINK("http://service.sap.com/sap/support/notes/1487312","1487312")</f>
        <v>1487312</v>
      </c>
      <c r="F4543" t="s">
        <v>4535</v>
      </c>
    </row>
    <row r="4544" spans="1:6">
      <c r="A4544" t="s">
        <v>4265</v>
      </c>
      <c r="B4544" t="s">
        <v>357</v>
      </c>
      <c r="C4544" t="s">
        <v>76</v>
      </c>
      <c r="D4544" t="str">
        <f>HYPERLINK("http://service.sap.com/sap/support/notes/1487722","1487722")</f>
        <v>1487722</v>
      </c>
      <c r="F4544" t="s">
        <v>4536</v>
      </c>
    </row>
    <row r="4545" spans="1:6">
      <c r="A4545" t="s">
        <v>4265</v>
      </c>
      <c r="B4545" t="s">
        <v>357</v>
      </c>
      <c r="C4545" t="s">
        <v>76</v>
      </c>
      <c r="D4545" t="str">
        <f>HYPERLINK("http://service.sap.com/sap/support/notes/1488360","1488360")</f>
        <v>1488360</v>
      </c>
      <c r="F4545" t="s">
        <v>4537</v>
      </c>
    </row>
    <row r="4546" spans="1:6">
      <c r="A4546" t="s">
        <v>4265</v>
      </c>
      <c r="B4546" t="s">
        <v>357</v>
      </c>
      <c r="C4546" t="s">
        <v>76</v>
      </c>
      <c r="D4546" t="str">
        <f>HYPERLINK("http://service.sap.com/sap/support/notes/1488976","1488976")</f>
        <v>1488976</v>
      </c>
      <c r="F4546" t="s">
        <v>4538</v>
      </c>
    </row>
    <row r="4547" spans="1:6">
      <c r="A4547" t="s">
        <v>4265</v>
      </c>
      <c r="B4547" t="s">
        <v>357</v>
      </c>
      <c r="C4547" t="s">
        <v>76</v>
      </c>
      <c r="D4547" t="str">
        <f>HYPERLINK("http://service.sap.com/sap/support/notes/1489131","1489131")</f>
        <v>1489131</v>
      </c>
      <c r="F4547" t="s">
        <v>4539</v>
      </c>
    </row>
    <row r="4548" spans="1:6">
      <c r="A4548" t="s">
        <v>4265</v>
      </c>
      <c r="B4548" t="s">
        <v>357</v>
      </c>
      <c r="C4548" t="s">
        <v>76</v>
      </c>
      <c r="D4548" t="str">
        <f>HYPERLINK("http://service.sap.com/sap/support/notes/1489540","1489540")</f>
        <v>1489540</v>
      </c>
      <c r="F4548" t="s">
        <v>4540</v>
      </c>
    </row>
    <row r="4549" spans="1:6">
      <c r="A4549" t="s">
        <v>4265</v>
      </c>
      <c r="B4549" t="s">
        <v>357</v>
      </c>
      <c r="C4549" t="s">
        <v>76</v>
      </c>
      <c r="D4549" t="str">
        <f>HYPERLINK("http://service.sap.com/sap/support/notes/1490035","1490035")</f>
        <v>1490035</v>
      </c>
      <c r="F4549" t="s">
        <v>4541</v>
      </c>
    </row>
    <row r="4550" spans="1:6">
      <c r="A4550" t="s">
        <v>4265</v>
      </c>
      <c r="B4550" t="s">
        <v>357</v>
      </c>
      <c r="C4550" t="s">
        <v>76</v>
      </c>
      <c r="D4550" t="str">
        <f>HYPERLINK("http://service.sap.com/sap/support/notes/1490347","1490347")</f>
        <v>1490347</v>
      </c>
      <c r="F4550" t="s">
        <v>4542</v>
      </c>
    </row>
    <row r="4551" spans="1:6">
      <c r="A4551" t="s">
        <v>4265</v>
      </c>
      <c r="B4551" t="s">
        <v>357</v>
      </c>
      <c r="C4551" t="s">
        <v>76</v>
      </c>
      <c r="D4551" t="str">
        <f>HYPERLINK("http://service.sap.com/sap/support/notes/1490597","1490597")</f>
        <v>1490597</v>
      </c>
      <c r="F4551" t="s">
        <v>4543</v>
      </c>
    </row>
    <row r="4552" spans="1:6">
      <c r="A4552" t="s">
        <v>4265</v>
      </c>
      <c r="B4552" t="s">
        <v>367</v>
      </c>
      <c r="C4552" t="s">
        <v>189</v>
      </c>
      <c r="D4552" t="str">
        <f>HYPERLINK("http://service.sap.com/sap/support/notes/1464933","1464933")</f>
        <v>1464933</v>
      </c>
      <c r="F4552" t="s">
        <v>3774</v>
      </c>
    </row>
    <row r="4553" spans="1:6">
      <c r="A4553" t="s">
        <v>4265</v>
      </c>
      <c r="B4553" t="s">
        <v>367</v>
      </c>
      <c r="C4553" t="s">
        <v>189</v>
      </c>
      <c r="D4553" t="str">
        <f>HYPERLINK("http://service.sap.com/sap/support/notes/1475251","1475251")</f>
        <v>1475251</v>
      </c>
      <c r="F4553" t="s">
        <v>4544</v>
      </c>
    </row>
    <row r="4554" spans="1:6">
      <c r="A4554" t="s">
        <v>4265</v>
      </c>
      <c r="B4554" t="s">
        <v>367</v>
      </c>
      <c r="C4554" t="s">
        <v>189</v>
      </c>
      <c r="D4554" t="str">
        <f>HYPERLINK("http://service.sap.com/sap/support/notes/1476963","1476963")</f>
        <v>1476963</v>
      </c>
      <c r="F4554" t="s">
        <v>4545</v>
      </c>
    </row>
    <row r="4555" spans="1:6">
      <c r="A4555" t="s">
        <v>4265</v>
      </c>
      <c r="B4555" t="s">
        <v>369</v>
      </c>
      <c r="C4555" t="s">
        <v>370</v>
      </c>
      <c r="D4555" t="str">
        <f>HYPERLINK("http://service.sap.com/sap/support/notes/1129168","1129168")</f>
        <v>1129168</v>
      </c>
      <c r="F4555" t="s">
        <v>371</v>
      </c>
    </row>
    <row r="4556" spans="1:6">
      <c r="A4556" t="s">
        <v>4265</v>
      </c>
      <c r="B4556" t="s">
        <v>369</v>
      </c>
      <c r="C4556" t="s">
        <v>370</v>
      </c>
      <c r="D4556" t="str">
        <f>HYPERLINK("http://service.sap.com/sap/support/notes/1448703","1448703")</f>
        <v>1448703</v>
      </c>
      <c r="F4556" t="s">
        <v>4546</v>
      </c>
    </row>
    <row r="4557" spans="1:6">
      <c r="A4557" t="s">
        <v>4265</v>
      </c>
      <c r="B4557" t="s">
        <v>1166</v>
      </c>
      <c r="C4557" t="s">
        <v>1756</v>
      </c>
    </row>
    <row r="4558" spans="1:6">
      <c r="A4558" t="s">
        <v>4265</v>
      </c>
      <c r="B4558" t="s">
        <v>1167</v>
      </c>
      <c r="C4558" t="s">
        <v>1757</v>
      </c>
      <c r="D4558" t="str">
        <f>HYPERLINK("http://service.sap.com/sap/support/notes/1460032","1460032")</f>
        <v>1460032</v>
      </c>
      <c r="F4558" t="s">
        <v>4547</v>
      </c>
    </row>
    <row r="4559" spans="1:6">
      <c r="A4559" t="s">
        <v>4265</v>
      </c>
      <c r="B4559" t="s">
        <v>1167</v>
      </c>
      <c r="C4559" t="s">
        <v>1757</v>
      </c>
      <c r="D4559" t="str">
        <f>HYPERLINK("http://service.sap.com/sap/support/notes/1464358","1464358")</f>
        <v>1464358</v>
      </c>
      <c r="F4559" t="s">
        <v>4548</v>
      </c>
    </row>
    <row r="4560" spans="1:6">
      <c r="A4560" t="s">
        <v>4265</v>
      </c>
      <c r="B4560" t="s">
        <v>1170</v>
      </c>
      <c r="C4560" t="s">
        <v>239</v>
      </c>
    </row>
    <row r="4561" spans="1:6">
      <c r="A4561" t="s">
        <v>4265</v>
      </c>
      <c r="B4561" t="s">
        <v>1171</v>
      </c>
      <c r="C4561" t="s">
        <v>1172</v>
      </c>
      <c r="D4561" t="str">
        <f>HYPERLINK("http://service.sap.com/sap/support/notes/1464058","1464058")</f>
        <v>1464058</v>
      </c>
      <c r="F4561" t="s">
        <v>4549</v>
      </c>
    </row>
    <row r="4562" spans="1:6">
      <c r="A4562" t="s">
        <v>4265</v>
      </c>
      <c r="B4562" t="s">
        <v>1182</v>
      </c>
      <c r="C4562" t="s">
        <v>255</v>
      </c>
      <c r="D4562" t="str">
        <f>HYPERLINK("http://service.sap.com/sap/support/notes/1446200","1446200")</f>
        <v>1446200</v>
      </c>
      <c r="F4562" t="s">
        <v>4550</v>
      </c>
    </row>
    <row r="4563" spans="1:6">
      <c r="A4563" t="s">
        <v>4265</v>
      </c>
      <c r="B4563" t="s">
        <v>385</v>
      </c>
      <c r="C4563" t="s">
        <v>208</v>
      </c>
    </row>
    <row r="4564" spans="1:6">
      <c r="A4564" t="s">
        <v>4265</v>
      </c>
      <c r="B4564" t="s">
        <v>386</v>
      </c>
      <c r="C4564" t="s">
        <v>387</v>
      </c>
      <c r="D4564" t="str">
        <f>HYPERLINK("http://service.sap.com/sap/support/notes/1451021","1451021")</f>
        <v>1451021</v>
      </c>
      <c r="F4564" t="s">
        <v>4551</v>
      </c>
    </row>
    <row r="4565" spans="1:6">
      <c r="A4565" t="s">
        <v>4265</v>
      </c>
      <c r="B4565" t="s">
        <v>386</v>
      </c>
      <c r="C4565" t="s">
        <v>387</v>
      </c>
      <c r="D4565" t="str">
        <f>HYPERLINK("http://service.sap.com/sap/support/notes/1464050","1464050")</f>
        <v>1464050</v>
      </c>
      <c r="F4565" t="s">
        <v>4552</v>
      </c>
    </row>
    <row r="4566" spans="1:6">
      <c r="A4566" t="s">
        <v>4265</v>
      </c>
      <c r="B4566" t="s">
        <v>386</v>
      </c>
      <c r="C4566" t="s">
        <v>387</v>
      </c>
      <c r="D4566" t="str">
        <f>HYPERLINK("http://service.sap.com/sap/support/notes/1472540","1472540")</f>
        <v>1472540</v>
      </c>
      <c r="F4566" t="s">
        <v>4553</v>
      </c>
    </row>
    <row r="4567" spans="1:6">
      <c r="A4567" t="s">
        <v>4265</v>
      </c>
      <c r="B4567" t="s">
        <v>386</v>
      </c>
      <c r="C4567" t="s">
        <v>387</v>
      </c>
      <c r="D4567" t="str">
        <f>HYPERLINK("http://service.sap.com/sap/support/notes/1473919","1473919")</f>
        <v>1473919</v>
      </c>
      <c r="F4567" t="s">
        <v>4554</v>
      </c>
    </row>
    <row r="4568" spans="1:6">
      <c r="A4568" t="s">
        <v>4265</v>
      </c>
      <c r="B4568" t="s">
        <v>386</v>
      </c>
      <c r="C4568" t="s">
        <v>387</v>
      </c>
      <c r="D4568" t="str">
        <f>HYPERLINK("http://service.sap.com/sap/support/notes/1475081","1475081")</f>
        <v>1475081</v>
      </c>
      <c r="F4568" t="s">
        <v>4555</v>
      </c>
    </row>
    <row r="4569" spans="1:6">
      <c r="A4569" t="s">
        <v>4265</v>
      </c>
      <c r="B4569" t="s">
        <v>386</v>
      </c>
      <c r="C4569" t="s">
        <v>387</v>
      </c>
      <c r="D4569" t="str">
        <f>HYPERLINK("http://service.sap.com/sap/support/notes/1483284","1483284")</f>
        <v>1483284</v>
      </c>
      <c r="F4569" t="s">
        <v>4556</v>
      </c>
    </row>
    <row r="4570" spans="1:6">
      <c r="A4570" t="s">
        <v>4265</v>
      </c>
      <c r="B4570" t="s">
        <v>391</v>
      </c>
      <c r="C4570" t="s">
        <v>392</v>
      </c>
      <c r="D4570" t="str">
        <f>HYPERLINK("http://service.sap.com/sap/support/notes/1480572","1480572")</f>
        <v>1480572</v>
      </c>
      <c r="F4570" t="s">
        <v>4557</v>
      </c>
    </row>
    <row r="4571" spans="1:6">
      <c r="A4571" t="s">
        <v>4265</v>
      </c>
      <c r="B4571" t="s">
        <v>391</v>
      </c>
      <c r="C4571" t="s">
        <v>392</v>
      </c>
      <c r="D4571" t="str">
        <f>HYPERLINK("http://service.sap.com/sap/support/notes/1487532","1487532")</f>
        <v>1487532</v>
      </c>
      <c r="F4571" t="s">
        <v>4558</v>
      </c>
    </row>
    <row r="4572" spans="1:6">
      <c r="A4572" t="s">
        <v>4265</v>
      </c>
      <c r="B4572" t="s">
        <v>391</v>
      </c>
      <c r="C4572" t="s">
        <v>392</v>
      </c>
      <c r="D4572" t="str">
        <f>HYPERLINK("http://service.sap.com/sap/support/notes/1488346","1488346")</f>
        <v>1488346</v>
      </c>
      <c r="F4572" t="s">
        <v>4559</v>
      </c>
    </row>
    <row r="4573" spans="1:6">
      <c r="A4573" t="s">
        <v>4265</v>
      </c>
      <c r="B4573" t="s">
        <v>401</v>
      </c>
      <c r="C4573" t="s">
        <v>402</v>
      </c>
      <c r="D4573" t="str">
        <f>HYPERLINK("http://service.sap.com/sap/support/notes/1147798","1147798")</f>
        <v>1147798</v>
      </c>
      <c r="F4573" t="s">
        <v>4560</v>
      </c>
    </row>
    <row r="4574" spans="1:6">
      <c r="A4574" t="s">
        <v>4265</v>
      </c>
      <c r="B4574" t="s">
        <v>401</v>
      </c>
      <c r="C4574" t="s">
        <v>402</v>
      </c>
      <c r="D4574" t="str">
        <f>HYPERLINK("http://service.sap.com/sap/support/notes/1475595","1475595")</f>
        <v>1475595</v>
      </c>
      <c r="F4574" t="s">
        <v>4561</v>
      </c>
    </row>
    <row r="4575" spans="1:6">
      <c r="A4575" t="s">
        <v>4265</v>
      </c>
      <c r="B4575" t="s">
        <v>401</v>
      </c>
      <c r="C4575" t="s">
        <v>402</v>
      </c>
      <c r="D4575" t="str">
        <f>HYPERLINK("http://service.sap.com/sap/support/notes/1484429","1484429")</f>
        <v>1484429</v>
      </c>
      <c r="F4575" t="s">
        <v>4562</v>
      </c>
    </row>
    <row r="4576" spans="1:6">
      <c r="A4576" t="s">
        <v>4265</v>
      </c>
      <c r="B4576" t="s">
        <v>401</v>
      </c>
      <c r="C4576" t="s">
        <v>402</v>
      </c>
      <c r="D4576" t="str">
        <f>HYPERLINK("http://service.sap.com/sap/support/notes/1488899","1488899")</f>
        <v>1488899</v>
      </c>
      <c r="F4576" t="s">
        <v>4563</v>
      </c>
    </row>
    <row r="4577" spans="1:6">
      <c r="A4577" t="s">
        <v>4265</v>
      </c>
      <c r="B4577" t="s">
        <v>410</v>
      </c>
      <c r="C4577" t="s">
        <v>411</v>
      </c>
      <c r="D4577" t="str">
        <f>HYPERLINK("http://service.sap.com/sap/support/notes/1379621","1379621")</f>
        <v>1379621</v>
      </c>
      <c r="F4577" t="s">
        <v>1218</v>
      </c>
    </row>
    <row r="4578" spans="1:6">
      <c r="A4578" t="s">
        <v>4265</v>
      </c>
      <c r="B4578" t="s">
        <v>410</v>
      </c>
      <c r="C4578" t="s">
        <v>411</v>
      </c>
      <c r="D4578" t="str">
        <f>HYPERLINK("http://service.sap.com/sap/support/notes/1422642","1422642")</f>
        <v>1422642</v>
      </c>
      <c r="F4578" t="s">
        <v>4564</v>
      </c>
    </row>
    <row r="4579" spans="1:6">
      <c r="A4579" t="s">
        <v>4265</v>
      </c>
      <c r="B4579" t="s">
        <v>410</v>
      </c>
      <c r="C4579" t="s">
        <v>411</v>
      </c>
      <c r="D4579" t="str">
        <f>HYPERLINK("http://service.sap.com/sap/support/notes/1436323","1436323")</f>
        <v>1436323</v>
      </c>
      <c r="F4579" t="s">
        <v>4565</v>
      </c>
    </row>
    <row r="4580" spans="1:6">
      <c r="A4580" t="s">
        <v>4265</v>
      </c>
      <c r="B4580" t="s">
        <v>410</v>
      </c>
      <c r="C4580" t="s">
        <v>411</v>
      </c>
      <c r="D4580" t="str">
        <f>HYPERLINK("http://service.sap.com/sap/support/notes/1438020","1438020")</f>
        <v>1438020</v>
      </c>
      <c r="F4580" t="s">
        <v>4566</v>
      </c>
    </row>
    <row r="4581" spans="1:6">
      <c r="A4581" t="s">
        <v>4265</v>
      </c>
      <c r="B4581" t="s">
        <v>410</v>
      </c>
      <c r="C4581" t="s">
        <v>411</v>
      </c>
      <c r="D4581" t="str">
        <f>HYPERLINK("http://service.sap.com/sap/support/notes/1463964","1463964")</f>
        <v>1463964</v>
      </c>
      <c r="F4581" t="s">
        <v>4567</v>
      </c>
    </row>
    <row r="4582" spans="1:6">
      <c r="A4582" t="s">
        <v>4265</v>
      </c>
      <c r="B4582" t="s">
        <v>410</v>
      </c>
      <c r="C4582" t="s">
        <v>411</v>
      </c>
      <c r="D4582" t="str">
        <f>HYPERLINK("http://service.sap.com/sap/support/notes/1472113","1472113")</f>
        <v>1472113</v>
      </c>
      <c r="F4582" t="s">
        <v>4568</v>
      </c>
    </row>
    <row r="4583" spans="1:6">
      <c r="A4583" t="s">
        <v>4265</v>
      </c>
      <c r="B4583" t="s">
        <v>410</v>
      </c>
      <c r="C4583" t="s">
        <v>411</v>
      </c>
      <c r="D4583" t="str">
        <f>HYPERLINK("http://service.sap.com/sap/support/notes/1474108","1474108")</f>
        <v>1474108</v>
      </c>
      <c r="F4583" t="s">
        <v>4569</v>
      </c>
    </row>
    <row r="4584" spans="1:6">
      <c r="A4584" t="s">
        <v>4265</v>
      </c>
      <c r="B4584" t="s">
        <v>410</v>
      </c>
      <c r="C4584" t="s">
        <v>411</v>
      </c>
      <c r="D4584" t="str">
        <f>HYPERLINK("http://service.sap.com/sap/support/notes/1475735","1475735")</f>
        <v>1475735</v>
      </c>
      <c r="F4584" t="s">
        <v>4570</v>
      </c>
    </row>
    <row r="4585" spans="1:6">
      <c r="A4585" t="s">
        <v>4265</v>
      </c>
      <c r="B4585" t="s">
        <v>410</v>
      </c>
      <c r="C4585" t="s">
        <v>411</v>
      </c>
      <c r="D4585" t="str">
        <f>HYPERLINK("http://service.sap.com/sap/support/notes/1478686","1478686")</f>
        <v>1478686</v>
      </c>
      <c r="F4585" t="s">
        <v>4571</v>
      </c>
    </row>
    <row r="4586" spans="1:6">
      <c r="A4586" t="s">
        <v>4265</v>
      </c>
      <c r="B4586" t="s">
        <v>410</v>
      </c>
      <c r="C4586" t="s">
        <v>411</v>
      </c>
      <c r="D4586" t="str">
        <f>HYPERLINK("http://service.sap.com/sap/support/notes/1478757","1478757")</f>
        <v>1478757</v>
      </c>
      <c r="F4586" t="s">
        <v>4572</v>
      </c>
    </row>
    <row r="4587" spans="1:6">
      <c r="A4587" t="s">
        <v>4265</v>
      </c>
      <c r="B4587" t="s">
        <v>410</v>
      </c>
      <c r="C4587" t="s">
        <v>411</v>
      </c>
      <c r="D4587" t="str">
        <f>HYPERLINK("http://service.sap.com/sap/support/notes/1480928","1480928")</f>
        <v>1480928</v>
      </c>
      <c r="F4587" t="s">
        <v>4573</v>
      </c>
    </row>
    <row r="4588" spans="1:6">
      <c r="A4588" t="s">
        <v>4265</v>
      </c>
      <c r="B4588" t="s">
        <v>410</v>
      </c>
      <c r="C4588" t="s">
        <v>411</v>
      </c>
      <c r="D4588" t="str">
        <f>HYPERLINK("http://service.sap.com/sap/support/notes/1481153","1481153")</f>
        <v>1481153</v>
      </c>
      <c r="F4588" t="s">
        <v>4574</v>
      </c>
    </row>
    <row r="4589" spans="1:6">
      <c r="A4589" t="s">
        <v>4265</v>
      </c>
      <c r="B4589" t="s">
        <v>410</v>
      </c>
      <c r="C4589" t="s">
        <v>411</v>
      </c>
      <c r="D4589" t="str">
        <f>HYPERLINK("http://service.sap.com/sap/support/notes/1481502","1481502")</f>
        <v>1481502</v>
      </c>
      <c r="F4589" t="s">
        <v>4575</v>
      </c>
    </row>
    <row r="4590" spans="1:6">
      <c r="A4590" t="s">
        <v>4265</v>
      </c>
      <c r="B4590" t="s">
        <v>410</v>
      </c>
      <c r="C4590" t="s">
        <v>411</v>
      </c>
      <c r="D4590" t="str">
        <f>HYPERLINK("http://service.sap.com/sap/support/notes/1483015","1483015")</f>
        <v>1483015</v>
      </c>
      <c r="F4590" t="s">
        <v>4576</v>
      </c>
    </row>
    <row r="4591" spans="1:6">
      <c r="A4591" t="s">
        <v>4265</v>
      </c>
      <c r="B4591" t="s">
        <v>410</v>
      </c>
      <c r="C4591" t="s">
        <v>411</v>
      </c>
      <c r="D4591" t="str">
        <f>HYPERLINK("http://service.sap.com/sap/support/notes/1483455","1483455")</f>
        <v>1483455</v>
      </c>
      <c r="F4591" t="s">
        <v>4577</v>
      </c>
    </row>
    <row r="4592" spans="1:6">
      <c r="A4592" t="s">
        <v>4265</v>
      </c>
      <c r="B4592" t="s">
        <v>410</v>
      </c>
      <c r="C4592" t="s">
        <v>411</v>
      </c>
      <c r="D4592" t="str">
        <f>HYPERLINK("http://service.sap.com/sap/support/notes/1485689","1485689")</f>
        <v>1485689</v>
      </c>
      <c r="F4592" t="s">
        <v>4578</v>
      </c>
    </row>
    <row r="4593" spans="1:6">
      <c r="A4593" t="s">
        <v>4265</v>
      </c>
      <c r="B4593" t="s">
        <v>410</v>
      </c>
      <c r="C4593" t="s">
        <v>411</v>
      </c>
      <c r="D4593" t="str">
        <f>HYPERLINK("http://service.sap.com/sap/support/notes/1486040","1486040")</f>
        <v>1486040</v>
      </c>
      <c r="F4593" t="s">
        <v>4579</v>
      </c>
    </row>
    <row r="4594" spans="1:6">
      <c r="A4594" t="s">
        <v>4265</v>
      </c>
      <c r="B4594" t="s">
        <v>410</v>
      </c>
      <c r="C4594" t="s">
        <v>411</v>
      </c>
      <c r="D4594" t="str">
        <f>HYPERLINK("http://service.sap.com/sap/support/notes/1490348","1490348")</f>
        <v>1490348</v>
      </c>
      <c r="F4594" t="s">
        <v>4580</v>
      </c>
    </row>
    <row r="4595" spans="1:6">
      <c r="A4595" t="s">
        <v>4265</v>
      </c>
      <c r="B4595" t="s">
        <v>424</v>
      </c>
      <c r="C4595" t="s">
        <v>425</v>
      </c>
      <c r="D4595" t="str">
        <f>HYPERLINK("http://service.sap.com/sap/support/notes/1469443","1469443")</f>
        <v>1469443</v>
      </c>
      <c r="F4595" t="s">
        <v>4581</v>
      </c>
    </row>
    <row r="4596" spans="1:6">
      <c r="A4596" t="s">
        <v>4265</v>
      </c>
      <c r="B4596" t="s">
        <v>424</v>
      </c>
      <c r="C4596" t="s">
        <v>425</v>
      </c>
      <c r="D4596" t="str">
        <f>HYPERLINK("http://service.sap.com/sap/support/notes/1476785","1476785")</f>
        <v>1476785</v>
      </c>
      <c r="F4596" t="s">
        <v>4582</v>
      </c>
    </row>
    <row r="4597" spans="1:6">
      <c r="A4597" t="s">
        <v>4265</v>
      </c>
      <c r="B4597" t="s">
        <v>424</v>
      </c>
      <c r="C4597" t="s">
        <v>425</v>
      </c>
      <c r="D4597" t="str">
        <f>HYPERLINK("http://service.sap.com/sap/support/notes/1480033","1480033")</f>
        <v>1480033</v>
      </c>
      <c r="F4597" t="s">
        <v>4583</v>
      </c>
    </row>
    <row r="4598" spans="1:6">
      <c r="A4598" t="s">
        <v>4265</v>
      </c>
      <c r="B4598" t="s">
        <v>424</v>
      </c>
      <c r="C4598" t="s">
        <v>425</v>
      </c>
      <c r="D4598" t="str">
        <f>HYPERLINK("http://service.sap.com/sap/support/notes/1482834","1482834")</f>
        <v>1482834</v>
      </c>
      <c r="F4598" t="s">
        <v>4584</v>
      </c>
    </row>
    <row r="4599" spans="1:6">
      <c r="A4599" t="s">
        <v>4265</v>
      </c>
      <c r="B4599" t="s">
        <v>424</v>
      </c>
      <c r="C4599" t="s">
        <v>425</v>
      </c>
      <c r="D4599" t="str">
        <f>HYPERLINK("http://service.sap.com/sap/support/notes/1488250","1488250")</f>
        <v>1488250</v>
      </c>
      <c r="F4599" t="s">
        <v>4585</v>
      </c>
    </row>
    <row r="4600" spans="1:6">
      <c r="A4600" t="s">
        <v>4265</v>
      </c>
      <c r="B4600" t="s">
        <v>441</v>
      </c>
      <c r="C4600" t="s">
        <v>442</v>
      </c>
      <c r="D4600" t="str">
        <f>HYPERLINK("http://service.sap.com/sap/support/notes/1294153","1294153")</f>
        <v>1294153</v>
      </c>
      <c r="F4600" t="s">
        <v>4586</v>
      </c>
    </row>
    <row r="4601" spans="1:6">
      <c r="A4601" t="s">
        <v>4265</v>
      </c>
      <c r="B4601" t="s">
        <v>441</v>
      </c>
      <c r="C4601" t="s">
        <v>442</v>
      </c>
      <c r="D4601" t="str">
        <f>HYPERLINK("http://service.sap.com/sap/support/notes/1462202","1462202")</f>
        <v>1462202</v>
      </c>
      <c r="F4601" t="s">
        <v>4587</v>
      </c>
    </row>
    <row r="4602" spans="1:6">
      <c r="A4602" t="s">
        <v>4265</v>
      </c>
      <c r="B4602" t="s">
        <v>441</v>
      </c>
      <c r="C4602" t="s">
        <v>442</v>
      </c>
      <c r="D4602" t="str">
        <f>HYPERLINK("http://service.sap.com/sap/support/notes/1478759","1478759")</f>
        <v>1478759</v>
      </c>
      <c r="F4602" t="s">
        <v>4588</v>
      </c>
    </row>
    <row r="4603" spans="1:6">
      <c r="A4603" t="s">
        <v>4265</v>
      </c>
      <c r="B4603" t="s">
        <v>441</v>
      </c>
      <c r="C4603" t="s">
        <v>442</v>
      </c>
      <c r="D4603" t="str">
        <f>HYPERLINK("http://service.sap.com/sap/support/notes/1481971","1481971")</f>
        <v>1481971</v>
      </c>
      <c r="F4603" t="s">
        <v>4589</v>
      </c>
    </row>
    <row r="4604" spans="1:6">
      <c r="A4604" t="s">
        <v>4265</v>
      </c>
      <c r="B4604" t="s">
        <v>441</v>
      </c>
      <c r="C4604" t="s">
        <v>442</v>
      </c>
      <c r="D4604" t="str">
        <f>HYPERLINK("http://service.sap.com/sap/support/notes/1484808","1484808")</f>
        <v>1484808</v>
      </c>
      <c r="F4604" t="s">
        <v>4590</v>
      </c>
    </row>
    <row r="4605" spans="1:6">
      <c r="A4605" t="s">
        <v>4265</v>
      </c>
      <c r="B4605" t="s">
        <v>441</v>
      </c>
      <c r="C4605" t="s">
        <v>442</v>
      </c>
      <c r="D4605" t="str">
        <f>HYPERLINK("http://service.sap.com/sap/support/notes/1484978","1484978")</f>
        <v>1484978</v>
      </c>
      <c r="F4605" t="s">
        <v>4591</v>
      </c>
    </row>
    <row r="4606" spans="1:6">
      <c r="A4606" t="s">
        <v>4265</v>
      </c>
      <c r="B4606" t="s">
        <v>441</v>
      </c>
      <c r="C4606" t="s">
        <v>442</v>
      </c>
      <c r="D4606" t="str">
        <f>HYPERLINK("http://service.sap.com/sap/support/notes/1485340","1485340")</f>
        <v>1485340</v>
      </c>
      <c r="F4606" t="s">
        <v>4592</v>
      </c>
    </row>
    <row r="4607" spans="1:6">
      <c r="A4607" t="s">
        <v>4265</v>
      </c>
      <c r="B4607" t="s">
        <v>441</v>
      </c>
      <c r="C4607" t="s">
        <v>442</v>
      </c>
      <c r="D4607" t="str">
        <f>HYPERLINK("http://service.sap.com/sap/support/notes/1488749","1488749")</f>
        <v>1488749</v>
      </c>
      <c r="F4607" t="s">
        <v>4593</v>
      </c>
    </row>
    <row r="4608" spans="1:6">
      <c r="A4608" t="s">
        <v>4265</v>
      </c>
      <c r="B4608" t="s">
        <v>1245</v>
      </c>
      <c r="C4608" t="s">
        <v>208</v>
      </c>
    </row>
    <row r="4609" spans="1:6">
      <c r="A4609" t="s">
        <v>4265</v>
      </c>
      <c r="B4609" t="s">
        <v>4594</v>
      </c>
      <c r="C4609" t="s">
        <v>4595</v>
      </c>
      <c r="D4609" t="str">
        <f>HYPERLINK("http://service.sap.com/sap/support/notes/1272315","1272315")</f>
        <v>1272315</v>
      </c>
      <c r="F4609" t="s">
        <v>4596</v>
      </c>
    </row>
    <row r="4610" spans="1:6">
      <c r="A4610" t="s">
        <v>4265</v>
      </c>
      <c r="B4610" t="s">
        <v>4594</v>
      </c>
      <c r="C4610" t="s">
        <v>4595</v>
      </c>
      <c r="D4610" t="str">
        <f>HYPERLINK("http://service.sap.com/sap/support/notes/1485650","1485650")</f>
        <v>1485650</v>
      </c>
      <c r="F4610" t="s">
        <v>4597</v>
      </c>
    </row>
    <row r="4611" spans="1:6">
      <c r="A4611" t="s">
        <v>4265</v>
      </c>
      <c r="B4611" t="s">
        <v>4598</v>
      </c>
      <c r="C4611" t="s">
        <v>4599</v>
      </c>
      <c r="D4611" t="str">
        <f>HYPERLINK("http://service.sap.com/sap/support/notes/1482148","1482148")</f>
        <v>1482148</v>
      </c>
      <c r="F4611" t="s">
        <v>4600</v>
      </c>
    </row>
    <row r="4612" spans="1:6">
      <c r="A4612" t="s">
        <v>4265</v>
      </c>
      <c r="B4612" t="s">
        <v>1247</v>
      </c>
      <c r="C4612" t="s">
        <v>87</v>
      </c>
      <c r="D4612" t="str">
        <f>HYPERLINK("http://service.sap.com/sap/support/notes/1481537","1481537")</f>
        <v>1481537</v>
      </c>
      <c r="F4612" t="s">
        <v>4601</v>
      </c>
    </row>
    <row r="4613" spans="1:6">
      <c r="A4613" t="s">
        <v>4265</v>
      </c>
      <c r="B4613" t="s">
        <v>1247</v>
      </c>
      <c r="C4613" t="s">
        <v>87</v>
      </c>
      <c r="D4613" t="str">
        <f>HYPERLINK("http://service.sap.com/sap/support/notes/1481538","1481538")</f>
        <v>1481538</v>
      </c>
      <c r="F4613" t="s">
        <v>4602</v>
      </c>
    </row>
    <row r="4614" spans="1:6">
      <c r="A4614" t="s">
        <v>4265</v>
      </c>
      <c r="B4614" t="s">
        <v>1247</v>
      </c>
      <c r="C4614" t="s">
        <v>87</v>
      </c>
      <c r="D4614" t="str">
        <f>HYPERLINK("http://service.sap.com/sap/support/notes/1482580","1482580")</f>
        <v>1482580</v>
      </c>
      <c r="F4614" t="s">
        <v>4603</v>
      </c>
    </row>
    <row r="4615" spans="1:6">
      <c r="A4615" t="s">
        <v>4265</v>
      </c>
      <c r="B4615" t="s">
        <v>1247</v>
      </c>
      <c r="C4615" t="s">
        <v>87</v>
      </c>
      <c r="D4615" t="str">
        <f>HYPERLINK("http://service.sap.com/sap/support/notes/1483831","1483831")</f>
        <v>1483831</v>
      </c>
      <c r="F4615" t="s">
        <v>4604</v>
      </c>
    </row>
    <row r="4616" spans="1:6">
      <c r="A4616" t="s">
        <v>4265</v>
      </c>
      <c r="B4616" t="s">
        <v>1247</v>
      </c>
      <c r="C4616" t="s">
        <v>87</v>
      </c>
      <c r="D4616" t="str">
        <f>HYPERLINK("http://service.sap.com/sap/support/notes/1488219","1488219")</f>
        <v>1488219</v>
      </c>
      <c r="F4616" t="s">
        <v>4605</v>
      </c>
    </row>
    <row r="4617" spans="1:6">
      <c r="A4617" t="s">
        <v>4265</v>
      </c>
      <c r="B4617" t="s">
        <v>450</v>
      </c>
      <c r="C4617" t="s">
        <v>451</v>
      </c>
      <c r="D4617" t="str">
        <f>HYPERLINK("http://service.sap.com/sap/support/notes/1120553","1120553")</f>
        <v>1120553</v>
      </c>
      <c r="F4617" t="s">
        <v>4606</v>
      </c>
    </row>
    <row r="4618" spans="1:6">
      <c r="A4618" t="s">
        <v>4265</v>
      </c>
      <c r="B4618" t="s">
        <v>450</v>
      </c>
      <c r="C4618" t="s">
        <v>451</v>
      </c>
      <c r="D4618" t="str">
        <f>HYPERLINK("http://service.sap.com/sap/support/notes/1346548","1346548")</f>
        <v>1346548</v>
      </c>
      <c r="F4618" t="s">
        <v>452</v>
      </c>
    </row>
    <row r="4619" spans="1:6">
      <c r="A4619" t="s">
        <v>4265</v>
      </c>
      <c r="B4619" t="s">
        <v>450</v>
      </c>
      <c r="C4619" t="s">
        <v>451</v>
      </c>
      <c r="D4619" t="str">
        <f>HYPERLINK("http://service.sap.com/sap/support/notes/1436920","1436920")</f>
        <v>1436920</v>
      </c>
      <c r="F4619" t="s">
        <v>4607</v>
      </c>
    </row>
    <row r="4620" spans="1:6">
      <c r="A4620" t="s">
        <v>4265</v>
      </c>
      <c r="B4620" t="s">
        <v>450</v>
      </c>
      <c r="C4620" t="s">
        <v>451</v>
      </c>
      <c r="D4620" t="str">
        <f>HYPERLINK("http://service.sap.com/sap/support/notes/1485621","1485621")</f>
        <v>1485621</v>
      </c>
      <c r="F4620" t="s">
        <v>4608</v>
      </c>
    </row>
    <row r="4621" spans="1:6">
      <c r="A4621" t="s">
        <v>4265</v>
      </c>
      <c r="B4621" t="s">
        <v>450</v>
      </c>
      <c r="C4621" t="s">
        <v>451</v>
      </c>
      <c r="D4621" t="str">
        <f>HYPERLINK("http://service.sap.com/sap/support/notes/1487390","1487390")</f>
        <v>1487390</v>
      </c>
      <c r="F4621" t="s">
        <v>4609</v>
      </c>
    </row>
    <row r="4622" spans="1:6">
      <c r="A4622" t="s">
        <v>4265</v>
      </c>
      <c r="B4622" t="s">
        <v>450</v>
      </c>
      <c r="C4622" t="s">
        <v>451</v>
      </c>
      <c r="D4622" t="str">
        <f>HYPERLINK("http://service.sap.com/sap/support/notes/1489647","1489647")</f>
        <v>1489647</v>
      </c>
      <c r="F4622" t="s">
        <v>4610</v>
      </c>
    </row>
    <row r="4623" spans="1:6">
      <c r="A4623" t="s">
        <v>4265</v>
      </c>
      <c r="B4623" t="s">
        <v>455</v>
      </c>
      <c r="C4623" t="s">
        <v>456</v>
      </c>
      <c r="D4623" t="str">
        <f>HYPERLINK("http://service.sap.com/sap/support/notes/1485644","1485644")</f>
        <v>1485644</v>
      </c>
      <c r="F4623" t="s">
        <v>4611</v>
      </c>
    </row>
    <row r="4624" spans="1:6">
      <c r="A4624" t="s">
        <v>4265</v>
      </c>
      <c r="B4624" t="s">
        <v>458</v>
      </c>
      <c r="C4624" t="s">
        <v>90</v>
      </c>
      <c r="D4624" t="str">
        <f>HYPERLINK("http://service.sap.com/sap/support/notes/1482073","1482073")</f>
        <v>1482073</v>
      </c>
      <c r="F4624" t="s">
        <v>4612</v>
      </c>
    </row>
    <row r="4625" spans="1:6">
      <c r="A4625" t="s">
        <v>4265</v>
      </c>
      <c r="B4625" t="s">
        <v>463</v>
      </c>
      <c r="C4625" t="s">
        <v>93</v>
      </c>
      <c r="D4625" t="str">
        <f>HYPERLINK("http://service.sap.com/sap/support/notes/1476222","1476222")</f>
        <v>1476222</v>
      </c>
      <c r="F4625" t="s">
        <v>4613</v>
      </c>
    </row>
    <row r="4626" spans="1:6">
      <c r="A4626" t="s">
        <v>4265</v>
      </c>
      <c r="B4626" t="s">
        <v>463</v>
      </c>
      <c r="C4626" t="s">
        <v>93</v>
      </c>
      <c r="D4626" t="str">
        <f>HYPERLINK("http://service.sap.com/sap/support/notes/1480811","1480811")</f>
        <v>1480811</v>
      </c>
      <c r="F4626" t="s">
        <v>4614</v>
      </c>
    </row>
    <row r="4627" spans="1:6">
      <c r="A4627" t="s">
        <v>4265</v>
      </c>
      <c r="B4627" t="s">
        <v>463</v>
      </c>
      <c r="C4627" t="s">
        <v>93</v>
      </c>
      <c r="D4627" t="str">
        <f>HYPERLINK("http://service.sap.com/sap/support/notes/1483273","1483273")</f>
        <v>1483273</v>
      </c>
      <c r="F4627" t="s">
        <v>4615</v>
      </c>
    </row>
    <row r="4628" spans="1:6">
      <c r="A4628" t="s">
        <v>4265</v>
      </c>
      <c r="B4628" t="s">
        <v>463</v>
      </c>
      <c r="C4628" t="s">
        <v>93</v>
      </c>
      <c r="D4628" t="str">
        <f>HYPERLINK("http://service.sap.com/sap/support/notes/1488960","1488960")</f>
        <v>1488960</v>
      </c>
      <c r="F4628" t="s">
        <v>4616</v>
      </c>
    </row>
    <row r="4629" spans="1:6">
      <c r="A4629" t="s">
        <v>4265</v>
      </c>
      <c r="B4629" t="s">
        <v>475</v>
      </c>
      <c r="C4629" t="s">
        <v>476</v>
      </c>
      <c r="D4629" t="str">
        <f>HYPERLINK("http://service.sap.com/sap/support/notes/1453280","1453280")</f>
        <v>1453280</v>
      </c>
      <c r="F4629" t="s">
        <v>4617</v>
      </c>
    </row>
    <row r="4630" spans="1:6">
      <c r="A4630" t="s">
        <v>4265</v>
      </c>
      <c r="B4630" t="s">
        <v>475</v>
      </c>
      <c r="C4630" t="s">
        <v>476</v>
      </c>
      <c r="D4630" t="str">
        <f>HYPERLINK("http://service.sap.com/sap/support/notes/1475754","1475754")</f>
        <v>1475754</v>
      </c>
      <c r="F4630" t="s">
        <v>4618</v>
      </c>
    </row>
    <row r="4631" spans="1:6">
      <c r="A4631" t="s">
        <v>4265</v>
      </c>
      <c r="B4631" t="s">
        <v>475</v>
      </c>
      <c r="C4631" t="s">
        <v>476</v>
      </c>
      <c r="D4631" t="str">
        <f>HYPERLINK("http://service.sap.com/sap/support/notes/1478894","1478894")</f>
        <v>1478894</v>
      </c>
      <c r="F4631" t="s">
        <v>4619</v>
      </c>
    </row>
    <row r="4632" spans="1:6">
      <c r="A4632" t="s">
        <v>4265</v>
      </c>
      <c r="B4632" t="s">
        <v>475</v>
      </c>
      <c r="C4632" t="s">
        <v>476</v>
      </c>
      <c r="D4632" t="str">
        <f>HYPERLINK("http://service.sap.com/sap/support/notes/1481035","1481035")</f>
        <v>1481035</v>
      </c>
      <c r="F4632" t="s">
        <v>4620</v>
      </c>
    </row>
    <row r="4633" spans="1:6">
      <c r="A4633" t="s">
        <v>4265</v>
      </c>
      <c r="B4633" t="s">
        <v>475</v>
      </c>
      <c r="C4633" t="s">
        <v>476</v>
      </c>
      <c r="D4633" t="str">
        <f>HYPERLINK("http://service.sap.com/sap/support/notes/1484079","1484079")</f>
        <v>1484079</v>
      </c>
      <c r="F4633" t="s">
        <v>4621</v>
      </c>
    </row>
    <row r="4634" spans="1:6">
      <c r="A4634" t="s">
        <v>4265</v>
      </c>
      <c r="B4634" t="s">
        <v>475</v>
      </c>
      <c r="C4634" t="s">
        <v>476</v>
      </c>
      <c r="D4634" t="str">
        <f>HYPERLINK("http://service.sap.com/sap/support/notes/1485647","1485647")</f>
        <v>1485647</v>
      </c>
      <c r="F4634" t="s">
        <v>4622</v>
      </c>
    </row>
    <row r="4635" spans="1:6">
      <c r="A4635" t="s">
        <v>4265</v>
      </c>
      <c r="B4635" t="s">
        <v>1272</v>
      </c>
      <c r="C4635" t="s">
        <v>2221</v>
      </c>
      <c r="D4635" t="str">
        <f>HYPERLINK("http://service.sap.com/sap/support/notes/1446979","1446979")</f>
        <v>1446979</v>
      </c>
      <c r="F4635" t="s">
        <v>4623</v>
      </c>
    </row>
    <row r="4636" spans="1:6">
      <c r="A4636" t="s">
        <v>4265</v>
      </c>
      <c r="B4636" t="s">
        <v>482</v>
      </c>
      <c r="C4636" t="s">
        <v>483</v>
      </c>
      <c r="D4636" t="str">
        <f>HYPERLINK("http://service.sap.com/sap/support/notes/808408","808408")</f>
        <v>808408</v>
      </c>
      <c r="F4636" t="s">
        <v>1857</v>
      </c>
    </row>
    <row r="4637" spans="1:6">
      <c r="A4637" t="s">
        <v>4265</v>
      </c>
      <c r="B4637" t="s">
        <v>482</v>
      </c>
      <c r="C4637" t="s">
        <v>483</v>
      </c>
      <c r="D4637" t="str">
        <f>HYPERLINK("http://service.sap.com/sap/support/notes/1468846","1468846")</f>
        <v>1468846</v>
      </c>
      <c r="F4637" t="s">
        <v>4624</v>
      </c>
    </row>
    <row r="4638" spans="1:6">
      <c r="A4638" t="s">
        <v>4265</v>
      </c>
      <c r="B4638" t="s">
        <v>482</v>
      </c>
      <c r="C4638" t="s">
        <v>483</v>
      </c>
      <c r="D4638" t="str">
        <f>HYPERLINK("http://service.sap.com/sap/support/notes/1477043","1477043")</f>
        <v>1477043</v>
      </c>
      <c r="F4638" t="s">
        <v>4625</v>
      </c>
    </row>
    <row r="4639" spans="1:6">
      <c r="A4639" t="s">
        <v>4265</v>
      </c>
      <c r="B4639" t="s">
        <v>482</v>
      </c>
      <c r="C4639" t="s">
        <v>483</v>
      </c>
      <c r="D4639" t="str">
        <f>HYPERLINK("http://service.sap.com/sap/support/notes/1480222","1480222")</f>
        <v>1480222</v>
      </c>
      <c r="F4639" t="s">
        <v>4626</v>
      </c>
    </row>
    <row r="4640" spans="1:6">
      <c r="A4640" t="s">
        <v>4265</v>
      </c>
      <c r="B4640" t="s">
        <v>482</v>
      </c>
      <c r="C4640" t="s">
        <v>483</v>
      </c>
      <c r="D4640" t="str">
        <f>HYPERLINK("http://service.sap.com/sap/support/notes/1488391","1488391")</f>
        <v>1488391</v>
      </c>
      <c r="F4640" t="s">
        <v>4627</v>
      </c>
    </row>
    <row r="4641" spans="1:6">
      <c r="A4641" t="s">
        <v>4265</v>
      </c>
      <c r="B4641" t="s">
        <v>2227</v>
      </c>
      <c r="C4641" t="s">
        <v>2228</v>
      </c>
      <c r="D4641" t="str">
        <f>HYPERLINK("http://service.sap.com/sap/support/notes/1480154","1480154")</f>
        <v>1480154</v>
      </c>
      <c r="F4641" t="s">
        <v>4628</v>
      </c>
    </row>
    <row r="4642" spans="1:6">
      <c r="A4642" t="s">
        <v>4265</v>
      </c>
      <c r="B4642" t="s">
        <v>485</v>
      </c>
      <c r="C4642" t="s">
        <v>486</v>
      </c>
      <c r="D4642" t="str">
        <f>HYPERLINK("http://service.sap.com/sap/support/notes/1060820","1060820")</f>
        <v>1060820</v>
      </c>
      <c r="F4642" t="s">
        <v>4220</v>
      </c>
    </row>
    <row r="4643" spans="1:6">
      <c r="A4643" t="s">
        <v>4265</v>
      </c>
      <c r="B4643" t="s">
        <v>485</v>
      </c>
      <c r="C4643" t="s">
        <v>486</v>
      </c>
      <c r="D4643" t="str">
        <f>HYPERLINK("http://service.sap.com/sap/support/notes/1445369","1445369")</f>
        <v>1445369</v>
      </c>
      <c r="F4643" t="s">
        <v>4629</v>
      </c>
    </row>
    <row r="4644" spans="1:6">
      <c r="A4644" t="s">
        <v>4265</v>
      </c>
      <c r="B4644" t="s">
        <v>485</v>
      </c>
      <c r="C4644" t="s">
        <v>486</v>
      </c>
      <c r="D4644" t="str">
        <f>HYPERLINK("http://service.sap.com/sap/support/notes/1479981","1479981")</f>
        <v>1479981</v>
      </c>
      <c r="F4644" t="s">
        <v>4630</v>
      </c>
    </row>
    <row r="4645" spans="1:6">
      <c r="A4645" t="s">
        <v>4265</v>
      </c>
      <c r="B4645" t="s">
        <v>485</v>
      </c>
      <c r="C4645" t="s">
        <v>486</v>
      </c>
      <c r="D4645" t="str">
        <f>HYPERLINK("http://service.sap.com/sap/support/notes/1480277","1480277")</f>
        <v>1480277</v>
      </c>
      <c r="F4645" t="s">
        <v>4631</v>
      </c>
    </row>
    <row r="4646" spans="1:6">
      <c r="A4646" t="s">
        <v>4265</v>
      </c>
      <c r="B4646" t="s">
        <v>485</v>
      </c>
      <c r="C4646" t="s">
        <v>486</v>
      </c>
      <c r="D4646" t="str">
        <f>HYPERLINK("http://service.sap.com/sap/support/notes/1480500","1480500")</f>
        <v>1480500</v>
      </c>
      <c r="F4646" t="s">
        <v>4632</v>
      </c>
    </row>
    <row r="4647" spans="1:6">
      <c r="A4647" t="s">
        <v>4265</v>
      </c>
      <c r="B4647" t="s">
        <v>485</v>
      </c>
      <c r="C4647" t="s">
        <v>486</v>
      </c>
      <c r="D4647" t="str">
        <f>HYPERLINK("http://service.sap.com/sap/support/notes/1480545","1480545")</f>
        <v>1480545</v>
      </c>
      <c r="F4647" t="s">
        <v>4633</v>
      </c>
    </row>
    <row r="4648" spans="1:6">
      <c r="A4648" t="s">
        <v>4265</v>
      </c>
      <c r="B4648" t="s">
        <v>485</v>
      </c>
      <c r="C4648" t="s">
        <v>486</v>
      </c>
      <c r="D4648" t="str">
        <f>HYPERLINK("http://service.sap.com/sap/support/notes/1480922","1480922")</f>
        <v>1480922</v>
      </c>
      <c r="F4648" t="s">
        <v>4634</v>
      </c>
    </row>
    <row r="4649" spans="1:6">
      <c r="A4649" t="s">
        <v>4265</v>
      </c>
      <c r="B4649" t="s">
        <v>485</v>
      </c>
      <c r="C4649" t="s">
        <v>486</v>
      </c>
      <c r="D4649" t="str">
        <f>HYPERLINK("http://service.sap.com/sap/support/notes/1482427","1482427")</f>
        <v>1482427</v>
      </c>
      <c r="F4649" t="s">
        <v>4635</v>
      </c>
    </row>
    <row r="4650" spans="1:6">
      <c r="A4650" t="s">
        <v>4265</v>
      </c>
      <c r="B4650" t="s">
        <v>485</v>
      </c>
      <c r="C4650" t="s">
        <v>486</v>
      </c>
      <c r="D4650" t="str">
        <f>HYPERLINK("http://service.sap.com/sap/support/notes/1482483","1482483")</f>
        <v>1482483</v>
      </c>
      <c r="F4650" t="s">
        <v>4636</v>
      </c>
    </row>
    <row r="4651" spans="1:6">
      <c r="A4651" t="s">
        <v>4265</v>
      </c>
      <c r="B4651" t="s">
        <v>485</v>
      </c>
      <c r="C4651" t="s">
        <v>486</v>
      </c>
      <c r="D4651" t="str">
        <f>HYPERLINK("http://service.sap.com/sap/support/notes/1482840","1482840")</f>
        <v>1482840</v>
      </c>
      <c r="F4651" t="s">
        <v>4637</v>
      </c>
    </row>
    <row r="4652" spans="1:6">
      <c r="A4652" t="s">
        <v>4265</v>
      </c>
      <c r="B4652" t="s">
        <v>485</v>
      </c>
      <c r="C4652" t="s">
        <v>486</v>
      </c>
      <c r="D4652" t="str">
        <f>HYPERLINK("http://service.sap.com/sap/support/notes/1482922","1482922")</f>
        <v>1482922</v>
      </c>
      <c r="F4652" t="s">
        <v>4638</v>
      </c>
    </row>
    <row r="4653" spans="1:6">
      <c r="A4653" t="s">
        <v>4265</v>
      </c>
      <c r="B4653" t="s">
        <v>485</v>
      </c>
      <c r="C4653" t="s">
        <v>486</v>
      </c>
      <c r="D4653" t="str">
        <f>HYPERLINK("http://service.sap.com/sap/support/notes/1482923","1482923")</f>
        <v>1482923</v>
      </c>
      <c r="F4653" t="s">
        <v>4639</v>
      </c>
    </row>
    <row r="4654" spans="1:6">
      <c r="A4654" t="s">
        <v>4265</v>
      </c>
      <c r="B4654" t="s">
        <v>485</v>
      </c>
      <c r="C4654" t="s">
        <v>486</v>
      </c>
      <c r="D4654" t="str">
        <f>HYPERLINK("http://service.sap.com/sap/support/notes/1483241","1483241")</f>
        <v>1483241</v>
      </c>
      <c r="F4654" t="s">
        <v>4640</v>
      </c>
    </row>
    <row r="4655" spans="1:6">
      <c r="A4655" t="s">
        <v>4265</v>
      </c>
      <c r="B4655" t="s">
        <v>485</v>
      </c>
      <c r="C4655" t="s">
        <v>486</v>
      </c>
      <c r="D4655" t="str">
        <f>HYPERLINK("http://service.sap.com/sap/support/notes/1483316","1483316")</f>
        <v>1483316</v>
      </c>
      <c r="F4655" t="s">
        <v>4641</v>
      </c>
    </row>
    <row r="4656" spans="1:6">
      <c r="A4656" t="s">
        <v>4265</v>
      </c>
      <c r="B4656" t="s">
        <v>485</v>
      </c>
      <c r="C4656" t="s">
        <v>486</v>
      </c>
      <c r="D4656" t="str">
        <f>HYPERLINK("http://service.sap.com/sap/support/notes/1483384","1483384")</f>
        <v>1483384</v>
      </c>
      <c r="F4656" t="s">
        <v>4642</v>
      </c>
    </row>
    <row r="4657" spans="1:6">
      <c r="A4657" t="s">
        <v>4265</v>
      </c>
      <c r="B4657" t="s">
        <v>485</v>
      </c>
      <c r="C4657" t="s">
        <v>486</v>
      </c>
      <c r="D4657" t="str">
        <f>HYPERLINK("http://service.sap.com/sap/support/notes/1483817","1483817")</f>
        <v>1483817</v>
      </c>
      <c r="F4657" t="s">
        <v>4643</v>
      </c>
    </row>
    <row r="4658" spans="1:6">
      <c r="A4658" t="s">
        <v>4265</v>
      </c>
      <c r="B4658" t="s">
        <v>485</v>
      </c>
      <c r="C4658" t="s">
        <v>486</v>
      </c>
      <c r="D4658" t="str">
        <f>HYPERLINK("http://service.sap.com/sap/support/notes/1483822","1483822")</f>
        <v>1483822</v>
      </c>
      <c r="F4658" t="s">
        <v>4644</v>
      </c>
    </row>
    <row r="4659" spans="1:6">
      <c r="A4659" t="s">
        <v>4265</v>
      </c>
      <c r="B4659" t="s">
        <v>485</v>
      </c>
      <c r="C4659" t="s">
        <v>486</v>
      </c>
      <c r="D4659" t="str">
        <f>HYPERLINK("http://service.sap.com/sap/support/notes/1484643","1484643")</f>
        <v>1484643</v>
      </c>
      <c r="F4659" t="s">
        <v>4645</v>
      </c>
    </row>
    <row r="4660" spans="1:6">
      <c r="A4660" t="s">
        <v>4265</v>
      </c>
      <c r="B4660" t="s">
        <v>485</v>
      </c>
      <c r="C4660" t="s">
        <v>486</v>
      </c>
      <c r="D4660" t="str">
        <f>HYPERLINK("http://service.sap.com/sap/support/notes/1484648","1484648")</f>
        <v>1484648</v>
      </c>
      <c r="F4660" t="s">
        <v>4646</v>
      </c>
    </row>
    <row r="4661" spans="1:6">
      <c r="A4661" t="s">
        <v>4265</v>
      </c>
      <c r="B4661" t="s">
        <v>485</v>
      </c>
      <c r="C4661" t="s">
        <v>486</v>
      </c>
      <c r="D4661" t="str">
        <f>HYPERLINK("http://service.sap.com/sap/support/notes/1484651","1484651")</f>
        <v>1484651</v>
      </c>
      <c r="F4661" t="s">
        <v>4647</v>
      </c>
    </row>
    <row r="4662" spans="1:6">
      <c r="A4662" t="s">
        <v>4265</v>
      </c>
      <c r="B4662" t="s">
        <v>485</v>
      </c>
      <c r="C4662" t="s">
        <v>486</v>
      </c>
      <c r="D4662" t="str">
        <f>HYPERLINK("http://service.sap.com/sap/support/notes/1485157","1485157")</f>
        <v>1485157</v>
      </c>
      <c r="F4662" t="s">
        <v>4648</v>
      </c>
    </row>
    <row r="4663" spans="1:6">
      <c r="A4663" t="s">
        <v>4265</v>
      </c>
      <c r="B4663" t="s">
        <v>485</v>
      </c>
      <c r="C4663" t="s">
        <v>486</v>
      </c>
      <c r="D4663" t="str">
        <f>HYPERLINK("http://service.sap.com/sap/support/notes/1489077","1489077")</f>
        <v>1489077</v>
      </c>
      <c r="F4663" t="s">
        <v>4649</v>
      </c>
    </row>
    <row r="4664" spans="1:6">
      <c r="A4664" t="s">
        <v>4265</v>
      </c>
      <c r="B4664" t="s">
        <v>485</v>
      </c>
      <c r="C4664" t="s">
        <v>486</v>
      </c>
      <c r="D4664" t="str">
        <f>HYPERLINK("http://service.sap.com/sap/support/notes/1489205","1489205")</f>
        <v>1489205</v>
      </c>
      <c r="F4664" t="s">
        <v>4650</v>
      </c>
    </row>
    <row r="4665" spans="1:6">
      <c r="A4665" t="s">
        <v>4265</v>
      </c>
      <c r="B4665" t="s">
        <v>485</v>
      </c>
      <c r="C4665" t="s">
        <v>486</v>
      </c>
      <c r="D4665" t="str">
        <f>HYPERLINK("http://service.sap.com/sap/support/notes/1490814","1490814")</f>
        <v>1490814</v>
      </c>
      <c r="F4665" t="s">
        <v>4651</v>
      </c>
    </row>
    <row r="4666" spans="1:6">
      <c r="A4666" t="s">
        <v>4265</v>
      </c>
      <c r="B4666" t="s">
        <v>489</v>
      </c>
      <c r="C4666" t="s">
        <v>490</v>
      </c>
      <c r="D4666" t="str">
        <f>HYPERLINK("http://service.sap.com/sap/support/notes/1334526","1334526")</f>
        <v>1334526</v>
      </c>
      <c r="F4666" t="s">
        <v>4652</v>
      </c>
    </row>
    <row r="4667" spans="1:6">
      <c r="A4667" t="s">
        <v>4265</v>
      </c>
      <c r="B4667" t="s">
        <v>489</v>
      </c>
      <c r="C4667" t="s">
        <v>490</v>
      </c>
      <c r="D4667" t="str">
        <f>HYPERLINK("http://service.sap.com/sap/support/notes/1371972","1371972")</f>
        <v>1371972</v>
      </c>
      <c r="F4667" t="s">
        <v>4653</v>
      </c>
    </row>
    <row r="4668" spans="1:6">
      <c r="A4668" t="s">
        <v>4265</v>
      </c>
      <c r="B4668" t="s">
        <v>489</v>
      </c>
      <c r="C4668" t="s">
        <v>490</v>
      </c>
      <c r="D4668" t="str">
        <f>HYPERLINK("http://service.sap.com/sap/support/notes/1422266","1422266")</f>
        <v>1422266</v>
      </c>
      <c r="F4668" t="s">
        <v>4654</v>
      </c>
    </row>
    <row r="4669" spans="1:6">
      <c r="A4669" t="s">
        <v>4265</v>
      </c>
      <c r="B4669" t="s">
        <v>489</v>
      </c>
      <c r="C4669" t="s">
        <v>490</v>
      </c>
      <c r="D4669" t="str">
        <f>HYPERLINK("http://service.sap.com/sap/support/notes/1472479","1472479")</f>
        <v>1472479</v>
      </c>
      <c r="F4669" t="s">
        <v>4655</v>
      </c>
    </row>
    <row r="4670" spans="1:6">
      <c r="A4670" t="s">
        <v>4265</v>
      </c>
      <c r="B4670" t="s">
        <v>489</v>
      </c>
      <c r="C4670" t="s">
        <v>490</v>
      </c>
      <c r="D4670" t="str">
        <f>HYPERLINK("http://service.sap.com/sap/support/notes/1478149","1478149")</f>
        <v>1478149</v>
      </c>
      <c r="F4670" t="s">
        <v>4656</v>
      </c>
    </row>
    <row r="4671" spans="1:6">
      <c r="A4671" t="s">
        <v>4265</v>
      </c>
      <c r="B4671" t="s">
        <v>492</v>
      </c>
      <c r="C4671" t="s">
        <v>493</v>
      </c>
      <c r="D4671" t="str">
        <f>HYPERLINK("http://service.sap.com/sap/support/notes/1479102","1479102")</f>
        <v>1479102</v>
      </c>
      <c r="F4671" t="s">
        <v>4657</v>
      </c>
    </row>
    <row r="4672" spans="1:6">
      <c r="A4672" t="s">
        <v>4265</v>
      </c>
      <c r="B4672" t="s">
        <v>492</v>
      </c>
      <c r="C4672" t="s">
        <v>493</v>
      </c>
      <c r="D4672" t="str">
        <f>HYPERLINK("http://service.sap.com/sap/support/notes/1479275","1479275")</f>
        <v>1479275</v>
      </c>
      <c r="F4672" t="s">
        <v>4658</v>
      </c>
    </row>
    <row r="4673" spans="1:6">
      <c r="A4673" t="s">
        <v>4265</v>
      </c>
      <c r="B4673" t="s">
        <v>492</v>
      </c>
      <c r="C4673" t="s">
        <v>493</v>
      </c>
      <c r="D4673" t="str">
        <f>HYPERLINK("http://service.sap.com/sap/support/notes/1483541","1483541")</f>
        <v>1483541</v>
      </c>
      <c r="F4673" t="s">
        <v>4659</v>
      </c>
    </row>
    <row r="4674" spans="1:6">
      <c r="A4674" t="s">
        <v>4265</v>
      </c>
      <c r="B4674" t="s">
        <v>492</v>
      </c>
      <c r="C4674" t="s">
        <v>493</v>
      </c>
      <c r="D4674" t="str">
        <f>HYPERLINK("http://service.sap.com/sap/support/notes/1484012","1484012")</f>
        <v>1484012</v>
      </c>
      <c r="F4674" t="s">
        <v>4660</v>
      </c>
    </row>
    <row r="4675" spans="1:6">
      <c r="A4675" t="s">
        <v>4265</v>
      </c>
      <c r="B4675" t="s">
        <v>492</v>
      </c>
      <c r="C4675" t="s">
        <v>493</v>
      </c>
      <c r="D4675" t="str">
        <f>HYPERLINK("http://service.sap.com/sap/support/notes/1488894","1488894")</f>
        <v>1488894</v>
      </c>
      <c r="F4675" t="s">
        <v>4661</v>
      </c>
    </row>
    <row r="4676" spans="1:6">
      <c r="A4676" t="s">
        <v>4265</v>
      </c>
      <c r="B4676" t="s">
        <v>492</v>
      </c>
      <c r="C4676" t="s">
        <v>493</v>
      </c>
      <c r="D4676" t="str">
        <f>HYPERLINK("http://service.sap.com/sap/support/notes/1489280","1489280")</f>
        <v>1489280</v>
      </c>
      <c r="F4676" t="s">
        <v>4662</v>
      </c>
    </row>
    <row r="4677" spans="1:6">
      <c r="A4677" t="s">
        <v>4265</v>
      </c>
      <c r="B4677" t="s">
        <v>492</v>
      </c>
      <c r="C4677" t="s">
        <v>493</v>
      </c>
      <c r="D4677" t="str">
        <f>HYPERLINK("http://service.sap.com/sap/support/notes/1490330","1490330")</f>
        <v>1490330</v>
      </c>
      <c r="F4677" t="s">
        <v>4663</v>
      </c>
    </row>
    <row r="4678" spans="1:6">
      <c r="A4678" t="s">
        <v>4265</v>
      </c>
      <c r="B4678" t="s">
        <v>500</v>
      </c>
      <c r="C4678" t="s">
        <v>501</v>
      </c>
      <c r="D4678" t="str">
        <f>HYPERLINK("http://service.sap.com/sap/support/notes/1412908","1412908")</f>
        <v>1412908</v>
      </c>
      <c r="F4678" t="s">
        <v>4664</v>
      </c>
    </row>
    <row r="4679" spans="1:6">
      <c r="A4679" t="s">
        <v>4265</v>
      </c>
      <c r="B4679" t="s">
        <v>500</v>
      </c>
      <c r="C4679" t="s">
        <v>501</v>
      </c>
      <c r="D4679" t="str">
        <f>HYPERLINK("http://service.sap.com/sap/support/notes/1480699","1480699")</f>
        <v>1480699</v>
      </c>
      <c r="F4679" t="s">
        <v>4665</v>
      </c>
    </row>
    <row r="4680" spans="1:6">
      <c r="A4680" t="s">
        <v>4265</v>
      </c>
      <c r="B4680" t="s">
        <v>500</v>
      </c>
      <c r="C4680" t="s">
        <v>501</v>
      </c>
      <c r="D4680" t="str">
        <f>HYPERLINK("http://service.sap.com/sap/support/notes/1481402","1481402")</f>
        <v>1481402</v>
      </c>
      <c r="F4680" t="s">
        <v>4666</v>
      </c>
    </row>
    <row r="4681" spans="1:6">
      <c r="A4681" t="s">
        <v>4265</v>
      </c>
      <c r="B4681" t="s">
        <v>500</v>
      </c>
      <c r="C4681" t="s">
        <v>501</v>
      </c>
      <c r="D4681" t="str">
        <f>HYPERLINK("http://service.sap.com/sap/support/notes/1481507","1481507")</f>
        <v>1481507</v>
      </c>
      <c r="F4681" t="s">
        <v>4667</v>
      </c>
    </row>
    <row r="4682" spans="1:6">
      <c r="A4682" t="s">
        <v>4265</v>
      </c>
      <c r="B4682" t="s">
        <v>500</v>
      </c>
      <c r="C4682" t="s">
        <v>501</v>
      </c>
      <c r="D4682" t="str">
        <f>HYPERLINK("http://service.sap.com/sap/support/notes/1484008","1484008")</f>
        <v>1484008</v>
      </c>
      <c r="F4682" t="s">
        <v>4668</v>
      </c>
    </row>
    <row r="4683" spans="1:6">
      <c r="A4683" t="s">
        <v>4265</v>
      </c>
      <c r="B4683" t="s">
        <v>500</v>
      </c>
      <c r="C4683" t="s">
        <v>501</v>
      </c>
      <c r="D4683" t="str">
        <f>HYPERLINK("http://service.sap.com/sap/support/notes/1486037","1486037")</f>
        <v>1486037</v>
      </c>
      <c r="F4683" t="s">
        <v>4669</v>
      </c>
    </row>
    <row r="4684" spans="1:6">
      <c r="A4684" t="s">
        <v>4265</v>
      </c>
      <c r="B4684" t="s">
        <v>504</v>
      </c>
      <c r="C4684" t="s">
        <v>110</v>
      </c>
      <c r="D4684" t="str">
        <f>HYPERLINK("http://service.sap.com/sap/support/notes/1476703","1476703")</f>
        <v>1476703</v>
      </c>
      <c r="F4684" t="s">
        <v>4670</v>
      </c>
    </row>
    <row r="4685" spans="1:6">
      <c r="A4685" t="s">
        <v>4265</v>
      </c>
      <c r="B4685" t="s">
        <v>504</v>
      </c>
      <c r="C4685" t="s">
        <v>110</v>
      </c>
      <c r="D4685" t="str">
        <f>HYPERLINK("http://service.sap.com/sap/support/notes/1485245","1485245")</f>
        <v>1485245</v>
      </c>
      <c r="F4685" t="s">
        <v>4671</v>
      </c>
    </row>
    <row r="4686" spans="1:6">
      <c r="A4686" t="s">
        <v>4265</v>
      </c>
      <c r="B4686" t="s">
        <v>1311</v>
      </c>
      <c r="C4686" t="s">
        <v>189</v>
      </c>
      <c r="D4686" t="str">
        <f>HYPERLINK("http://service.sap.com/sap/support/notes/1486153","1486153")</f>
        <v>1486153</v>
      </c>
      <c r="F4686" t="s">
        <v>4672</v>
      </c>
    </row>
    <row r="4687" spans="1:6">
      <c r="A4687" t="s">
        <v>4265</v>
      </c>
      <c r="B4687" t="s">
        <v>513</v>
      </c>
      <c r="C4687" t="s">
        <v>514</v>
      </c>
      <c r="D4687" t="str">
        <f>HYPERLINK("http://service.sap.com/sap/support/notes/1338383","1338383")</f>
        <v>1338383</v>
      </c>
      <c r="F4687" t="s">
        <v>4673</v>
      </c>
    </row>
    <row r="4688" spans="1:6">
      <c r="A4688" t="s">
        <v>4265</v>
      </c>
      <c r="B4688" t="s">
        <v>519</v>
      </c>
      <c r="C4688" t="s">
        <v>117</v>
      </c>
      <c r="D4688" t="str">
        <f>HYPERLINK("http://service.sap.com/sap/support/notes/1452155","1452155")</f>
        <v>1452155</v>
      </c>
      <c r="F4688" t="s">
        <v>4674</v>
      </c>
    </row>
    <row r="4689" spans="1:6">
      <c r="A4689" t="s">
        <v>4265</v>
      </c>
      <c r="B4689" t="s">
        <v>519</v>
      </c>
      <c r="C4689" t="s">
        <v>117</v>
      </c>
      <c r="D4689" t="str">
        <f>HYPERLINK("http://service.sap.com/sap/support/notes/1484278","1484278")</f>
        <v>1484278</v>
      </c>
      <c r="F4689" t="s">
        <v>4675</v>
      </c>
    </row>
    <row r="4690" spans="1:6">
      <c r="A4690" t="s">
        <v>4265</v>
      </c>
      <c r="B4690" t="s">
        <v>519</v>
      </c>
      <c r="C4690" t="s">
        <v>117</v>
      </c>
      <c r="D4690" t="str">
        <f>HYPERLINK("http://service.sap.com/sap/support/notes/1489550","1489550")</f>
        <v>1489550</v>
      </c>
      <c r="F4690" t="s">
        <v>4676</v>
      </c>
    </row>
    <row r="4691" spans="1:6">
      <c r="A4691" t="s">
        <v>4265</v>
      </c>
      <c r="B4691" t="s">
        <v>4677</v>
      </c>
      <c r="C4691" t="s">
        <v>4678</v>
      </c>
      <c r="D4691" t="str">
        <f>HYPERLINK("http://service.sap.com/sap/support/notes/1476490","1476490")</f>
        <v>1476490</v>
      </c>
      <c r="F4691" t="s">
        <v>4679</v>
      </c>
    </row>
    <row r="4692" spans="1:6">
      <c r="A4692" t="s">
        <v>4265</v>
      </c>
      <c r="B4692" t="s">
        <v>520</v>
      </c>
      <c r="C4692" t="s">
        <v>239</v>
      </c>
    </row>
    <row r="4693" spans="1:6">
      <c r="A4693" t="s">
        <v>4265</v>
      </c>
      <c r="B4693" t="s">
        <v>521</v>
      </c>
      <c r="C4693" t="s">
        <v>522</v>
      </c>
      <c r="D4693" t="str">
        <f>HYPERLINK("http://service.sap.com/sap/support/notes/1431896","1431896")</f>
        <v>1431896</v>
      </c>
      <c r="F4693" t="s">
        <v>4680</v>
      </c>
    </row>
    <row r="4694" spans="1:6">
      <c r="A4694" t="s">
        <v>4265</v>
      </c>
      <c r="B4694" t="s">
        <v>529</v>
      </c>
      <c r="C4694" t="s">
        <v>530</v>
      </c>
      <c r="D4694" t="str">
        <f>HYPERLINK("http://service.sap.com/sap/support/notes/1481849","1481849")</f>
        <v>1481849</v>
      </c>
      <c r="F4694" t="s">
        <v>4681</v>
      </c>
    </row>
    <row r="4695" spans="1:6">
      <c r="A4695" t="s">
        <v>4265</v>
      </c>
      <c r="B4695" t="s">
        <v>529</v>
      </c>
      <c r="C4695" t="s">
        <v>530</v>
      </c>
      <c r="D4695" t="str">
        <f>HYPERLINK("http://service.sap.com/sap/support/notes/1482456","1482456")</f>
        <v>1482456</v>
      </c>
      <c r="F4695" t="s">
        <v>4682</v>
      </c>
    </row>
    <row r="4696" spans="1:6">
      <c r="A4696" t="s">
        <v>4265</v>
      </c>
      <c r="B4696" t="s">
        <v>529</v>
      </c>
      <c r="C4696" t="s">
        <v>530</v>
      </c>
      <c r="D4696" t="str">
        <f>HYPERLINK("http://service.sap.com/sap/support/notes/1485620","1485620")</f>
        <v>1485620</v>
      </c>
      <c r="F4696" t="s">
        <v>4683</v>
      </c>
    </row>
    <row r="4697" spans="1:6">
      <c r="A4697" t="s">
        <v>4265</v>
      </c>
      <c r="B4697" t="s">
        <v>533</v>
      </c>
      <c r="C4697" t="s">
        <v>534</v>
      </c>
      <c r="D4697" t="str">
        <f>HYPERLINK("http://service.sap.com/sap/support/notes/1456419","1456419")</f>
        <v>1456419</v>
      </c>
      <c r="F4697" t="s">
        <v>4684</v>
      </c>
    </row>
    <row r="4698" spans="1:6">
      <c r="A4698" t="s">
        <v>4265</v>
      </c>
      <c r="B4698" t="s">
        <v>533</v>
      </c>
      <c r="C4698" t="s">
        <v>534</v>
      </c>
      <c r="D4698" t="str">
        <f>HYPERLINK("http://service.sap.com/sap/support/notes/1468750","1468750")</f>
        <v>1468750</v>
      </c>
      <c r="F4698" t="s">
        <v>4685</v>
      </c>
    </row>
    <row r="4699" spans="1:6">
      <c r="A4699" t="s">
        <v>4265</v>
      </c>
      <c r="B4699" t="s">
        <v>533</v>
      </c>
      <c r="C4699" t="s">
        <v>534</v>
      </c>
      <c r="D4699" t="str">
        <f>HYPERLINK("http://service.sap.com/sap/support/notes/1474956","1474956")</f>
        <v>1474956</v>
      </c>
      <c r="F4699" t="s">
        <v>4686</v>
      </c>
    </row>
    <row r="4700" spans="1:6">
      <c r="A4700" t="s">
        <v>4265</v>
      </c>
      <c r="B4700" t="s">
        <v>533</v>
      </c>
      <c r="C4700" t="s">
        <v>534</v>
      </c>
      <c r="D4700" t="str">
        <f>HYPERLINK("http://service.sap.com/sap/support/notes/1483395","1483395")</f>
        <v>1483395</v>
      </c>
      <c r="F4700" t="s">
        <v>4687</v>
      </c>
    </row>
    <row r="4701" spans="1:6">
      <c r="A4701" t="s">
        <v>4265</v>
      </c>
      <c r="B4701" t="s">
        <v>533</v>
      </c>
      <c r="C4701" t="s">
        <v>534</v>
      </c>
      <c r="D4701" t="str">
        <f>HYPERLINK("http://service.sap.com/sap/support/notes/1484248","1484248")</f>
        <v>1484248</v>
      </c>
      <c r="F4701" t="s">
        <v>4688</v>
      </c>
    </row>
    <row r="4702" spans="1:6">
      <c r="A4702" t="s">
        <v>4265</v>
      </c>
      <c r="B4702" t="s">
        <v>533</v>
      </c>
      <c r="C4702" t="s">
        <v>534</v>
      </c>
      <c r="D4702" t="str">
        <f>HYPERLINK("http://service.sap.com/sap/support/notes/1485622","1485622")</f>
        <v>1485622</v>
      </c>
      <c r="F4702" t="s">
        <v>4689</v>
      </c>
    </row>
    <row r="4703" spans="1:6">
      <c r="A4703" t="s">
        <v>4265</v>
      </c>
      <c r="B4703" t="s">
        <v>1914</v>
      </c>
      <c r="C4703" t="s">
        <v>1915</v>
      </c>
      <c r="D4703" t="str">
        <f>HYPERLINK("http://service.sap.com/sap/support/notes/1470419","1470419")</f>
        <v>1470419</v>
      </c>
      <c r="F4703" t="s">
        <v>4262</v>
      </c>
    </row>
    <row r="4704" spans="1:6">
      <c r="A4704" t="s">
        <v>4265</v>
      </c>
      <c r="B4704" t="s">
        <v>1914</v>
      </c>
      <c r="C4704" t="s">
        <v>1915</v>
      </c>
      <c r="D4704" t="str">
        <f>HYPERLINK("http://service.sap.com/sap/support/notes/1481819","1481819")</f>
        <v>1481819</v>
      </c>
      <c r="F4704" t="s">
        <v>4690</v>
      </c>
    </row>
    <row r="4705" spans="1:6">
      <c r="A4705" t="s">
        <v>4265</v>
      </c>
      <c r="B4705" t="s">
        <v>1914</v>
      </c>
      <c r="C4705" t="s">
        <v>1915</v>
      </c>
      <c r="D4705" t="str">
        <f>HYPERLINK("http://service.sap.com/sap/support/notes/1484366","1484366")</f>
        <v>1484366</v>
      </c>
      <c r="F4705" t="s">
        <v>4691</v>
      </c>
    </row>
    <row r="4706" spans="1:6">
      <c r="A4706" t="s">
        <v>4265</v>
      </c>
      <c r="B4706" t="s">
        <v>1914</v>
      </c>
      <c r="C4706" t="s">
        <v>1915</v>
      </c>
      <c r="D4706" t="str">
        <f>HYPERLINK("http://service.sap.com/sap/support/notes/1488776","1488776")</f>
        <v>1488776</v>
      </c>
      <c r="F4706" t="s">
        <v>4692</v>
      </c>
    </row>
    <row r="4707" spans="1:6">
      <c r="A4707" t="s">
        <v>4265</v>
      </c>
      <c r="B4707" t="s">
        <v>1444</v>
      </c>
      <c r="C4707" t="s">
        <v>3312</v>
      </c>
    </row>
    <row r="4708" spans="1:6">
      <c r="A4708" t="s">
        <v>4265</v>
      </c>
      <c r="B4708" t="s">
        <v>3313</v>
      </c>
      <c r="C4708" t="s">
        <v>3314</v>
      </c>
    </row>
    <row r="4709" spans="1:6">
      <c r="A4709" t="s">
        <v>4265</v>
      </c>
      <c r="B4709" t="s">
        <v>4693</v>
      </c>
      <c r="C4709" t="s">
        <v>4694</v>
      </c>
      <c r="D4709" t="str">
        <f>HYPERLINK("http://service.sap.com/sap/support/notes/1482831","1482831")</f>
        <v>1482831</v>
      </c>
      <c r="F4709" t="s">
        <v>4695</v>
      </c>
    </row>
    <row r="4710" spans="1:6">
      <c r="A4710" t="s">
        <v>4696</v>
      </c>
      <c r="B4710" t="s">
        <v>12</v>
      </c>
      <c r="C4710" t="s">
        <v>13</v>
      </c>
    </row>
    <row r="4711" spans="1:6">
      <c r="A4711" t="s">
        <v>4696</v>
      </c>
      <c r="B4711" t="s">
        <v>14</v>
      </c>
      <c r="C4711" t="s">
        <v>15</v>
      </c>
    </row>
    <row r="4712" spans="1:6">
      <c r="A4712" t="s">
        <v>4696</v>
      </c>
      <c r="B4712" t="s">
        <v>560</v>
      </c>
      <c r="C4712" t="s">
        <v>147</v>
      </c>
      <c r="D4712" t="str">
        <f>HYPERLINK("http://service.sap.com/sap/support/notes/1496177","1496177")</f>
        <v>1496177</v>
      </c>
      <c r="F4712" t="s">
        <v>4697</v>
      </c>
    </row>
    <row r="4713" spans="1:6">
      <c r="A4713" t="s">
        <v>4696</v>
      </c>
      <c r="B4713" t="s">
        <v>19</v>
      </c>
      <c r="C4713" t="s">
        <v>20</v>
      </c>
    </row>
    <row r="4714" spans="1:6">
      <c r="A4714" t="s">
        <v>4696</v>
      </c>
      <c r="B4714" t="s">
        <v>21</v>
      </c>
      <c r="C4714" t="s">
        <v>22</v>
      </c>
    </row>
    <row r="4715" spans="1:6">
      <c r="A4715" t="s">
        <v>4696</v>
      </c>
      <c r="B4715" t="s">
        <v>23</v>
      </c>
      <c r="C4715" t="s">
        <v>24</v>
      </c>
    </row>
    <row r="4716" spans="1:6">
      <c r="A4716" t="s">
        <v>4696</v>
      </c>
      <c r="B4716" t="s">
        <v>25</v>
      </c>
      <c r="C4716" t="s">
        <v>26</v>
      </c>
      <c r="D4716" t="str">
        <f>HYPERLINK("http://service.sap.com/sap/support/notes/1493242","1493242")</f>
        <v>1493242</v>
      </c>
      <c r="F4716" t="s">
        <v>4698</v>
      </c>
    </row>
    <row r="4717" spans="1:6">
      <c r="A4717" t="s">
        <v>4696</v>
      </c>
      <c r="B4717" t="s">
        <v>29</v>
      </c>
      <c r="C4717" t="s">
        <v>30</v>
      </c>
    </row>
    <row r="4718" spans="1:6">
      <c r="A4718" t="s">
        <v>4696</v>
      </c>
      <c r="B4718" t="s">
        <v>31</v>
      </c>
      <c r="C4718" t="s">
        <v>32</v>
      </c>
      <c r="D4718" t="str">
        <f>HYPERLINK("http://service.sap.com/sap/support/notes/1494578","1494578")</f>
        <v>1494578</v>
      </c>
      <c r="F4718" t="s">
        <v>4699</v>
      </c>
    </row>
    <row r="4719" spans="1:6">
      <c r="A4719" t="s">
        <v>4696</v>
      </c>
      <c r="B4719" t="s">
        <v>33</v>
      </c>
      <c r="C4719" t="s">
        <v>34</v>
      </c>
      <c r="D4719" t="str">
        <f>HYPERLINK("http://service.sap.com/sap/support/notes/1284280","1284280")</f>
        <v>1284280</v>
      </c>
      <c r="F4719" t="s">
        <v>35</v>
      </c>
    </row>
    <row r="4720" spans="1:6">
      <c r="A4720" t="s">
        <v>4696</v>
      </c>
      <c r="B4720" t="s">
        <v>33</v>
      </c>
      <c r="C4720" t="s">
        <v>34</v>
      </c>
      <c r="D4720" t="str">
        <f>HYPERLINK("http://service.sap.com/sap/support/notes/1497299","1497299")</f>
        <v>1497299</v>
      </c>
      <c r="F4720" t="s">
        <v>4700</v>
      </c>
    </row>
    <row r="4721" spans="1:6">
      <c r="A4721" t="s">
        <v>4696</v>
      </c>
      <c r="B4721" t="s">
        <v>37</v>
      </c>
      <c r="C4721" t="s">
        <v>17</v>
      </c>
    </row>
    <row r="4722" spans="1:6">
      <c r="A4722" t="s">
        <v>4696</v>
      </c>
      <c r="B4722" t="s">
        <v>44</v>
      </c>
      <c r="C4722" t="s">
        <v>45</v>
      </c>
    </row>
    <row r="4723" spans="1:6">
      <c r="A4723" t="s">
        <v>4696</v>
      </c>
      <c r="B4723" t="s">
        <v>49</v>
      </c>
      <c r="C4723" t="s">
        <v>50</v>
      </c>
      <c r="D4723" t="str">
        <f>HYPERLINK("http://service.sap.com/sap/support/notes/1495045","1495045")</f>
        <v>1495045</v>
      </c>
      <c r="F4723" t="s">
        <v>4701</v>
      </c>
    </row>
    <row r="4724" spans="1:6">
      <c r="A4724" t="s">
        <v>4696</v>
      </c>
      <c r="B4724" t="s">
        <v>59</v>
      </c>
      <c r="C4724" t="s">
        <v>60</v>
      </c>
      <c r="D4724" t="str">
        <f>HYPERLINK("http://service.sap.com/sap/support/notes/1494055","1494055")</f>
        <v>1494055</v>
      </c>
      <c r="F4724" t="s">
        <v>4702</v>
      </c>
    </row>
    <row r="4725" spans="1:6">
      <c r="A4725" t="s">
        <v>4696</v>
      </c>
      <c r="B4725" t="s">
        <v>59</v>
      </c>
      <c r="C4725" t="s">
        <v>60</v>
      </c>
      <c r="D4725" t="str">
        <f>HYPERLINK("http://service.sap.com/sap/support/notes/1500601","1500601")</f>
        <v>1500601</v>
      </c>
      <c r="F4725" t="s">
        <v>4703</v>
      </c>
    </row>
    <row r="4726" spans="1:6">
      <c r="A4726" t="s">
        <v>4696</v>
      </c>
      <c r="B4726" t="s">
        <v>75</v>
      </c>
      <c r="C4726" t="s">
        <v>76</v>
      </c>
      <c r="D4726" t="str">
        <f>HYPERLINK("http://service.sap.com/sap/support/notes/700094","700094")</f>
        <v>700094</v>
      </c>
      <c r="F4726" t="s">
        <v>77</v>
      </c>
    </row>
    <row r="4727" spans="1:6">
      <c r="A4727" t="s">
        <v>4696</v>
      </c>
      <c r="B4727" t="s">
        <v>75</v>
      </c>
      <c r="C4727" t="s">
        <v>76</v>
      </c>
      <c r="D4727" t="str">
        <f>HYPERLINK("http://service.sap.com/sap/support/notes/1498311","1498311")</f>
        <v>1498311</v>
      </c>
      <c r="F4727" t="s">
        <v>4704</v>
      </c>
    </row>
    <row r="4728" spans="1:6">
      <c r="A4728" t="s">
        <v>4696</v>
      </c>
      <c r="B4728" t="s">
        <v>79</v>
      </c>
      <c r="C4728" t="s">
        <v>80</v>
      </c>
      <c r="D4728" t="str">
        <f>HYPERLINK("http://service.sap.com/sap/support/notes/1472301","1472301")</f>
        <v>1472301</v>
      </c>
      <c r="F4728" t="s">
        <v>4705</v>
      </c>
    </row>
    <row r="4729" spans="1:6">
      <c r="A4729" t="s">
        <v>4696</v>
      </c>
      <c r="B4729" t="s">
        <v>79</v>
      </c>
      <c r="C4729" t="s">
        <v>80</v>
      </c>
      <c r="D4729" t="str">
        <f>HYPERLINK("http://service.sap.com/sap/support/notes/1477189","1477189")</f>
        <v>1477189</v>
      </c>
      <c r="F4729" t="s">
        <v>4706</v>
      </c>
    </row>
    <row r="4730" spans="1:6">
      <c r="A4730" t="s">
        <v>4696</v>
      </c>
      <c r="B4730" t="s">
        <v>79</v>
      </c>
      <c r="C4730" t="s">
        <v>80</v>
      </c>
      <c r="D4730" t="str">
        <f>HYPERLINK("http://service.sap.com/sap/support/notes/1488670","1488670")</f>
        <v>1488670</v>
      </c>
      <c r="F4730" t="s">
        <v>4707</v>
      </c>
    </row>
    <row r="4731" spans="1:6">
      <c r="A4731" t="s">
        <v>4696</v>
      </c>
      <c r="B4731" t="s">
        <v>79</v>
      </c>
      <c r="C4731" t="s">
        <v>80</v>
      </c>
      <c r="D4731" t="str">
        <f>HYPERLINK("http://service.sap.com/sap/support/notes/1489276","1489276")</f>
        <v>1489276</v>
      </c>
      <c r="F4731" t="s">
        <v>4708</v>
      </c>
    </row>
    <row r="4732" spans="1:6">
      <c r="A4732" t="s">
        <v>4696</v>
      </c>
      <c r="B4732" t="s">
        <v>79</v>
      </c>
      <c r="C4732" t="s">
        <v>80</v>
      </c>
      <c r="D4732" t="str">
        <f>HYPERLINK("http://service.sap.com/sap/support/notes/1491739","1491739")</f>
        <v>1491739</v>
      </c>
      <c r="F4732" t="s">
        <v>4709</v>
      </c>
    </row>
    <row r="4733" spans="1:6">
      <c r="A4733" t="s">
        <v>4696</v>
      </c>
      <c r="B4733" t="s">
        <v>79</v>
      </c>
      <c r="C4733" t="s">
        <v>80</v>
      </c>
      <c r="D4733" t="str">
        <f>HYPERLINK("http://service.sap.com/sap/support/notes/1497304","1497304")</f>
        <v>1497304</v>
      </c>
      <c r="F4733" t="s">
        <v>4710</v>
      </c>
    </row>
    <row r="4734" spans="1:6">
      <c r="A4734" t="s">
        <v>4696</v>
      </c>
      <c r="B4734" t="s">
        <v>79</v>
      </c>
      <c r="C4734" t="s">
        <v>80</v>
      </c>
      <c r="D4734" t="str">
        <f>HYPERLINK("http://service.sap.com/sap/support/notes/1498137","1498137")</f>
        <v>1498137</v>
      </c>
      <c r="F4734" t="s">
        <v>4711</v>
      </c>
    </row>
    <row r="4735" spans="1:6">
      <c r="A4735" t="s">
        <v>4696</v>
      </c>
      <c r="B4735" t="s">
        <v>1943</v>
      </c>
      <c r="C4735" t="s">
        <v>1944</v>
      </c>
      <c r="D4735" t="str">
        <f>HYPERLINK("http://service.sap.com/sap/support/notes/1472640","1472640")</f>
        <v>1472640</v>
      </c>
      <c r="F4735" t="s">
        <v>4712</v>
      </c>
    </row>
    <row r="4736" spans="1:6">
      <c r="A4736" t="s">
        <v>4696</v>
      </c>
      <c r="B4736" t="s">
        <v>665</v>
      </c>
      <c r="C4736" t="s">
        <v>425</v>
      </c>
      <c r="D4736" t="str">
        <f>HYPERLINK("http://service.sap.com/sap/support/notes/448307","448307")</f>
        <v>448307</v>
      </c>
      <c r="F4736" t="s">
        <v>666</v>
      </c>
    </row>
    <row r="4737" spans="1:6">
      <c r="A4737" t="s">
        <v>4696</v>
      </c>
      <c r="B4737" t="s">
        <v>667</v>
      </c>
      <c r="C4737" t="s">
        <v>442</v>
      </c>
      <c r="D4737" t="str">
        <f>HYPERLINK("http://service.sap.com/sap/support/notes/1493752","1493752")</f>
        <v>1493752</v>
      </c>
      <c r="F4737" t="s">
        <v>4713</v>
      </c>
    </row>
    <row r="4738" spans="1:6">
      <c r="A4738" t="s">
        <v>4696</v>
      </c>
      <c r="B4738" t="s">
        <v>667</v>
      </c>
      <c r="C4738" t="s">
        <v>442</v>
      </c>
      <c r="D4738" t="str">
        <f>HYPERLINK("http://service.sap.com/sap/support/notes/1498925","1498925")</f>
        <v>1498925</v>
      </c>
      <c r="F4738" t="s">
        <v>4714</v>
      </c>
    </row>
    <row r="4739" spans="1:6">
      <c r="A4739" t="s">
        <v>4696</v>
      </c>
      <c r="B4739" t="s">
        <v>92</v>
      </c>
      <c r="C4739" t="s">
        <v>93</v>
      </c>
      <c r="D4739" t="str">
        <f>HYPERLINK("http://service.sap.com/sap/support/notes/1492959","1492959")</f>
        <v>1492959</v>
      </c>
      <c r="F4739" t="s">
        <v>4715</v>
      </c>
    </row>
    <row r="4740" spans="1:6">
      <c r="A4740" t="s">
        <v>4696</v>
      </c>
      <c r="B4740" t="s">
        <v>92</v>
      </c>
      <c r="C4740" t="s">
        <v>93</v>
      </c>
      <c r="D4740" t="str">
        <f>HYPERLINK("http://service.sap.com/sap/support/notes/1493946","1493946")</f>
        <v>1493946</v>
      </c>
      <c r="F4740" t="s">
        <v>4716</v>
      </c>
    </row>
    <row r="4741" spans="1:6">
      <c r="A4741" t="s">
        <v>4696</v>
      </c>
      <c r="B4741" t="s">
        <v>92</v>
      </c>
      <c r="C4741" t="s">
        <v>93</v>
      </c>
      <c r="D4741" t="str">
        <f>HYPERLINK("http://service.sap.com/sap/support/notes/1495584","1495584")</f>
        <v>1495584</v>
      </c>
      <c r="F4741" t="s">
        <v>4717</v>
      </c>
    </row>
    <row r="4742" spans="1:6">
      <c r="A4742" t="s">
        <v>4696</v>
      </c>
      <c r="B4742" t="s">
        <v>92</v>
      </c>
      <c r="C4742" t="s">
        <v>93</v>
      </c>
      <c r="D4742" t="str">
        <f>HYPERLINK("http://service.sap.com/sap/support/notes/1496596","1496596")</f>
        <v>1496596</v>
      </c>
      <c r="F4742" t="s">
        <v>4718</v>
      </c>
    </row>
    <row r="4743" spans="1:6">
      <c r="A4743" t="s">
        <v>4696</v>
      </c>
      <c r="B4743" t="s">
        <v>99</v>
      </c>
      <c r="C4743" t="s">
        <v>100</v>
      </c>
      <c r="D4743" t="str">
        <f>HYPERLINK("http://service.sap.com/sap/support/notes/1470750","1470750")</f>
        <v>1470750</v>
      </c>
      <c r="F4743" t="s">
        <v>4719</v>
      </c>
    </row>
    <row r="4744" spans="1:6">
      <c r="A4744" t="s">
        <v>4696</v>
      </c>
      <c r="B4744" t="s">
        <v>99</v>
      </c>
      <c r="C4744" t="s">
        <v>100</v>
      </c>
      <c r="D4744" t="str">
        <f>HYPERLINK("http://service.sap.com/sap/support/notes/1481685","1481685")</f>
        <v>1481685</v>
      </c>
      <c r="F4744" t="s">
        <v>4720</v>
      </c>
    </row>
    <row r="4745" spans="1:6">
      <c r="A4745" t="s">
        <v>4696</v>
      </c>
      <c r="B4745" t="s">
        <v>99</v>
      </c>
      <c r="C4745" t="s">
        <v>100</v>
      </c>
      <c r="D4745" t="str">
        <f>HYPERLINK("http://service.sap.com/sap/support/notes/1492813","1492813")</f>
        <v>1492813</v>
      </c>
      <c r="F4745" t="s">
        <v>4721</v>
      </c>
    </row>
    <row r="4746" spans="1:6">
      <c r="A4746" t="s">
        <v>4696</v>
      </c>
      <c r="B4746" t="s">
        <v>99</v>
      </c>
      <c r="C4746" t="s">
        <v>100</v>
      </c>
      <c r="D4746" t="str">
        <f>HYPERLINK("http://service.sap.com/sap/support/notes/1493183","1493183")</f>
        <v>1493183</v>
      </c>
      <c r="F4746" t="s">
        <v>4722</v>
      </c>
    </row>
    <row r="4747" spans="1:6">
      <c r="A4747" t="s">
        <v>4696</v>
      </c>
      <c r="B4747" t="s">
        <v>99</v>
      </c>
      <c r="C4747" t="s">
        <v>100</v>
      </c>
      <c r="D4747" t="str">
        <f>HYPERLINK("http://service.sap.com/sap/support/notes/1493388","1493388")</f>
        <v>1493388</v>
      </c>
      <c r="F4747" t="s">
        <v>4723</v>
      </c>
    </row>
    <row r="4748" spans="1:6">
      <c r="A4748" t="s">
        <v>4696</v>
      </c>
      <c r="B4748" t="s">
        <v>99</v>
      </c>
      <c r="C4748" t="s">
        <v>100</v>
      </c>
      <c r="D4748" t="str">
        <f>HYPERLINK("http://service.sap.com/sap/support/notes/1493704","1493704")</f>
        <v>1493704</v>
      </c>
      <c r="F4748" t="s">
        <v>4724</v>
      </c>
    </row>
    <row r="4749" spans="1:6">
      <c r="A4749" t="s">
        <v>4696</v>
      </c>
      <c r="B4749" t="s">
        <v>99</v>
      </c>
      <c r="C4749" t="s">
        <v>100</v>
      </c>
      <c r="D4749" t="str">
        <f>HYPERLINK("http://service.sap.com/sap/support/notes/1493800","1493800")</f>
        <v>1493800</v>
      </c>
      <c r="F4749" t="s">
        <v>4725</v>
      </c>
    </row>
    <row r="4750" spans="1:6">
      <c r="A4750" t="s">
        <v>4696</v>
      </c>
      <c r="B4750" t="s">
        <v>99</v>
      </c>
      <c r="C4750" t="s">
        <v>100</v>
      </c>
      <c r="D4750" t="str">
        <f>HYPERLINK("http://service.sap.com/sap/support/notes/1495378","1495378")</f>
        <v>1495378</v>
      </c>
      <c r="F4750" t="s">
        <v>4726</v>
      </c>
    </row>
    <row r="4751" spans="1:6">
      <c r="A4751" t="s">
        <v>4696</v>
      </c>
      <c r="B4751" t="s">
        <v>99</v>
      </c>
      <c r="C4751" t="s">
        <v>100</v>
      </c>
      <c r="D4751" t="str">
        <f>HYPERLINK("http://service.sap.com/sap/support/notes/1495465","1495465")</f>
        <v>1495465</v>
      </c>
      <c r="F4751" t="s">
        <v>4727</v>
      </c>
    </row>
    <row r="4752" spans="1:6">
      <c r="A4752" t="s">
        <v>4696</v>
      </c>
      <c r="B4752" t="s">
        <v>99</v>
      </c>
      <c r="C4752" t="s">
        <v>100</v>
      </c>
      <c r="D4752" t="str">
        <f>HYPERLINK("http://service.sap.com/sap/support/notes/1496662","1496662")</f>
        <v>1496662</v>
      </c>
      <c r="F4752" t="s">
        <v>4728</v>
      </c>
    </row>
    <row r="4753" spans="1:6">
      <c r="A4753" t="s">
        <v>4696</v>
      </c>
      <c r="B4753" t="s">
        <v>99</v>
      </c>
      <c r="C4753" t="s">
        <v>100</v>
      </c>
      <c r="D4753" t="str">
        <f>HYPERLINK("http://service.sap.com/sap/support/notes/1496889","1496889")</f>
        <v>1496889</v>
      </c>
      <c r="F4753" t="s">
        <v>4729</v>
      </c>
    </row>
    <row r="4754" spans="1:6">
      <c r="A4754" t="s">
        <v>4696</v>
      </c>
      <c r="B4754" t="s">
        <v>99</v>
      </c>
      <c r="C4754" t="s">
        <v>100</v>
      </c>
      <c r="D4754" t="str">
        <f>HYPERLINK("http://service.sap.com/sap/support/notes/1498110","1498110")</f>
        <v>1498110</v>
      </c>
      <c r="F4754" t="s">
        <v>4730</v>
      </c>
    </row>
    <row r="4755" spans="1:6">
      <c r="A4755" t="s">
        <v>4696</v>
      </c>
      <c r="B4755" t="s">
        <v>99</v>
      </c>
      <c r="C4755" t="s">
        <v>100</v>
      </c>
      <c r="D4755" t="str">
        <f>HYPERLINK("http://service.sap.com/sap/support/notes/1498461","1498461")</f>
        <v>1498461</v>
      </c>
      <c r="F4755" t="s">
        <v>4731</v>
      </c>
    </row>
    <row r="4756" spans="1:6">
      <c r="A4756" t="s">
        <v>4696</v>
      </c>
      <c r="B4756" t="s">
        <v>99</v>
      </c>
      <c r="C4756" t="s">
        <v>100</v>
      </c>
      <c r="D4756" t="str">
        <f>HYPERLINK("http://service.sap.com/sap/support/notes/1498647","1498647")</f>
        <v>1498647</v>
      </c>
      <c r="F4756" t="s">
        <v>4732</v>
      </c>
    </row>
    <row r="4757" spans="1:6">
      <c r="A4757" t="s">
        <v>4696</v>
      </c>
      <c r="B4757" t="s">
        <v>128</v>
      </c>
      <c r="C4757" t="s">
        <v>129</v>
      </c>
    </row>
    <row r="4758" spans="1:6">
      <c r="A4758" t="s">
        <v>4696</v>
      </c>
      <c r="B4758" t="s">
        <v>3032</v>
      </c>
      <c r="C4758" t="s">
        <v>3033</v>
      </c>
      <c r="D4758" t="str">
        <f>HYPERLINK("http://service.sap.com/sap/support/notes/1476560","1476560")</f>
        <v>1476560</v>
      </c>
      <c r="F4758" t="s">
        <v>4733</v>
      </c>
    </row>
    <row r="4759" spans="1:6">
      <c r="A4759" t="s">
        <v>4696</v>
      </c>
      <c r="B4759" t="s">
        <v>3032</v>
      </c>
      <c r="C4759" t="s">
        <v>3033</v>
      </c>
      <c r="D4759" t="str">
        <f>HYPERLINK("http://service.sap.com/sap/support/notes/1496400","1496400")</f>
        <v>1496400</v>
      </c>
      <c r="F4759" t="s">
        <v>4734</v>
      </c>
    </row>
    <row r="4760" spans="1:6">
      <c r="A4760" t="s">
        <v>4696</v>
      </c>
      <c r="B4760" t="s">
        <v>3032</v>
      </c>
      <c r="C4760" t="s">
        <v>3033</v>
      </c>
      <c r="D4760" t="str">
        <f>HYPERLINK("http://service.sap.com/sap/support/notes/1498048","1498048")</f>
        <v>1498048</v>
      </c>
      <c r="F4760" t="s">
        <v>4735</v>
      </c>
    </row>
    <row r="4761" spans="1:6">
      <c r="A4761" t="s">
        <v>4696</v>
      </c>
      <c r="B4761" t="s">
        <v>3032</v>
      </c>
      <c r="C4761" t="s">
        <v>3033</v>
      </c>
      <c r="D4761" t="str">
        <f>HYPERLINK("http://service.sap.com/sap/support/notes/1499110","1499110")</f>
        <v>1499110</v>
      </c>
      <c r="F4761" t="s">
        <v>4736</v>
      </c>
    </row>
    <row r="4762" spans="1:6">
      <c r="A4762" t="s">
        <v>4696</v>
      </c>
      <c r="B4762" t="s">
        <v>3032</v>
      </c>
      <c r="C4762" t="s">
        <v>3033</v>
      </c>
      <c r="D4762" t="str">
        <f>HYPERLINK("http://service.sap.com/sap/support/notes/1500712","1500712")</f>
        <v>1500712</v>
      </c>
      <c r="F4762" t="s">
        <v>4737</v>
      </c>
    </row>
    <row r="4763" spans="1:6">
      <c r="A4763" t="s">
        <v>4696</v>
      </c>
      <c r="B4763" t="s">
        <v>130</v>
      </c>
      <c r="C4763" t="s">
        <v>131</v>
      </c>
      <c r="D4763" t="str">
        <f>HYPERLINK("http://service.sap.com/sap/support/notes/1460069","1460069")</f>
        <v>1460069</v>
      </c>
      <c r="F4763" t="s">
        <v>4738</v>
      </c>
    </row>
    <row r="4764" spans="1:6">
      <c r="A4764" t="s">
        <v>4696</v>
      </c>
      <c r="B4764" t="s">
        <v>130</v>
      </c>
      <c r="C4764" t="s">
        <v>131</v>
      </c>
      <c r="D4764" t="str">
        <f>HYPERLINK("http://service.sap.com/sap/support/notes/1483093","1483093")</f>
        <v>1483093</v>
      </c>
      <c r="F4764" t="s">
        <v>4739</v>
      </c>
    </row>
    <row r="4765" spans="1:6">
      <c r="A4765" t="s">
        <v>4696</v>
      </c>
      <c r="B4765" t="s">
        <v>130</v>
      </c>
      <c r="C4765" t="s">
        <v>131</v>
      </c>
      <c r="D4765" t="str">
        <f>HYPERLINK("http://service.sap.com/sap/support/notes/1489034","1489034")</f>
        <v>1489034</v>
      </c>
      <c r="F4765" t="s">
        <v>4740</v>
      </c>
    </row>
    <row r="4766" spans="1:6">
      <c r="A4766" t="s">
        <v>4696</v>
      </c>
      <c r="B4766" t="s">
        <v>130</v>
      </c>
      <c r="C4766" t="s">
        <v>131</v>
      </c>
      <c r="D4766" t="str">
        <f>HYPERLINK("http://service.sap.com/sap/support/notes/1493529","1493529")</f>
        <v>1493529</v>
      </c>
      <c r="F4766" t="s">
        <v>4741</v>
      </c>
    </row>
    <row r="4767" spans="1:6">
      <c r="A4767" t="s">
        <v>4696</v>
      </c>
      <c r="B4767" t="s">
        <v>130</v>
      </c>
      <c r="C4767" t="s">
        <v>131</v>
      </c>
      <c r="D4767" t="str">
        <f>HYPERLINK("http://service.sap.com/sap/support/notes/1497985","1497985")</f>
        <v>1497985</v>
      </c>
      <c r="F4767" t="s">
        <v>4742</v>
      </c>
    </row>
    <row r="4768" spans="1:6">
      <c r="A4768" t="s">
        <v>4696</v>
      </c>
      <c r="B4768" t="s">
        <v>137</v>
      </c>
      <c r="C4768" t="s">
        <v>138</v>
      </c>
    </row>
    <row r="4769" spans="1:6">
      <c r="A4769" t="s">
        <v>4696</v>
      </c>
      <c r="B4769" t="s">
        <v>139</v>
      </c>
      <c r="C4769" t="s">
        <v>140</v>
      </c>
    </row>
    <row r="4770" spans="1:6">
      <c r="A4770" t="s">
        <v>4696</v>
      </c>
      <c r="B4770" t="s">
        <v>141</v>
      </c>
      <c r="C4770" t="s">
        <v>142</v>
      </c>
      <c r="D4770" t="str">
        <f>HYPERLINK("http://service.sap.com/sap/support/notes/1278423","1278423")</f>
        <v>1278423</v>
      </c>
      <c r="F4770" t="s">
        <v>4743</v>
      </c>
    </row>
    <row r="4771" spans="1:6">
      <c r="A4771" t="s">
        <v>4696</v>
      </c>
      <c r="B4771" t="s">
        <v>1544</v>
      </c>
      <c r="C4771" t="s">
        <v>1545</v>
      </c>
      <c r="D4771" t="str">
        <f>HYPERLINK("http://service.sap.com/sap/support/notes/1492278","1492278")</f>
        <v>1492278</v>
      </c>
      <c r="F4771" t="s">
        <v>4744</v>
      </c>
    </row>
    <row r="4772" spans="1:6">
      <c r="A4772" t="s">
        <v>4696</v>
      </c>
      <c r="B4772" t="s">
        <v>146</v>
      </c>
      <c r="C4772" t="s">
        <v>147</v>
      </c>
    </row>
    <row r="4773" spans="1:6">
      <c r="A4773" t="s">
        <v>4696</v>
      </c>
      <c r="B4773" t="s">
        <v>148</v>
      </c>
      <c r="C4773" t="s">
        <v>149</v>
      </c>
      <c r="D4773" t="str">
        <f>HYPERLINK("http://service.sap.com/sap/support/notes/1471287","1471287")</f>
        <v>1471287</v>
      </c>
      <c r="F4773" t="s">
        <v>4745</v>
      </c>
    </row>
    <row r="4774" spans="1:6">
      <c r="A4774" t="s">
        <v>4696</v>
      </c>
      <c r="B4774" t="s">
        <v>148</v>
      </c>
      <c r="C4774" t="s">
        <v>149</v>
      </c>
      <c r="D4774" t="str">
        <f>HYPERLINK("http://service.sap.com/sap/support/notes/1480202","1480202")</f>
        <v>1480202</v>
      </c>
      <c r="F4774" t="s">
        <v>4746</v>
      </c>
    </row>
    <row r="4775" spans="1:6">
      <c r="A4775" t="s">
        <v>4696</v>
      </c>
      <c r="B4775" t="s">
        <v>148</v>
      </c>
      <c r="C4775" t="s">
        <v>149</v>
      </c>
      <c r="D4775" t="str">
        <f>HYPERLINK("http://service.sap.com/sap/support/notes/1484541","1484541")</f>
        <v>1484541</v>
      </c>
      <c r="F4775" t="s">
        <v>4747</v>
      </c>
    </row>
    <row r="4776" spans="1:6">
      <c r="A4776" t="s">
        <v>4696</v>
      </c>
      <c r="B4776" t="s">
        <v>148</v>
      </c>
      <c r="C4776" t="s">
        <v>149</v>
      </c>
      <c r="D4776" t="str">
        <f>HYPERLINK("http://service.sap.com/sap/support/notes/1496405","1496405")</f>
        <v>1496405</v>
      </c>
      <c r="F4776" t="s">
        <v>4748</v>
      </c>
    </row>
    <row r="4777" spans="1:6">
      <c r="A4777" t="s">
        <v>4696</v>
      </c>
      <c r="B4777" t="s">
        <v>148</v>
      </c>
      <c r="C4777" t="s">
        <v>149</v>
      </c>
      <c r="D4777" t="str">
        <f>HYPERLINK("http://service.sap.com/sap/support/notes/1498693","1498693")</f>
        <v>1498693</v>
      </c>
      <c r="F4777" t="s">
        <v>4749</v>
      </c>
    </row>
    <row r="4778" spans="1:6">
      <c r="A4778" t="s">
        <v>4696</v>
      </c>
      <c r="B4778" t="s">
        <v>154</v>
      </c>
      <c r="C4778" t="s">
        <v>155</v>
      </c>
      <c r="D4778" t="str">
        <f>HYPERLINK("http://service.sap.com/sap/support/notes/1494830","1494830")</f>
        <v>1494830</v>
      </c>
      <c r="F4778" t="s">
        <v>4750</v>
      </c>
    </row>
    <row r="4779" spans="1:6">
      <c r="A4779" t="s">
        <v>4696</v>
      </c>
      <c r="B4779" t="s">
        <v>158</v>
      </c>
      <c r="C4779" t="s">
        <v>159</v>
      </c>
    </row>
    <row r="4780" spans="1:6">
      <c r="A4780" t="s">
        <v>4696</v>
      </c>
      <c r="B4780" t="s">
        <v>160</v>
      </c>
      <c r="C4780" t="s">
        <v>47</v>
      </c>
      <c r="D4780" t="str">
        <f>HYPERLINK("http://service.sap.com/sap/support/notes/1451938","1451938")</f>
        <v>1451938</v>
      </c>
      <c r="F4780" t="s">
        <v>4751</v>
      </c>
    </row>
    <row r="4781" spans="1:6">
      <c r="A4781" t="s">
        <v>4696</v>
      </c>
      <c r="B4781" t="s">
        <v>160</v>
      </c>
      <c r="C4781" t="s">
        <v>47</v>
      </c>
      <c r="D4781" t="str">
        <f>HYPERLINK("http://service.sap.com/sap/support/notes/1467111","1467111")</f>
        <v>1467111</v>
      </c>
      <c r="F4781" t="s">
        <v>4752</v>
      </c>
    </row>
    <row r="4782" spans="1:6">
      <c r="A4782" t="s">
        <v>4696</v>
      </c>
      <c r="B4782" t="s">
        <v>160</v>
      </c>
      <c r="C4782" t="s">
        <v>47</v>
      </c>
      <c r="D4782" t="str">
        <f>HYPERLINK("http://service.sap.com/sap/support/notes/1481282","1481282")</f>
        <v>1481282</v>
      </c>
      <c r="F4782" t="s">
        <v>4753</v>
      </c>
    </row>
    <row r="4783" spans="1:6">
      <c r="A4783" t="s">
        <v>4696</v>
      </c>
      <c r="B4783" t="s">
        <v>160</v>
      </c>
      <c r="C4783" t="s">
        <v>47</v>
      </c>
      <c r="D4783" t="str">
        <f>HYPERLINK("http://service.sap.com/sap/support/notes/1485880","1485880")</f>
        <v>1485880</v>
      </c>
      <c r="F4783" t="s">
        <v>4754</v>
      </c>
    </row>
    <row r="4784" spans="1:6">
      <c r="A4784" t="s">
        <v>4696</v>
      </c>
      <c r="B4784" t="s">
        <v>160</v>
      </c>
      <c r="C4784" t="s">
        <v>47</v>
      </c>
      <c r="D4784" t="str">
        <f>HYPERLINK("http://service.sap.com/sap/support/notes/1491823","1491823")</f>
        <v>1491823</v>
      </c>
      <c r="F4784" t="s">
        <v>4341</v>
      </c>
    </row>
    <row r="4785" spans="1:6">
      <c r="A4785" t="s">
        <v>4696</v>
      </c>
      <c r="B4785" t="s">
        <v>160</v>
      </c>
      <c r="C4785" t="s">
        <v>47</v>
      </c>
      <c r="D4785" t="str">
        <f>HYPERLINK("http://service.sap.com/sap/support/notes/1493143","1493143")</f>
        <v>1493143</v>
      </c>
      <c r="F4785" t="s">
        <v>4755</v>
      </c>
    </row>
    <row r="4786" spans="1:6">
      <c r="A4786" t="s">
        <v>4696</v>
      </c>
      <c r="B4786" t="s">
        <v>160</v>
      </c>
      <c r="C4786" t="s">
        <v>47</v>
      </c>
      <c r="D4786" t="str">
        <f>HYPERLINK("http://service.sap.com/sap/support/notes/1493653","1493653")</f>
        <v>1493653</v>
      </c>
      <c r="F4786" t="s">
        <v>4756</v>
      </c>
    </row>
    <row r="4787" spans="1:6">
      <c r="A4787" t="s">
        <v>4696</v>
      </c>
      <c r="B4787" t="s">
        <v>160</v>
      </c>
      <c r="C4787" t="s">
        <v>47</v>
      </c>
      <c r="D4787" t="str">
        <f>HYPERLINK("http://service.sap.com/sap/support/notes/1493963","1493963")</f>
        <v>1493963</v>
      </c>
      <c r="F4787" t="s">
        <v>4757</v>
      </c>
    </row>
    <row r="4788" spans="1:6">
      <c r="A4788" t="s">
        <v>4696</v>
      </c>
      <c r="B4788" t="s">
        <v>160</v>
      </c>
      <c r="C4788" t="s">
        <v>47</v>
      </c>
      <c r="D4788" t="str">
        <f>HYPERLINK("http://service.sap.com/sap/support/notes/1494117","1494117")</f>
        <v>1494117</v>
      </c>
      <c r="F4788" t="s">
        <v>4758</v>
      </c>
    </row>
    <row r="4789" spans="1:6">
      <c r="A4789" t="s">
        <v>4696</v>
      </c>
      <c r="B4789" t="s">
        <v>160</v>
      </c>
      <c r="C4789" t="s">
        <v>47</v>
      </c>
      <c r="D4789" t="str">
        <f>HYPERLINK("http://service.sap.com/sap/support/notes/1497536","1497536")</f>
        <v>1497536</v>
      </c>
      <c r="F4789" t="s">
        <v>4759</v>
      </c>
    </row>
    <row r="4790" spans="1:6">
      <c r="A4790" t="s">
        <v>4696</v>
      </c>
      <c r="B4790" t="s">
        <v>160</v>
      </c>
      <c r="C4790" t="s">
        <v>47</v>
      </c>
      <c r="D4790" t="str">
        <f>HYPERLINK("http://service.sap.com/sap/support/notes/1498026","1498026")</f>
        <v>1498026</v>
      </c>
      <c r="F4790" t="s">
        <v>4760</v>
      </c>
    </row>
    <row r="4791" spans="1:6">
      <c r="A4791" t="s">
        <v>4696</v>
      </c>
      <c r="B4791" t="s">
        <v>160</v>
      </c>
      <c r="C4791" t="s">
        <v>47</v>
      </c>
      <c r="D4791" t="str">
        <f>HYPERLINK("http://service.sap.com/sap/support/notes/1498332","1498332")</f>
        <v>1498332</v>
      </c>
      <c r="F4791" t="s">
        <v>4761</v>
      </c>
    </row>
    <row r="4792" spans="1:6">
      <c r="A4792" t="s">
        <v>4696</v>
      </c>
      <c r="B4792" t="s">
        <v>160</v>
      </c>
      <c r="C4792" t="s">
        <v>47</v>
      </c>
      <c r="D4792" t="str">
        <f>HYPERLINK("http://service.sap.com/sap/support/notes/1498394","1498394")</f>
        <v>1498394</v>
      </c>
      <c r="F4792" t="s">
        <v>4762</v>
      </c>
    </row>
    <row r="4793" spans="1:6">
      <c r="A4793" t="s">
        <v>4696</v>
      </c>
      <c r="B4793" t="s">
        <v>160</v>
      </c>
      <c r="C4793" t="s">
        <v>47</v>
      </c>
      <c r="D4793" t="str">
        <f>HYPERLINK("http://service.sap.com/sap/support/notes/1498787","1498787")</f>
        <v>1498787</v>
      </c>
      <c r="F4793" t="s">
        <v>4763</v>
      </c>
    </row>
    <row r="4794" spans="1:6">
      <c r="A4794" t="s">
        <v>4696</v>
      </c>
      <c r="B4794" t="s">
        <v>160</v>
      </c>
      <c r="C4794" t="s">
        <v>47</v>
      </c>
      <c r="D4794" t="str">
        <f>HYPERLINK("http://service.sap.com/sap/support/notes/1498838","1498838")</f>
        <v>1498838</v>
      </c>
      <c r="F4794" t="s">
        <v>4764</v>
      </c>
    </row>
    <row r="4795" spans="1:6">
      <c r="A4795" t="s">
        <v>4696</v>
      </c>
      <c r="B4795" t="s">
        <v>160</v>
      </c>
      <c r="C4795" t="s">
        <v>47</v>
      </c>
      <c r="D4795" t="str">
        <f>HYPERLINK("http://service.sap.com/sap/support/notes/1499192","1499192")</f>
        <v>1499192</v>
      </c>
      <c r="F4795" t="s">
        <v>4765</v>
      </c>
    </row>
    <row r="4796" spans="1:6">
      <c r="A4796" t="s">
        <v>4696</v>
      </c>
      <c r="B4796" t="s">
        <v>160</v>
      </c>
      <c r="C4796" t="s">
        <v>47</v>
      </c>
      <c r="D4796" t="str">
        <f>HYPERLINK("http://service.sap.com/sap/support/notes/1500234","1500234")</f>
        <v>1500234</v>
      </c>
      <c r="F4796" t="s">
        <v>4766</v>
      </c>
    </row>
    <row r="4797" spans="1:6">
      <c r="A4797" t="s">
        <v>4696</v>
      </c>
      <c r="B4797" t="s">
        <v>166</v>
      </c>
      <c r="C4797" t="s">
        <v>50</v>
      </c>
      <c r="D4797" t="str">
        <f>HYPERLINK("http://service.sap.com/sap/support/notes/1343631","1343631")</f>
        <v>1343631</v>
      </c>
      <c r="F4797" t="s">
        <v>927</v>
      </c>
    </row>
    <row r="4798" spans="1:6">
      <c r="A4798" t="s">
        <v>4696</v>
      </c>
      <c r="B4798" t="s">
        <v>166</v>
      </c>
      <c r="C4798" t="s">
        <v>50</v>
      </c>
      <c r="D4798" t="str">
        <f>HYPERLINK("http://service.sap.com/sap/support/notes/1491986","1491986")</f>
        <v>1491986</v>
      </c>
      <c r="F4798" t="s">
        <v>4351</v>
      </c>
    </row>
    <row r="4799" spans="1:6">
      <c r="A4799" t="s">
        <v>4696</v>
      </c>
      <c r="B4799" t="s">
        <v>174</v>
      </c>
      <c r="C4799" t="s">
        <v>175</v>
      </c>
      <c r="D4799" t="str">
        <f>HYPERLINK("http://service.sap.com/sap/support/notes/1457733","1457733")</f>
        <v>1457733</v>
      </c>
      <c r="F4799" t="s">
        <v>4767</v>
      </c>
    </row>
    <row r="4800" spans="1:6">
      <c r="A4800" t="s">
        <v>4696</v>
      </c>
      <c r="B4800" t="s">
        <v>174</v>
      </c>
      <c r="C4800" t="s">
        <v>175</v>
      </c>
      <c r="D4800" t="str">
        <f>HYPERLINK("http://service.sap.com/sap/support/notes/1490076","1490076")</f>
        <v>1490076</v>
      </c>
      <c r="F4800" t="s">
        <v>4372</v>
      </c>
    </row>
    <row r="4801" spans="1:6">
      <c r="A4801" t="s">
        <v>4696</v>
      </c>
      <c r="B4801" t="s">
        <v>174</v>
      </c>
      <c r="C4801" t="s">
        <v>175</v>
      </c>
      <c r="D4801" t="str">
        <f>HYPERLINK("http://service.sap.com/sap/support/notes/1492469","1492469")</f>
        <v>1492469</v>
      </c>
      <c r="F4801" t="s">
        <v>4768</v>
      </c>
    </row>
    <row r="4802" spans="1:6">
      <c r="A4802" t="s">
        <v>4696</v>
      </c>
      <c r="B4802" t="s">
        <v>174</v>
      </c>
      <c r="C4802" t="s">
        <v>175</v>
      </c>
      <c r="D4802" t="str">
        <f>HYPERLINK("http://service.sap.com/sap/support/notes/1493159","1493159")</f>
        <v>1493159</v>
      </c>
      <c r="F4802" t="s">
        <v>4769</v>
      </c>
    </row>
    <row r="4803" spans="1:6">
      <c r="A4803" t="s">
        <v>4696</v>
      </c>
      <c r="B4803" t="s">
        <v>185</v>
      </c>
      <c r="C4803" t="s">
        <v>186</v>
      </c>
      <c r="D4803" t="str">
        <f>HYPERLINK("http://service.sap.com/sap/support/notes/1494969","1494969")</f>
        <v>1494969</v>
      </c>
      <c r="F4803" t="s">
        <v>4770</v>
      </c>
    </row>
    <row r="4804" spans="1:6">
      <c r="A4804" t="s">
        <v>4696</v>
      </c>
      <c r="B4804" t="s">
        <v>188</v>
      </c>
      <c r="C4804" t="s">
        <v>189</v>
      </c>
      <c r="D4804" t="str">
        <f>HYPERLINK("http://service.sap.com/sap/support/notes/1499388","1499388")</f>
        <v>1499388</v>
      </c>
      <c r="F4804" t="s">
        <v>4771</v>
      </c>
    </row>
    <row r="4805" spans="1:6">
      <c r="A4805" t="s">
        <v>4696</v>
      </c>
      <c r="B4805" t="s">
        <v>192</v>
      </c>
      <c r="C4805" t="s">
        <v>60</v>
      </c>
      <c r="D4805" t="str">
        <f>HYPERLINK("http://service.sap.com/sap/support/notes/1484361","1484361")</f>
        <v>1484361</v>
      </c>
      <c r="F4805" t="s">
        <v>4772</v>
      </c>
    </row>
    <row r="4806" spans="1:6">
      <c r="A4806" t="s">
        <v>4696</v>
      </c>
      <c r="B4806" t="s">
        <v>192</v>
      </c>
      <c r="C4806" t="s">
        <v>60</v>
      </c>
      <c r="D4806" t="str">
        <f>HYPERLINK("http://service.sap.com/sap/support/notes/1492047","1492047")</f>
        <v>1492047</v>
      </c>
      <c r="F4806" t="s">
        <v>4773</v>
      </c>
    </row>
    <row r="4807" spans="1:6">
      <c r="A4807" t="s">
        <v>4696</v>
      </c>
      <c r="B4807" t="s">
        <v>192</v>
      </c>
      <c r="C4807" t="s">
        <v>60</v>
      </c>
      <c r="D4807" t="str">
        <f>HYPERLINK("http://service.sap.com/sap/support/notes/1493310","1493310")</f>
        <v>1493310</v>
      </c>
      <c r="F4807" t="s">
        <v>4774</v>
      </c>
    </row>
    <row r="4808" spans="1:6">
      <c r="A4808" t="s">
        <v>4696</v>
      </c>
      <c r="B4808" t="s">
        <v>192</v>
      </c>
      <c r="C4808" t="s">
        <v>60</v>
      </c>
      <c r="D4808" t="str">
        <f>HYPERLINK("http://service.sap.com/sap/support/notes/1494599","1494599")</f>
        <v>1494599</v>
      </c>
      <c r="F4808" t="s">
        <v>4775</v>
      </c>
    </row>
    <row r="4809" spans="1:6">
      <c r="A4809" t="s">
        <v>4696</v>
      </c>
      <c r="B4809" t="s">
        <v>192</v>
      </c>
      <c r="C4809" t="s">
        <v>60</v>
      </c>
      <c r="D4809" t="str">
        <f>HYPERLINK("http://service.sap.com/sap/support/notes/1494668","1494668")</f>
        <v>1494668</v>
      </c>
      <c r="F4809" t="s">
        <v>4776</v>
      </c>
    </row>
    <row r="4810" spans="1:6">
      <c r="A4810" t="s">
        <v>4696</v>
      </c>
      <c r="B4810" t="s">
        <v>192</v>
      </c>
      <c r="C4810" t="s">
        <v>60</v>
      </c>
      <c r="D4810" t="str">
        <f>HYPERLINK("http://service.sap.com/sap/support/notes/1496052","1496052")</f>
        <v>1496052</v>
      </c>
      <c r="F4810" t="s">
        <v>4777</v>
      </c>
    </row>
    <row r="4811" spans="1:6">
      <c r="A4811" t="s">
        <v>4696</v>
      </c>
      <c r="B4811" t="s">
        <v>192</v>
      </c>
      <c r="C4811" t="s">
        <v>60</v>
      </c>
      <c r="D4811" t="str">
        <f>HYPERLINK("http://service.sap.com/sap/support/notes/1497269","1497269")</f>
        <v>1497269</v>
      </c>
      <c r="F4811" t="s">
        <v>4778</v>
      </c>
    </row>
    <row r="4812" spans="1:6">
      <c r="A4812" t="s">
        <v>4696</v>
      </c>
      <c r="B4812" t="s">
        <v>192</v>
      </c>
      <c r="C4812" t="s">
        <v>60</v>
      </c>
      <c r="D4812" t="str">
        <f>HYPERLINK("http://service.sap.com/sap/support/notes/1498245","1498245")</f>
        <v>1498245</v>
      </c>
      <c r="F4812" t="s">
        <v>4779</v>
      </c>
    </row>
    <row r="4813" spans="1:6">
      <c r="A4813" t="s">
        <v>4696</v>
      </c>
      <c r="B4813" t="s">
        <v>192</v>
      </c>
      <c r="C4813" t="s">
        <v>60</v>
      </c>
      <c r="D4813" t="str">
        <f>HYPERLINK("http://service.sap.com/sap/support/notes/1498582","1498582")</f>
        <v>1498582</v>
      </c>
      <c r="F4813" t="s">
        <v>4780</v>
      </c>
    </row>
    <row r="4814" spans="1:6">
      <c r="A4814" t="s">
        <v>4696</v>
      </c>
      <c r="B4814" t="s">
        <v>192</v>
      </c>
      <c r="C4814" t="s">
        <v>60</v>
      </c>
      <c r="D4814" t="str">
        <f>HYPERLINK("http://service.sap.com/sap/support/notes/1498619","1498619")</f>
        <v>1498619</v>
      </c>
      <c r="F4814" t="s">
        <v>4781</v>
      </c>
    </row>
    <row r="4815" spans="1:6">
      <c r="A4815" t="s">
        <v>4696</v>
      </c>
      <c r="B4815" t="s">
        <v>192</v>
      </c>
      <c r="C4815" t="s">
        <v>60</v>
      </c>
      <c r="D4815" t="str">
        <f>HYPERLINK("http://service.sap.com/sap/support/notes/1499201","1499201")</f>
        <v>1499201</v>
      </c>
      <c r="F4815" t="s">
        <v>4782</v>
      </c>
    </row>
    <row r="4816" spans="1:6">
      <c r="A4816" t="s">
        <v>4696</v>
      </c>
      <c r="B4816" t="s">
        <v>192</v>
      </c>
      <c r="C4816" t="s">
        <v>60</v>
      </c>
      <c r="D4816" t="str">
        <f>HYPERLINK("http://service.sap.com/sap/support/notes/1499320","1499320")</f>
        <v>1499320</v>
      </c>
      <c r="F4816" t="s">
        <v>4783</v>
      </c>
    </row>
    <row r="4817" spans="1:6">
      <c r="A4817" t="s">
        <v>4696</v>
      </c>
      <c r="B4817" t="s">
        <v>192</v>
      </c>
      <c r="C4817" t="s">
        <v>60</v>
      </c>
      <c r="D4817" t="str">
        <f>HYPERLINK("http://service.sap.com/sap/support/notes/1499567","1499567")</f>
        <v>1499567</v>
      </c>
      <c r="F4817" t="s">
        <v>4784</v>
      </c>
    </row>
    <row r="4818" spans="1:6">
      <c r="A4818" t="s">
        <v>4696</v>
      </c>
      <c r="B4818" t="s">
        <v>192</v>
      </c>
      <c r="C4818" t="s">
        <v>60</v>
      </c>
      <c r="D4818" t="str">
        <f>HYPERLINK("http://service.sap.com/sap/support/notes/1499678","1499678")</f>
        <v>1499678</v>
      </c>
      <c r="F4818" t="s">
        <v>4785</v>
      </c>
    </row>
    <row r="4819" spans="1:6">
      <c r="A4819" t="s">
        <v>4696</v>
      </c>
      <c r="B4819" t="s">
        <v>192</v>
      </c>
      <c r="C4819" t="s">
        <v>60</v>
      </c>
      <c r="D4819" t="str">
        <f>HYPERLINK("http://service.sap.com/sap/support/notes/1500004","1500004")</f>
        <v>1500004</v>
      </c>
      <c r="F4819" t="s">
        <v>4786</v>
      </c>
    </row>
    <row r="4820" spans="1:6">
      <c r="A4820" t="s">
        <v>4696</v>
      </c>
      <c r="B4820" t="s">
        <v>192</v>
      </c>
      <c r="C4820" t="s">
        <v>60</v>
      </c>
      <c r="D4820" t="str">
        <f>HYPERLINK("http://service.sap.com/sap/support/notes/1500549","1500549")</f>
        <v>1500549</v>
      </c>
      <c r="F4820" t="s">
        <v>4787</v>
      </c>
    </row>
    <row r="4821" spans="1:6">
      <c r="A4821" t="s">
        <v>4696</v>
      </c>
      <c r="B4821" t="s">
        <v>197</v>
      </c>
      <c r="C4821" t="s">
        <v>63</v>
      </c>
      <c r="D4821" t="str">
        <f>HYPERLINK("http://service.sap.com/sap/support/notes/1492267","1492267")</f>
        <v>1492267</v>
      </c>
      <c r="F4821" t="s">
        <v>4788</v>
      </c>
    </row>
    <row r="4822" spans="1:6">
      <c r="A4822" t="s">
        <v>4696</v>
      </c>
      <c r="B4822" t="s">
        <v>197</v>
      </c>
      <c r="C4822" t="s">
        <v>63</v>
      </c>
      <c r="D4822" t="str">
        <f>HYPERLINK("http://service.sap.com/sap/support/notes/1496584","1496584")</f>
        <v>1496584</v>
      </c>
      <c r="F4822" t="s">
        <v>4789</v>
      </c>
    </row>
    <row r="4823" spans="1:6">
      <c r="A4823" t="s">
        <v>4696</v>
      </c>
      <c r="B4823" t="s">
        <v>204</v>
      </c>
      <c r="C4823" t="s">
        <v>205</v>
      </c>
      <c r="D4823" t="str">
        <f>HYPERLINK("http://service.sap.com/sap/support/notes/612934","612934")</f>
        <v>612934</v>
      </c>
      <c r="F4823" t="s">
        <v>206</v>
      </c>
    </row>
    <row r="4824" spans="1:6">
      <c r="A4824" t="s">
        <v>4696</v>
      </c>
      <c r="B4824" t="s">
        <v>204</v>
      </c>
      <c r="C4824" t="s">
        <v>205</v>
      </c>
      <c r="D4824" t="str">
        <f>HYPERLINK("http://service.sap.com/sap/support/notes/1497151","1497151")</f>
        <v>1497151</v>
      </c>
      <c r="F4824" t="s">
        <v>4790</v>
      </c>
    </row>
    <row r="4825" spans="1:6">
      <c r="A4825" t="s">
        <v>4696</v>
      </c>
      <c r="B4825" t="s">
        <v>207</v>
      </c>
      <c r="C4825" t="s">
        <v>208</v>
      </c>
      <c r="D4825" t="str">
        <f>HYPERLINK("http://service.sap.com/sap/support/notes/1491010","1491010")</f>
        <v>1491010</v>
      </c>
      <c r="F4825" t="s">
        <v>4791</v>
      </c>
    </row>
    <row r="4826" spans="1:6">
      <c r="A4826" t="s">
        <v>4696</v>
      </c>
      <c r="B4826" t="s">
        <v>218</v>
      </c>
      <c r="C4826" t="s">
        <v>219</v>
      </c>
      <c r="D4826" t="str">
        <f>HYPERLINK("http://service.sap.com/sap/support/notes/1434814","1434814")</f>
        <v>1434814</v>
      </c>
      <c r="F4826" t="s">
        <v>2387</v>
      </c>
    </row>
    <row r="4827" spans="1:6">
      <c r="A4827" t="s">
        <v>4696</v>
      </c>
      <c r="B4827" t="s">
        <v>218</v>
      </c>
      <c r="C4827" t="s">
        <v>219</v>
      </c>
      <c r="D4827" t="str">
        <f>HYPERLINK("http://service.sap.com/sap/support/notes/1487665","1487665")</f>
        <v>1487665</v>
      </c>
      <c r="F4827" t="s">
        <v>4792</v>
      </c>
    </row>
    <row r="4828" spans="1:6">
      <c r="A4828" t="s">
        <v>4696</v>
      </c>
      <c r="B4828" t="s">
        <v>218</v>
      </c>
      <c r="C4828" t="s">
        <v>219</v>
      </c>
      <c r="D4828" t="str">
        <f>HYPERLINK("http://service.sap.com/sap/support/notes/1489634","1489634")</f>
        <v>1489634</v>
      </c>
      <c r="F4828" t="s">
        <v>4793</v>
      </c>
    </row>
    <row r="4829" spans="1:6">
      <c r="A4829" t="s">
        <v>4696</v>
      </c>
      <c r="B4829" t="s">
        <v>218</v>
      </c>
      <c r="C4829" t="s">
        <v>219</v>
      </c>
      <c r="D4829" t="str">
        <f>HYPERLINK("http://service.sap.com/sap/support/notes/1490048","1490048")</f>
        <v>1490048</v>
      </c>
      <c r="F4829" t="s">
        <v>4794</v>
      </c>
    </row>
    <row r="4830" spans="1:6">
      <c r="A4830" t="s">
        <v>4696</v>
      </c>
      <c r="B4830" t="s">
        <v>218</v>
      </c>
      <c r="C4830" t="s">
        <v>219</v>
      </c>
      <c r="D4830" t="str">
        <f>HYPERLINK("http://service.sap.com/sap/support/notes/1490497","1490497")</f>
        <v>1490497</v>
      </c>
      <c r="F4830" t="s">
        <v>4795</v>
      </c>
    </row>
    <row r="4831" spans="1:6">
      <c r="A4831" t="s">
        <v>4696</v>
      </c>
      <c r="B4831" t="s">
        <v>218</v>
      </c>
      <c r="C4831" t="s">
        <v>219</v>
      </c>
      <c r="D4831" t="str">
        <f>HYPERLINK("http://service.sap.com/sap/support/notes/1491352","1491352")</f>
        <v>1491352</v>
      </c>
      <c r="F4831" t="s">
        <v>4796</v>
      </c>
    </row>
    <row r="4832" spans="1:6">
      <c r="A4832" t="s">
        <v>4696</v>
      </c>
      <c r="B4832" t="s">
        <v>218</v>
      </c>
      <c r="C4832" t="s">
        <v>219</v>
      </c>
      <c r="D4832" t="str">
        <f>HYPERLINK("http://service.sap.com/sap/support/notes/1493445","1493445")</f>
        <v>1493445</v>
      </c>
      <c r="F4832" t="s">
        <v>4797</v>
      </c>
    </row>
    <row r="4833" spans="1:6">
      <c r="A4833" t="s">
        <v>4696</v>
      </c>
      <c r="B4833" t="s">
        <v>225</v>
      </c>
      <c r="C4833" t="s">
        <v>66</v>
      </c>
      <c r="D4833" t="str">
        <f>HYPERLINK("http://service.sap.com/sap/support/notes/1491124","1491124")</f>
        <v>1491124</v>
      </c>
      <c r="F4833" t="s">
        <v>4798</v>
      </c>
    </row>
    <row r="4834" spans="1:6">
      <c r="A4834" t="s">
        <v>4696</v>
      </c>
      <c r="B4834" t="s">
        <v>228</v>
      </c>
      <c r="C4834" t="s">
        <v>69</v>
      </c>
    </row>
    <row r="4835" spans="1:6">
      <c r="A4835" t="s">
        <v>4696</v>
      </c>
      <c r="B4835" t="s">
        <v>1024</v>
      </c>
      <c r="C4835" t="s">
        <v>1458</v>
      </c>
      <c r="D4835" t="str">
        <f>HYPERLINK("http://service.sap.com/sap/support/notes/1487333","1487333")</f>
        <v>1487333</v>
      </c>
      <c r="F4835" t="s">
        <v>4799</v>
      </c>
    </row>
    <row r="4836" spans="1:6">
      <c r="A4836" t="s">
        <v>4696</v>
      </c>
      <c r="B4836" t="s">
        <v>1024</v>
      </c>
      <c r="C4836" t="s">
        <v>1458</v>
      </c>
      <c r="D4836" t="str">
        <f>HYPERLINK("http://service.sap.com/sap/support/notes/1493209","1493209")</f>
        <v>1493209</v>
      </c>
      <c r="F4836" t="s">
        <v>4800</v>
      </c>
    </row>
    <row r="4837" spans="1:6">
      <c r="A4837" t="s">
        <v>4696</v>
      </c>
      <c r="B4837" t="s">
        <v>1024</v>
      </c>
      <c r="C4837" t="s">
        <v>1458</v>
      </c>
      <c r="D4837" t="str">
        <f>HYPERLINK("http://service.sap.com/sap/support/notes/1499653","1499653")</f>
        <v>1499653</v>
      </c>
      <c r="F4837" t="s">
        <v>4801</v>
      </c>
    </row>
    <row r="4838" spans="1:6">
      <c r="A4838" t="s">
        <v>4696</v>
      </c>
      <c r="B4838" t="s">
        <v>1024</v>
      </c>
      <c r="C4838" t="s">
        <v>1458</v>
      </c>
      <c r="D4838" t="str">
        <f>HYPERLINK("http://service.sap.com/sap/support/notes/1500288","1500288")</f>
        <v>1500288</v>
      </c>
      <c r="F4838" t="s">
        <v>4802</v>
      </c>
    </row>
    <row r="4839" spans="1:6">
      <c r="A4839" t="s">
        <v>4696</v>
      </c>
      <c r="B4839" t="s">
        <v>233</v>
      </c>
      <c r="C4839" t="s">
        <v>234</v>
      </c>
    </row>
    <row r="4840" spans="1:6">
      <c r="A4840" t="s">
        <v>4696</v>
      </c>
      <c r="B4840" t="s">
        <v>235</v>
      </c>
      <c r="C4840" t="s">
        <v>236</v>
      </c>
      <c r="D4840" t="str">
        <f>HYPERLINK("http://service.sap.com/sap/support/notes/1492822","1492822")</f>
        <v>1492822</v>
      </c>
      <c r="F4840" t="s">
        <v>4803</v>
      </c>
    </row>
    <row r="4841" spans="1:6">
      <c r="A4841" t="s">
        <v>4696</v>
      </c>
      <c r="B4841" t="s">
        <v>235</v>
      </c>
      <c r="C4841" t="s">
        <v>236</v>
      </c>
      <c r="D4841" t="str">
        <f>HYPERLINK("http://service.sap.com/sap/support/notes/1493524","1493524")</f>
        <v>1493524</v>
      </c>
      <c r="F4841" t="s">
        <v>4804</v>
      </c>
    </row>
    <row r="4842" spans="1:6">
      <c r="A4842" t="s">
        <v>4696</v>
      </c>
      <c r="B4842" t="s">
        <v>235</v>
      </c>
      <c r="C4842" t="s">
        <v>236</v>
      </c>
      <c r="D4842" t="str">
        <f>HYPERLINK("http://service.sap.com/sap/support/notes/1494311","1494311")</f>
        <v>1494311</v>
      </c>
      <c r="F4842" t="s">
        <v>4805</v>
      </c>
    </row>
    <row r="4843" spans="1:6">
      <c r="A4843" t="s">
        <v>4696</v>
      </c>
      <c r="B4843" t="s">
        <v>235</v>
      </c>
      <c r="C4843" t="s">
        <v>236</v>
      </c>
      <c r="D4843" t="str">
        <f>HYPERLINK("http://service.sap.com/sap/support/notes/1498282","1498282")</f>
        <v>1498282</v>
      </c>
      <c r="F4843" t="s">
        <v>4806</v>
      </c>
    </row>
    <row r="4844" spans="1:6">
      <c r="A4844" t="s">
        <v>4696</v>
      </c>
      <c r="B4844" t="s">
        <v>235</v>
      </c>
      <c r="C4844" t="s">
        <v>236</v>
      </c>
      <c r="D4844" t="str">
        <f>HYPERLINK("http://service.sap.com/sap/support/notes/1499997","1499997")</f>
        <v>1499997</v>
      </c>
      <c r="F4844" t="s">
        <v>4807</v>
      </c>
    </row>
    <row r="4845" spans="1:6">
      <c r="A4845" t="s">
        <v>4696</v>
      </c>
      <c r="B4845" t="s">
        <v>1460</v>
      </c>
      <c r="C4845" t="s">
        <v>1461</v>
      </c>
      <c r="D4845" t="str">
        <f>HYPERLINK("http://service.sap.com/sap/support/notes/1491349","1491349")</f>
        <v>1491349</v>
      </c>
      <c r="F4845" t="s">
        <v>4808</v>
      </c>
    </row>
    <row r="4846" spans="1:6">
      <c r="A4846" t="s">
        <v>4696</v>
      </c>
      <c r="B4846" t="s">
        <v>1460</v>
      </c>
      <c r="C4846" t="s">
        <v>1461</v>
      </c>
      <c r="D4846" t="str">
        <f>HYPERLINK("http://service.sap.com/sap/support/notes/1491629","1491629")</f>
        <v>1491629</v>
      </c>
      <c r="F4846" t="s">
        <v>4809</v>
      </c>
    </row>
    <row r="4847" spans="1:6">
      <c r="A4847" t="s">
        <v>4696</v>
      </c>
      <c r="B4847" t="s">
        <v>1460</v>
      </c>
      <c r="C4847" t="s">
        <v>1461</v>
      </c>
      <c r="D4847" t="str">
        <f>HYPERLINK("http://service.sap.com/sap/support/notes/1492057","1492057")</f>
        <v>1492057</v>
      </c>
      <c r="F4847" t="s">
        <v>4810</v>
      </c>
    </row>
    <row r="4848" spans="1:6">
      <c r="A4848" t="s">
        <v>4696</v>
      </c>
      <c r="B4848" t="s">
        <v>1460</v>
      </c>
      <c r="C4848" t="s">
        <v>1461</v>
      </c>
      <c r="D4848" t="str">
        <f>HYPERLINK("http://service.sap.com/sap/support/notes/1493561","1493561")</f>
        <v>1493561</v>
      </c>
      <c r="F4848" t="s">
        <v>4811</v>
      </c>
    </row>
    <row r="4849" spans="1:6">
      <c r="A4849" t="s">
        <v>4696</v>
      </c>
      <c r="B4849" t="s">
        <v>1460</v>
      </c>
      <c r="C4849" t="s">
        <v>1461</v>
      </c>
      <c r="D4849" t="str">
        <f>HYPERLINK("http://service.sap.com/sap/support/notes/1495224","1495224")</f>
        <v>1495224</v>
      </c>
      <c r="F4849" t="s">
        <v>4812</v>
      </c>
    </row>
    <row r="4850" spans="1:6">
      <c r="A4850" t="s">
        <v>4696</v>
      </c>
      <c r="B4850" t="s">
        <v>1460</v>
      </c>
      <c r="C4850" t="s">
        <v>1461</v>
      </c>
      <c r="D4850" t="str">
        <f>HYPERLINK("http://service.sap.com/sap/support/notes/1497872","1497872")</f>
        <v>1497872</v>
      </c>
      <c r="F4850" t="s">
        <v>4813</v>
      </c>
    </row>
    <row r="4851" spans="1:6">
      <c r="A4851" t="s">
        <v>4696</v>
      </c>
      <c r="B4851" t="s">
        <v>1460</v>
      </c>
      <c r="C4851" t="s">
        <v>1461</v>
      </c>
      <c r="D4851" t="str">
        <f>HYPERLINK("http://service.sap.com/sap/support/notes/1499821","1499821")</f>
        <v>1499821</v>
      </c>
      <c r="F4851" t="s">
        <v>4814</v>
      </c>
    </row>
    <row r="4852" spans="1:6">
      <c r="A4852" t="s">
        <v>4696</v>
      </c>
      <c r="B4852" t="s">
        <v>1460</v>
      </c>
      <c r="C4852" t="s">
        <v>1461</v>
      </c>
      <c r="D4852" t="str">
        <f>HYPERLINK("http://service.sap.com/sap/support/notes/1500105","1500105")</f>
        <v>1500105</v>
      </c>
      <c r="F4852" t="s">
        <v>4815</v>
      </c>
    </row>
    <row r="4853" spans="1:6">
      <c r="A4853" t="s">
        <v>4696</v>
      </c>
      <c r="B4853" t="s">
        <v>1460</v>
      </c>
      <c r="C4853" t="s">
        <v>1461</v>
      </c>
      <c r="D4853" t="str">
        <f>HYPERLINK("http://service.sap.com/sap/support/notes/1500606","1500606")</f>
        <v>1500606</v>
      </c>
      <c r="F4853" t="s">
        <v>4816</v>
      </c>
    </row>
    <row r="4854" spans="1:6">
      <c r="A4854" t="s">
        <v>4696</v>
      </c>
      <c r="B4854" t="s">
        <v>1044</v>
      </c>
      <c r="C4854" t="s">
        <v>1645</v>
      </c>
      <c r="D4854" t="str">
        <f>HYPERLINK("http://service.sap.com/sap/support/notes/1498518","1498518")</f>
        <v>1498518</v>
      </c>
      <c r="F4854" t="s">
        <v>4817</v>
      </c>
    </row>
    <row r="4855" spans="1:6">
      <c r="A4855" t="s">
        <v>4696</v>
      </c>
      <c r="B4855" t="s">
        <v>238</v>
      </c>
      <c r="C4855" t="s">
        <v>239</v>
      </c>
    </row>
    <row r="4856" spans="1:6">
      <c r="A4856" t="s">
        <v>4696</v>
      </c>
      <c r="B4856" t="s">
        <v>240</v>
      </c>
      <c r="C4856" t="s">
        <v>241</v>
      </c>
      <c r="D4856" t="str">
        <f>HYPERLINK("http://service.sap.com/sap/support/notes/1495493","1495493")</f>
        <v>1495493</v>
      </c>
      <c r="F4856" t="s">
        <v>4818</v>
      </c>
    </row>
    <row r="4857" spans="1:6">
      <c r="A4857" t="s">
        <v>4696</v>
      </c>
      <c r="B4857" t="s">
        <v>244</v>
      </c>
      <c r="C4857" t="s">
        <v>245</v>
      </c>
      <c r="D4857" t="str">
        <f>HYPERLINK("http://service.sap.com/sap/support/notes/1495631","1495631")</f>
        <v>1495631</v>
      </c>
      <c r="F4857" t="s">
        <v>4819</v>
      </c>
    </row>
    <row r="4858" spans="1:6">
      <c r="A4858" t="s">
        <v>4696</v>
      </c>
      <c r="B4858" t="s">
        <v>244</v>
      </c>
      <c r="C4858" t="s">
        <v>245</v>
      </c>
      <c r="D4858" t="str">
        <f>HYPERLINK("http://service.sap.com/sap/support/notes/1496164","1496164")</f>
        <v>1496164</v>
      </c>
      <c r="F4858" t="s">
        <v>4820</v>
      </c>
    </row>
    <row r="4859" spans="1:6">
      <c r="A4859" t="s">
        <v>4696</v>
      </c>
      <c r="B4859" t="s">
        <v>244</v>
      </c>
      <c r="C4859" t="s">
        <v>245</v>
      </c>
      <c r="D4859" t="str">
        <f>HYPERLINK("http://service.sap.com/sap/support/notes/1500111","1500111")</f>
        <v>1500111</v>
      </c>
      <c r="F4859" t="s">
        <v>4821</v>
      </c>
    </row>
    <row r="4860" spans="1:6">
      <c r="A4860" t="s">
        <v>4696</v>
      </c>
      <c r="B4860" t="s">
        <v>249</v>
      </c>
      <c r="C4860" t="s">
        <v>250</v>
      </c>
      <c r="D4860" t="str">
        <f>HYPERLINK("http://service.sap.com/sap/support/notes/1486181","1486181")</f>
        <v>1486181</v>
      </c>
      <c r="F4860" t="s">
        <v>4822</v>
      </c>
    </row>
    <row r="4861" spans="1:6">
      <c r="A4861" t="s">
        <v>4696</v>
      </c>
      <c r="B4861" t="s">
        <v>249</v>
      </c>
      <c r="C4861" t="s">
        <v>250</v>
      </c>
      <c r="D4861" t="str">
        <f>HYPERLINK("http://service.sap.com/sap/support/notes/1492981","1492981")</f>
        <v>1492981</v>
      </c>
      <c r="F4861" t="s">
        <v>4823</v>
      </c>
    </row>
    <row r="4862" spans="1:6">
      <c r="A4862" t="s">
        <v>4696</v>
      </c>
      <c r="B4862" t="s">
        <v>249</v>
      </c>
      <c r="C4862" t="s">
        <v>250</v>
      </c>
      <c r="D4862" t="str">
        <f>HYPERLINK("http://service.sap.com/sap/support/notes/1496549","1496549")</f>
        <v>1496549</v>
      </c>
      <c r="F4862" t="s">
        <v>4824</v>
      </c>
    </row>
    <row r="4863" spans="1:6">
      <c r="A4863" t="s">
        <v>4696</v>
      </c>
      <c r="B4863" t="s">
        <v>254</v>
      </c>
      <c r="C4863" t="s">
        <v>255</v>
      </c>
      <c r="D4863" t="str">
        <f>HYPERLINK("http://service.sap.com/sap/support/notes/1489002","1489002")</f>
        <v>1489002</v>
      </c>
      <c r="F4863" t="s">
        <v>4825</v>
      </c>
    </row>
    <row r="4864" spans="1:6">
      <c r="A4864" t="s">
        <v>4696</v>
      </c>
      <c r="B4864" t="s">
        <v>254</v>
      </c>
      <c r="C4864" t="s">
        <v>255</v>
      </c>
      <c r="D4864" t="str">
        <f>HYPERLINK("http://service.sap.com/sap/support/notes/1496877","1496877")</f>
        <v>1496877</v>
      </c>
      <c r="F4864" t="s">
        <v>4826</v>
      </c>
    </row>
    <row r="4865" spans="1:6">
      <c r="A4865" t="s">
        <v>4696</v>
      </c>
      <c r="B4865" t="s">
        <v>254</v>
      </c>
      <c r="C4865" t="s">
        <v>255</v>
      </c>
      <c r="D4865" t="str">
        <f>HYPERLINK("http://service.sap.com/sap/support/notes/1497162","1497162")</f>
        <v>1497162</v>
      </c>
      <c r="F4865" t="s">
        <v>4827</v>
      </c>
    </row>
    <row r="4866" spans="1:6">
      <c r="A4866" t="s">
        <v>4696</v>
      </c>
      <c r="B4866" t="s">
        <v>254</v>
      </c>
      <c r="C4866" t="s">
        <v>255</v>
      </c>
      <c r="D4866" t="str">
        <f>HYPERLINK("http://service.sap.com/sap/support/notes/1499915","1499915")</f>
        <v>1499915</v>
      </c>
      <c r="F4866" t="s">
        <v>4828</v>
      </c>
    </row>
    <row r="4867" spans="1:6">
      <c r="A4867" t="s">
        <v>4696</v>
      </c>
      <c r="B4867" t="s">
        <v>258</v>
      </c>
      <c r="C4867" t="s">
        <v>189</v>
      </c>
      <c r="D4867" t="str">
        <f>HYPERLINK("http://service.sap.com/sap/support/notes/1455039","1455039")</f>
        <v>1455039</v>
      </c>
      <c r="F4867" t="s">
        <v>4829</v>
      </c>
    </row>
    <row r="4868" spans="1:6">
      <c r="A4868" t="s">
        <v>4696</v>
      </c>
      <c r="B4868" t="s">
        <v>258</v>
      </c>
      <c r="C4868" t="s">
        <v>189</v>
      </c>
      <c r="D4868" t="str">
        <f>HYPERLINK("http://service.sap.com/sap/support/notes/1485452","1485452")</f>
        <v>1485452</v>
      </c>
      <c r="F4868" t="s">
        <v>4830</v>
      </c>
    </row>
    <row r="4869" spans="1:6">
      <c r="A4869" t="s">
        <v>4696</v>
      </c>
      <c r="B4869" t="s">
        <v>258</v>
      </c>
      <c r="C4869" t="s">
        <v>189</v>
      </c>
      <c r="D4869" t="str">
        <f>HYPERLINK("http://service.sap.com/sap/support/notes/1490655","1490655")</f>
        <v>1490655</v>
      </c>
      <c r="F4869" t="s">
        <v>4831</v>
      </c>
    </row>
    <row r="4870" spans="1:6">
      <c r="A4870" t="s">
        <v>4696</v>
      </c>
      <c r="B4870" t="s">
        <v>258</v>
      </c>
      <c r="C4870" t="s">
        <v>189</v>
      </c>
      <c r="D4870" t="str">
        <f>HYPERLINK("http://service.sap.com/sap/support/notes/1494874","1494874")</f>
        <v>1494874</v>
      </c>
      <c r="F4870" t="s">
        <v>4832</v>
      </c>
    </row>
    <row r="4871" spans="1:6">
      <c r="A4871" t="s">
        <v>4696</v>
      </c>
      <c r="B4871" t="s">
        <v>258</v>
      </c>
      <c r="C4871" t="s">
        <v>189</v>
      </c>
      <c r="D4871" t="str">
        <f>HYPERLINK("http://service.sap.com/sap/support/notes/1497808","1497808")</f>
        <v>1497808</v>
      </c>
      <c r="F4871" t="s">
        <v>4833</v>
      </c>
    </row>
    <row r="4872" spans="1:6">
      <c r="A4872" t="s">
        <v>4696</v>
      </c>
      <c r="B4872" t="s">
        <v>258</v>
      </c>
      <c r="C4872" t="s">
        <v>189</v>
      </c>
      <c r="D4872" t="str">
        <f>HYPERLINK("http://service.sap.com/sap/support/notes/1500124","1500124")</f>
        <v>1500124</v>
      </c>
      <c r="F4872" t="s">
        <v>4834</v>
      </c>
    </row>
    <row r="4873" spans="1:6">
      <c r="A4873" t="s">
        <v>4696</v>
      </c>
      <c r="B4873" t="s">
        <v>258</v>
      </c>
      <c r="C4873" t="s">
        <v>189</v>
      </c>
      <c r="D4873" t="str">
        <f>HYPERLINK("http://service.sap.com/sap/support/notes/1500513","1500513")</f>
        <v>1500513</v>
      </c>
      <c r="F4873" t="s">
        <v>4835</v>
      </c>
    </row>
    <row r="4874" spans="1:6">
      <c r="A4874" t="s">
        <v>4696</v>
      </c>
      <c r="B4874" t="s">
        <v>258</v>
      </c>
      <c r="C4874" t="s">
        <v>189</v>
      </c>
      <c r="D4874" t="str">
        <f>HYPERLINK("http://service.sap.com/sap/support/notes/1500867","1500867")</f>
        <v>1500867</v>
      </c>
      <c r="F4874" t="s">
        <v>4836</v>
      </c>
    </row>
    <row r="4875" spans="1:6">
      <c r="A4875" t="s">
        <v>4696</v>
      </c>
      <c r="B4875" t="s">
        <v>273</v>
      </c>
      <c r="C4875" t="s">
        <v>274</v>
      </c>
      <c r="D4875" t="str">
        <f>HYPERLINK("http://service.sap.com/sap/support/notes/1492958","1492958")</f>
        <v>1492958</v>
      </c>
      <c r="F4875" t="s">
        <v>4837</v>
      </c>
    </row>
    <row r="4876" spans="1:6">
      <c r="A4876" t="s">
        <v>4696</v>
      </c>
      <c r="B4876" t="s">
        <v>279</v>
      </c>
      <c r="C4876" t="s">
        <v>280</v>
      </c>
      <c r="D4876" t="str">
        <f>HYPERLINK("http://service.sap.com/sap/support/notes/1492218","1492218")</f>
        <v>1492218</v>
      </c>
      <c r="F4876" t="s">
        <v>4838</v>
      </c>
    </row>
    <row r="4877" spans="1:6">
      <c r="A4877" t="s">
        <v>4696</v>
      </c>
      <c r="B4877" t="s">
        <v>279</v>
      </c>
      <c r="C4877" t="s">
        <v>280</v>
      </c>
      <c r="D4877" t="str">
        <f>HYPERLINK("http://service.sap.com/sap/support/notes/1496906","1496906")</f>
        <v>1496906</v>
      </c>
      <c r="F4877" t="s">
        <v>4839</v>
      </c>
    </row>
    <row r="4878" spans="1:6">
      <c r="A4878" t="s">
        <v>4696</v>
      </c>
      <c r="B4878" t="s">
        <v>279</v>
      </c>
      <c r="C4878" t="s">
        <v>280</v>
      </c>
      <c r="D4878" t="str">
        <f>HYPERLINK("http://service.sap.com/sap/support/notes/1499064","1499064")</f>
        <v>1499064</v>
      </c>
      <c r="F4878" t="s">
        <v>4840</v>
      </c>
    </row>
    <row r="4879" spans="1:6">
      <c r="A4879" t="s">
        <v>4696</v>
      </c>
      <c r="B4879" t="s">
        <v>292</v>
      </c>
      <c r="C4879" t="s">
        <v>293</v>
      </c>
      <c r="D4879" t="str">
        <f>HYPERLINK("http://service.sap.com/sap/support/notes/1496950","1496950")</f>
        <v>1496950</v>
      </c>
      <c r="F4879" t="s">
        <v>4841</v>
      </c>
    </row>
    <row r="4880" spans="1:6">
      <c r="A4880" t="s">
        <v>4696</v>
      </c>
      <c r="B4880" t="s">
        <v>295</v>
      </c>
      <c r="C4880" t="s">
        <v>208</v>
      </c>
    </row>
    <row r="4881" spans="1:6">
      <c r="A4881" t="s">
        <v>4696</v>
      </c>
      <c r="B4881" t="s">
        <v>299</v>
      </c>
      <c r="C4881" t="s">
        <v>300</v>
      </c>
      <c r="D4881" t="str">
        <f>HYPERLINK("http://service.sap.com/sap/support/notes/1415444","1415444")</f>
        <v>1415444</v>
      </c>
      <c r="F4881" t="s">
        <v>4842</v>
      </c>
    </row>
    <row r="4882" spans="1:6">
      <c r="A4882" t="s">
        <v>4696</v>
      </c>
      <c r="B4882" t="s">
        <v>299</v>
      </c>
      <c r="C4882" t="s">
        <v>300</v>
      </c>
      <c r="D4882" t="str">
        <f>HYPERLINK("http://service.sap.com/sap/support/notes/1493214","1493214")</f>
        <v>1493214</v>
      </c>
      <c r="F4882" t="s">
        <v>4843</v>
      </c>
    </row>
    <row r="4883" spans="1:6">
      <c r="A4883" t="s">
        <v>4696</v>
      </c>
      <c r="B4883" t="s">
        <v>299</v>
      </c>
      <c r="C4883" t="s">
        <v>300</v>
      </c>
      <c r="D4883" t="str">
        <f>HYPERLINK("http://service.sap.com/sap/support/notes/1493218","1493218")</f>
        <v>1493218</v>
      </c>
      <c r="F4883" t="s">
        <v>4844</v>
      </c>
    </row>
    <row r="4884" spans="1:6">
      <c r="A4884" t="s">
        <v>4696</v>
      </c>
      <c r="B4884" t="s">
        <v>305</v>
      </c>
      <c r="C4884" t="s">
        <v>306</v>
      </c>
      <c r="D4884" t="str">
        <f>HYPERLINK("http://service.sap.com/sap/support/notes/1469819","1469819")</f>
        <v>1469819</v>
      </c>
      <c r="F4884" t="s">
        <v>4845</v>
      </c>
    </row>
    <row r="4885" spans="1:6">
      <c r="A4885" t="s">
        <v>4696</v>
      </c>
      <c r="B4885" t="s">
        <v>305</v>
      </c>
      <c r="C4885" t="s">
        <v>306</v>
      </c>
      <c r="D4885" t="str">
        <f>HYPERLINK("http://service.sap.com/sap/support/notes/1472178","1472178")</f>
        <v>1472178</v>
      </c>
      <c r="F4885" t="s">
        <v>4846</v>
      </c>
    </row>
    <row r="4886" spans="1:6">
      <c r="A4886" t="s">
        <v>4696</v>
      </c>
      <c r="B4886" t="s">
        <v>305</v>
      </c>
      <c r="C4886" t="s">
        <v>306</v>
      </c>
      <c r="D4886" t="str">
        <f>HYPERLINK("http://service.sap.com/sap/support/notes/1476397","1476397")</f>
        <v>1476397</v>
      </c>
      <c r="F4886" t="s">
        <v>4847</v>
      </c>
    </row>
    <row r="4887" spans="1:6">
      <c r="A4887" t="s">
        <v>4696</v>
      </c>
      <c r="B4887" t="s">
        <v>305</v>
      </c>
      <c r="C4887" t="s">
        <v>306</v>
      </c>
      <c r="D4887" t="str">
        <f>HYPERLINK("http://service.sap.com/sap/support/notes/1482306","1482306")</f>
        <v>1482306</v>
      </c>
      <c r="F4887" t="s">
        <v>4848</v>
      </c>
    </row>
    <row r="4888" spans="1:6">
      <c r="A4888" t="s">
        <v>4696</v>
      </c>
      <c r="B4888" t="s">
        <v>305</v>
      </c>
      <c r="C4888" t="s">
        <v>306</v>
      </c>
      <c r="D4888" t="str">
        <f>HYPERLINK("http://service.sap.com/sap/support/notes/1482417","1482417")</f>
        <v>1482417</v>
      </c>
      <c r="F4888" t="s">
        <v>4849</v>
      </c>
    </row>
    <row r="4889" spans="1:6">
      <c r="A4889" t="s">
        <v>4696</v>
      </c>
      <c r="B4889" t="s">
        <v>305</v>
      </c>
      <c r="C4889" t="s">
        <v>306</v>
      </c>
      <c r="D4889" t="str">
        <f>HYPERLINK("http://service.sap.com/sap/support/notes/1482925","1482925")</f>
        <v>1482925</v>
      </c>
      <c r="F4889" t="s">
        <v>4850</v>
      </c>
    </row>
    <row r="4890" spans="1:6">
      <c r="A4890" t="s">
        <v>4696</v>
      </c>
      <c r="B4890" t="s">
        <v>305</v>
      </c>
      <c r="C4890" t="s">
        <v>306</v>
      </c>
      <c r="D4890" t="str">
        <f>HYPERLINK("http://service.sap.com/sap/support/notes/1485499","1485499")</f>
        <v>1485499</v>
      </c>
      <c r="F4890" t="s">
        <v>4851</v>
      </c>
    </row>
    <row r="4891" spans="1:6">
      <c r="A4891" t="s">
        <v>4696</v>
      </c>
      <c r="B4891" t="s">
        <v>305</v>
      </c>
      <c r="C4891" t="s">
        <v>306</v>
      </c>
      <c r="D4891" t="str">
        <f>HYPERLINK("http://service.sap.com/sap/support/notes/1490342","1490342")</f>
        <v>1490342</v>
      </c>
      <c r="F4891" t="s">
        <v>4852</v>
      </c>
    </row>
    <row r="4892" spans="1:6">
      <c r="A4892" t="s">
        <v>4696</v>
      </c>
      <c r="B4892" t="s">
        <v>305</v>
      </c>
      <c r="C4892" t="s">
        <v>306</v>
      </c>
      <c r="D4892" t="str">
        <f>HYPERLINK("http://service.sap.com/sap/support/notes/1490435","1490435")</f>
        <v>1490435</v>
      </c>
      <c r="F4892" t="s">
        <v>4853</v>
      </c>
    </row>
    <row r="4893" spans="1:6">
      <c r="A4893" t="s">
        <v>4696</v>
      </c>
      <c r="B4893" t="s">
        <v>305</v>
      </c>
      <c r="C4893" t="s">
        <v>306</v>
      </c>
      <c r="D4893" t="str">
        <f>HYPERLINK("http://service.sap.com/sap/support/notes/1492638","1492638")</f>
        <v>1492638</v>
      </c>
      <c r="F4893" t="s">
        <v>4854</v>
      </c>
    </row>
    <row r="4894" spans="1:6">
      <c r="A4894" t="s">
        <v>4696</v>
      </c>
      <c r="B4894" t="s">
        <v>305</v>
      </c>
      <c r="C4894" t="s">
        <v>306</v>
      </c>
      <c r="D4894" t="str">
        <f>HYPERLINK("http://service.sap.com/sap/support/notes/1493042","1493042")</f>
        <v>1493042</v>
      </c>
      <c r="F4894" t="s">
        <v>4855</v>
      </c>
    </row>
    <row r="4895" spans="1:6">
      <c r="A4895" t="s">
        <v>4696</v>
      </c>
      <c r="B4895" t="s">
        <v>305</v>
      </c>
      <c r="C4895" t="s">
        <v>306</v>
      </c>
      <c r="D4895" t="str">
        <f>HYPERLINK("http://service.sap.com/sap/support/notes/1494144","1494144")</f>
        <v>1494144</v>
      </c>
      <c r="F4895" t="s">
        <v>4856</v>
      </c>
    </row>
    <row r="4896" spans="1:6">
      <c r="A4896" t="s">
        <v>4696</v>
      </c>
      <c r="B4896" t="s">
        <v>305</v>
      </c>
      <c r="C4896" t="s">
        <v>306</v>
      </c>
      <c r="D4896" t="str">
        <f>HYPERLINK("http://service.sap.com/sap/support/notes/1494881","1494881")</f>
        <v>1494881</v>
      </c>
      <c r="F4896" t="s">
        <v>4857</v>
      </c>
    </row>
    <row r="4897" spans="1:6">
      <c r="A4897" t="s">
        <v>4696</v>
      </c>
      <c r="B4897" t="s">
        <v>305</v>
      </c>
      <c r="C4897" t="s">
        <v>306</v>
      </c>
      <c r="D4897" t="str">
        <f>HYPERLINK("http://service.sap.com/sap/support/notes/1495291","1495291")</f>
        <v>1495291</v>
      </c>
      <c r="F4897" t="s">
        <v>4858</v>
      </c>
    </row>
    <row r="4898" spans="1:6">
      <c r="A4898" t="s">
        <v>4696</v>
      </c>
      <c r="B4898" t="s">
        <v>305</v>
      </c>
      <c r="C4898" t="s">
        <v>306</v>
      </c>
      <c r="D4898" t="str">
        <f>HYPERLINK("http://service.sap.com/sap/support/notes/1495793","1495793")</f>
        <v>1495793</v>
      </c>
      <c r="F4898" t="s">
        <v>4859</v>
      </c>
    </row>
    <row r="4899" spans="1:6">
      <c r="A4899" t="s">
        <v>4696</v>
      </c>
      <c r="B4899" t="s">
        <v>305</v>
      </c>
      <c r="C4899" t="s">
        <v>306</v>
      </c>
      <c r="D4899" t="str">
        <f>HYPERLINK("http://service.sap.com/sap/support/notes/1497060","1497060")</f>
        <v>1497060</v>
      </c>
      <c r="F4899" t="s">
        <v>4860</v>
      </c>
    </row>
    <row r="4900" spans="1:6">
      <c r="A4900" t="s">
        <v>4696</v>
      </c>
      <c r="B4900" t="s">
        <v>305</v>
      </c>
      <c r="C4900" t="s">
        <v>306</v>
      </c>
      <c r="D4900" t="str">
        <f>HYPERLINK("http://service.sap.com/sap/support/notes/1497072","1497072")</f>
        <v>1497072</v>
      </c>
      <c r="F4900" t="s">
        <v>4861</v>
      </c>
    </row>
    <row r="4901" spans="1:6">
      <c r="A4901" t="s">
        <v>4696</v>
      </c>
      <c r="B4901" t="s">
        <v>305</v>
      </c>
      <c r="C4901" t="s">
        <v>306</v>
      </c>
      <c r="D4901" t="str">
        <f>HYPERLINK("http://service.sap.com/sap/support/notes/1497843","1497843")</f>
        <v>1497843</v>
      </c>
      <c r="F4901" t="s">
        <v>4862</v>
      </c>
    </row>
    <row r="4902" spans="1:6">
      <c r="A4902" t="s">
        <v>4696</v>
      </c>
      <c r="B4902" t="s">
        <v>305</v>
      </c>
      <c r="C4902" t="s">
        <v>306</v>
      </c>
      <c r="D4902" t="str">
        <f>HYPERLINK("http://service.sap.com/sap/support/notes/1498400","1498400")</f>
        <v>1498400</v>
      </c>
      <c r="F4902" t="s">
        <v>4863</v>
      </c>
    </row>
    <row r="4903" spans="1:6">
      <c r="A4903" t="s">
        <v>4696</v>
      </c>
      <c r="B4903" t="s">
        <v>305</v>
      </c>
      <c r="C4903" t="s">
        <v>306</v>
      </c>
      <c r="D4903" t="str">
        <f>HYPERLINK("http://service.sap.com/sap/support/notes/1499101","1499101")</f>
        <v>1499101</v>
      </c>
      <c r="F4903" t="s">
        <v>4864</v>
      </c>
    </row>
    <row r="4904" spans="1:6">
      <c r="A4904" t="s">
        <v>4696</v>
      </c>
      <c r="B4904" t="s">
        <v>352</v>
      </c>
      <c r="C4904" t="s">
        <v>353</v>
      </c>
      <c r="D4904" t="str">
        <f>HYPERLINK("http://service.sap.com/sap/support/notes/1487065","1487065")</f>
        <v>1487065</v>
      </c>
      <c r="F4904" t="s">
        <v>4865</v>
      </c>
    </row>
    <row r="4905" spans="1:6">
      <c r="A4905" t="s">
        <v>4696</v>
      </c>
      <c r="B4905" t="s">
        <v>352</v>
      </c>
      <c r="C4905" t="s">
        <v>353</v>
      </c>
      <c r="D4905" t="str">
        <f>HYPERLINK("http://service.sap.com/sap/support/notes/1487767","1487767")</f>
        <v>1487767</v>
      </c>
      <c r="F4905" t="s">
        <v>4866</v>
      </c>
    </row>
    <row r="4906" spans="1:6">
      <c r="A4906" t="s">
        <v>4696</v>
      </c>
      <c r="B4906" t="s">
        <v>352</v>
      </c>
      <c r="C4906" t="s">
        <v>353</v>
      </c>
      <c r="D4906" t="str">
        <f>HYPERLINK("http://service.sap.com/sap/support/notes/1493347","1493347")</f>
        <v>1493347</v>
      </c>
      <c r="F4906" t="s">
        <v>4867</v>
      </c>
    </row>
    <row r="4907" spans="1:6">
      <c r="A4907" t="s">
        <v>4696</v>
      </c>
      <c r="B4907" t="s">
        <v>357</v>
      </c>
      <c r="C4907" t="s">
        <v>76</v>
      </c>
      <c r="D4907" t="str">
        <f>HYPERLINK("http://service.sap.com/sap/support/notes/1479484","1479484")</f>
        <v>1479484</v>
      </c>
      <c r="F4907" t="s">
        <v>4523</v>
      </c>
    </row>
    <row r="4908" spans="1:6">
      <c r="A4908" t="s">
        <v>4696</v>
      </c>
      <c r="B4908" t="s">
        <v>357</v>
      </c>
      <c r="C4908" t="s">
        <v>76</v>
      </c>
      <c r="D4908" t="str">
        <f>HYPERLINK("http://service.sap.com/sap/support/notes/1490597","1490597")</f>
        <v>1490597</v>
      </c>
      <c r="F4908" t="s">
        <v>4543</v>
      </c>
    </row>
    <row r="4909" spans="1:6">
      <c r="A4909" t="s">
        <v>4696</v>
      </c>
      <c r="B4909" t="s">
        <v>357</v>
      </c>
      <c r="C4909" t="s">
        <v>76</v>
      </c>
      <c r="D4909" t="str">
        <f>HYPERLINK("http://service.sap.com/sap/support/notes/1494851","1494851")</f>
        <v>1494851</v>
      </c>
      <c r="F4909" t="s">
        <v>4868</v>
      </c>
    </row>
    <row r="4910" spans="1:6">
      <c r="A4910" t="s">
        <v>4696</v>
      </c>
      <c r="B4910" t="s">
        <v>357</v>
      </c>
      <c r="C4910" t="s">
        <v>76</v>
      </c>
      <c r="D4910" t="str">
        <f>HYPERLINK("http://service.sap.com/sap/support/notes/1496471","1496471")</f>
        <v>1496471</v>
      </c>
      <c r="F4910" t="s">
        <v>4869</v>
      </c>
    </row>
    <row r="4911" spans="1:6">
      <c r="A4911" t="s">
        <v>4696</v>
      </c>
      <c r="B4911" t="s">
        <v>369</v>
      </c>
      <c r="C4911" t="s">
        <v>370</v>
      </c>
      <c r="D4911" t="str">
        <f>HYPERLINK("http://service.sap.com/sap/support/notes/1129168","1129168")</f>
        <v>1129168</v>
      </c>
      <c r="F4911" t="s">
        <v>371</v>
      </c>
    </row>
    <row r="4912" spans="1:6">
      <c r="A4912" t="s">
        <v>4696</v>
      </c>
      <c r="B4912" t="s">
        <v>369</v>
      </c>
      <c r="C4912" t="s">
        <v>370</v>
      </c>
      <c r="D4912" t="str">
        <f>HYPERLINK("http://service.sap.com/sap/support/notes/1496833","1496833")</f>
        <v>1496833</v>
      </c>
      <c r="F4912" t="s">
        <v>4870</v>
      </c>
    </row>
    <row r="4913" spans="1:6">
      <c r="A4913" t="s">
        <v>4696</v>
      </c>
      <c r="B4913" t="s">
        <v>374</v>
      </c>
      <c r="C4913" t="s">
        <v>189</v>
      </c>
      <c r="D4913" t="str">
        <f>HYPERLINK("http://service.sap.com/sap/support/notes/1485024","1485024")</f>
        <v>1485024</v>
      </c>
      <c r="F4913" t="s">
        <v>4871</v>
      </c>
    </row>
    <row r="4914" spans="1:6">
      <c r="A4914" t="s">
        <v>4696</v>
      </c>
      <c r="B4914" t="s">
        <v>374</v>
      </c>
      <c r="C4914" t="s">
        <v>189</v>
      </c>
      <c r="D4914" t="str">
        <f>HYPERLINK("http://service.sap.com/sap/support/notes/1500429","1500429")</f>
        <v>1500429</v>
      </c>
      <c r="F4914" t="s">
        <v>4872</v>
      </c>
    </row>
    <row r="4915" spans="1:6">
      <c r="A4915" t="s">
        <v>4696</v>
      </c>
      <c r="B4915" t="s">
        <v>385</v>
      </c>
      <c r="C4915" t="s">
        <v>208</v>
      </c>
    </row>
    <row r="4916" spans="1:6">
      <c r="A4916" t="s">
        <v>4696</v>
      </c>
      <c r="B4916" t="s">
        <v>386</v>
      </c>
      <c r="C4916" t="s">
        <v>387</v>
      </c>
      <c r="D4916" t="str">
        <f>HYPERLINK("http://service.sap.com/sap/support/notes/1492503","1492503")</f>
        <v>1492503</v>
      </c>
      <c r="F4916" t="s">
        <v>4873</v>
      </c>
    </row>
    <row r="4917" spans="1:6">
      <c r="A4917" t="s">
        <v>4696</v>
      </c>
      <c r="B4917" t="s">
        <v>391</v>
      </c>
      <c r="C4917" t="s">
        <v>392</v>
      </c>
      <c r="D4917" t="str">
        <f>HYPERLINK("http://service.sap.com/sap/support/notes/1338384","1338384")</f>
        <v>1338384</v>
      </c>
      <c r="F4917" t="s">
        <v>4874</v>
      </c>
    </row>
    <row r="4918" spans="1:6">
      <c r="A4918" t="s">
        <v>4696</v>
      </c>
      <c r="B4918" t="s">
        <v>391</v>
      </c>
      <c r="C4918" t="s">
        <v>392</v>
      </c>
      <c r="D4918" t="str">
        <f>HYPERLINK("http://service.sap.com/sap/support/notes/1480572","1480572")</f>
        <v>1480572</v>
      </c>
      <c r="F4918" t="s">
        <v>4557</v>
      </c>
    </row>
    <row r="4919" spans="1:6">
      <c r="A4919" t="s">
        <v>4696</v>
      </c>
      <c r="B4919" t="s">
        <v>391</v>
      </c>
      <c r="C4919" t="s">
        <v>392</v>
      </c>
      <c r="D4919" t="str">
        <f>HYPERLINK("http://service.sap.com/sap/support/notes/1484013","1484013")</f>
        <v>1484013</v>
      </c>
      <c r="F4919" t="s">
        <v>4875</v>
      </c>
    </row>
    <row r="4920" spans="1:6">
      <c r="A4920" t="s">
        <v>4696</v>
      </c>
      <c r="B4920" t="s">
        <v>391</v>
      </c>
      <c r="C4920" t="s">
        <v>392</v>
      </c>
      <c r="D4920" t="str">
        <f>HYPERLINK("http://service.sap.com/sap/support/notes/1494509","1494509")</f>
        <v>1494509</v>
      </c>
      <c r="F4920" t="s">
        <v>4876</v>
      </c>
    </row>
    <row r="4921" spans="1:6">
      <c r="A4921" t="s">
        <v>4696</v>
      </c>
      <c r="B4921" t="s">
        <v>391</v>
      </c>
      <c r="C4921" t="s">
        <v>392</v>
      </c>
      <c r="D4921" t="str">
        <f>HYPERLINK("http://service.sap.com/sap/support/notes/1498468","1498468")</f>
        <v>1498468</v>
      </c>
      <c r="F4921" t="s">
        <v>4877</v>
      </c>
    </row>
    <row r="4922" spans="1:6">
      <c r="A4922" t="s">
        <v>4696</v>
      </c>
      <c r="B4922" t="s">
        <v>391</v>
      </c>
      <c r="C4922" t="s">
        <v>392</v>
      </c>
      <c r="D4922" t="str">
        <f>HYPERLINK("http://service.sap.com/sap/support/notes/1499295","1499295")</f>
        <v>1499295</v>
      </c>
      <c r="F4922" t="s">
        <v>4878</v>
      </c>
    </row>
    <row r="4923" spans="1:6">
      <c r="A4923" t="s">
        <v>4696</v>
      </c>
      <c r="B4923" t="s">
        <v>401</v>
      </c>
      <c r="C4923" t="s">
        <v>402</v>
      </c>
      <c r="D4923" t="str">
        <f>HYPERLINK("http://service.sap.com/sap/support/notes/1147798","1147798")</f>
        <v>1147798</v>
      </c>
      <c r="F4923" t="s">
        <v>4560</v>
      </c>
    </row>
    <row r="4924" spans="1:6">
      <c r="A4924" t="s">
        <v>4696</v>
      </c>
      <c r="B4924" t="s">
        <v>401</v>
      </c>
      <c r="C4924" t="s">
        <v>402</v>
      </c>
      <c r="D4924" t="str">
        <f>HYPERLINK("http://service.sap.com/sap/support/notes/1392972","1392972")</f>
        <v>1392972</v>
      </c>
      <c r="F4924" t="s">
        <v>4879</v>
      </c>
    </row>
    <row r="4925" spans="1:6">
      <c r="A4925" t="s">
        <v>4696</v>
      </c>
      <c r="B4925" t="s">
        <v>401</v>
      </c>
      <c r="C4925" t="s">
        <v>402</v>
      </c>
      <c r="D4925" t="str">
        <f>HYPERLINK("http://service.sap.com/sap/support/notes/1467338","1467338")</f>
        <v>1467338</v>
      </c>
      <c r="F4925" t="s">
        <v>4880</v>
      </c>
    </row>
    <row r="4926" spans="1:6">
      <c r="A4926" t="s">
        <v>4696</v>
      </c>
      <c r="B4926" t="s">
        <v>401</v>
      </c>
      <c r="C4926" t="s">
        <v>402</v>
      </c>
      <c r="D4926" t="str">
        <f>HYPERLINK("http://service.sap.com/sap/support/notes/1492386","1492386")</f>
        <v>1492386</v>
      </c>
      <c r="F4926" t="s">
        <v>4881</v>
      </c>
    </row>
    <row r="4927" spans="1:6">
      <c r="A4927" t="s">
        <v>4696</v>
      </c>
      <c r="B4927" t="s">
        <v>401</v>
      </c>
      <c r="C4927" t="s">
        <v>402</v>
      </c>
      <c r="D4927" t="str">
        <f>HYPERLINK("http://service.sap.com/sap/support/notes/1494619","1494619")</f>
        <v>1494619</v>
      </c>
      <c r="F4927" t="s">
        <v>4882</v>
      </c>
    </row>
    <row r="4928" spans="1:6">
      <c r="A4928" t="s">
        <v>4696</v>
      </c>
      <c r="B4928" t="s">
        <v>410</v>
      </c>
      <c r="C4928" t="s">
        <v>411</v>
      </c>
      <c r="D4928" t="str">
        <f>HYPERLINK("http://service.sap.com/sap/support/notes/1337155","1337155")</f>
        <v>1337155</v>
      </c>
      <c r="F4928" t="s">
        <v>3206</v>
      </c>
    </row>
    <row r="4929" spans="1:6">
      <c r="A4929" t="s">
        <v>4696</v>
      </c>
      <c r="B4929" t="s">
        <v>410</v>
      </c>
      <c r="C4929" t="s">
        <v>411</v>
      </c>
      <c r="D4929" t="str">
        <f>HYPERLINK("http://service.sap.com/sap/support/notes/1468518","1468518")</f>
        <v>1468518</v>
      </c>
      <c r="F4929" t="s">
        <v>4883</v>
      </c>
    </row>
    <row r="4930" spans="1:6">
      <c r="A4930" t="s">
        <v>4696</v>
      </c>
      <c r="B4930" t="s">
        <v>410</v>
      </c>
      <c r="C4930" t="s">
        <v>411</v>
      </c>
      <c r="D4930" t="str">
        <f>HYPERLINK("http://service.sap.com/sap/support/notes/1473362","1473362")</f>
        <v>1473362</v>
      </c>
      <c r="F4930" t="s">
        <v>4884</v>
      </c>
    </row>
    <row r="4931" spans="1:6">
      <c r="A4931" t="s">
        <v>4696</v>
      </c>
      <c r="B4931" t="s">
        <v>410</v>
      </c>
      <c r="C4931" t="s">
        <v>411</v>
      </c>
      <c r="D4931" t="str">
        <f>HYPERLINK("http://service.sap.com/sap/support/notes/1479138","1479138")</f>
        <v>1479138</v>
      </c>
      <c r="F4931" t="s">
        <v>4885</v>
      </c>
    </row>
    <row r="4932" spans="1:6">
      <c r="A4932" t="s">
        <v>4696</v>
      </c>
      <c r="B4932" t="s">
        <v>410</v>
      </c>
      <c r="C4932" t="s">
        <v>411</v>
      </c>
      <c r="D4932" t="str">
        <f>HYPERLINK("http://service.sap.com/sap/support/notes/1481030","1481030")</f>
        <v>1481030</v>
      </c>
      <c r="F4932" t="s">
        <v>4886</v>
      </c>
    </row>
    <row r="4933" spans="1:6">
      <c r="A4933" t="s">
        <v>4696</v>
      </c>
      <c r="B4933" t="s">
        <v>410</v>
      </c>
      <c r="C4933" t="s">
        <v>411</v>
      </c>
      <c r="D4933" t="str">
        <f>HYPERLINK("http://service.sap.com/sap/support/notes/1487111","1487111")</f>
        <v>1487111</v>
      </c>
      <c r="F4933" t="s">
        <v>4887</v>
      </c>
    </row>
    <row r="4934" spans="1:6">
      <c r="A4934" t="s">
        <v>4696</v>
      </c>
      <c r="B4934" t="s">
        <v>410</v>
      </c>
      <c r="C4934" t="s">
        <v>411</v>
      </c>
      <c r="D4934" t="str">
        <f>HYPERLINK("http://service.sap.com/sap/support/notes/1490193","1490193")</f>
        <v>1490193</v>
      </c>
      <c r="F4934" t="s">
        <v>4888</v>
      </c>
    </row>
    <row r="4935" spans="1:6">
      <c r="A4935" t="s">
        <v>4696</v>
      </c>
      <c r="B4935" t="s">
        <v>410</v>
      </c>
      <c r="C4935" t="s">
        <v>411</v>
      </c>
      <c r="D4935" t="str">
        <f>HYPERLINK("http://service.sap.com/sap/support/notes/1493175","1493175")</f>
        <v>1493175</v>
      </c>
      <c r="F4935" t="s">
        <v>4889</v>
      </c>
    </row>
    <row r="4936" spans="1:6">
      <c r="A4936" t="s">
        <v>4696</v>
      </c>
      <c r="B4936" t="s">
        <v>1230</v>
      </c>
      <c r="C4936" t="s">
        <v>1231</v>
      </c>
      <c r="D4936" t="str">
        <f>HYPERLINK("http://service.sap.com/sap/support/notes/1487460","1487460")</f>
        <v>1487460</v>
      </c>
      <c r="F4936" t="s">
        <v>4890</v>
      </c>
    </row>
    <row r="4937" spans="1:6">
      <c r="A4937" t="s">
        <v>4696</v>
      </c>
      <c r="B4937" t="s">
        <v>424</v>
      </c>
      <c r="C4937" t="s">
        <v>425</v>
      </c>
      <c r="D4937" t="str">
        <f>HYPERLINK("http://service.sap.com/sap/support/notes/1453489","1453489")</f>
        <v>1453489</v>
      </c>
      <c r="F4937" t="s">
        <v>3231</v>
      </c>
    </row>
    <row r="4938" spans="1:6">
      <c r="A4938" t="s">
        <v>4696</v>
      </c>
      <c r="B4938" t="s">
        <v>424</v>
      </c>
      <c r="C4938" t="s">
        <v>425</v>
      </c>
      <c r="D4938" t="str">
        <f>HYPERLINK("http://service.sap.com/sap/support/notes/1472441","1472441")</f>
        <v>1472441</v>
      </c>
      <c r="F4938" t="s">
        <v>4891</v>
      </c>
    </row>
    <row r="4939" spans="1:6">
      <c r="A4939" t="s">
        <v>4696</v>
      </c>
      <c r="B4939" t="s">
        <v>424</v>
      </c>
      <c r="C4939" t="s">
        <v>425</v>
      </c>
      <c r="D4939" t="str">
        <f>HYPERLINK("http://service.sap.com/sap/support/notes/1483816","1483816")</f>
        <v>1483816</v>
      </c>
      <c r="F4939" t="s">
        <v>4892</v>
      </c>
    </row>
    <row r="4940" spans="1:6">
      <c r="A4940" t="s">
        <v>4696</v>
      </c>
      <c r="B4940" t="s">
        <v>424</v>
      </c>
      <c r="C4940" t="s">
        <v>425</v>
      </c>
      <c r="D4940" t="str">
        <f>HYPERLINK("http://service.sap.com/sap/support/notes/1484499","1484499")</f>
        <v>1484499</v>
      </c>
      <c r="F4940" t="s">
        <v>4893</v>
      </c>
    </row>
    <row r="4941" spans="1:6">
      <c r="A4941" t="s">
        <v>4696</v>
      </c>
      <c r="B4941" t="s">
        <v>424</v>
      </c>
      <c r="C4941" t="s">
        <v>425</v>
      </c>
      <c r="D4941" t="str">
        <f>HYPERLINK("http://service.sap.com/sap/support/notes/1488570","1488570")</f>
        <v>1488570</v>
      </c>
      <c r="F4941" t="s">
        <v>4894</v>
      </c>
    </row>
    <row r="4942" spans="1:6">
      <c r="A4942" t="s">
        <v>4696</v>
      </c>
      <c r="B4942" t="s">
        <v>424</v>
      </c>
      <c r="C4942" t="s">
        <v>425</v>
      </c>
      <c r="D4942" t="str">
        <f>HYPERLINK("http://service.sap.com/sap/support/notes/1489909","1489909")</f>
        <v>1489909</v>
      </c>
      <c r="F4942" t="s">
        <v>4895</v>
      </c>
    </row>
    <row r="4943" spans="1:6">
      <c r="A4943" t="s">
        <v>4696</v>
      </c>
      <c r="B4943" t="s">
        <v>424</v>
      </c>
      <c r="C4943" t="s">
        <v>425</v>
      </c>
      <c r="D4943" t="str">
        <f>HYPERLINK("http://service.sap.com/sap/support/notes/1492932","1492932")</f>
        <v>1492932</v>
      </c>
      <c r="F4943" t="s">
        <v>4896</v>
      </c>
    </row>
    <row r="4944" spans="1:6">
      <c r="A4944" t="s">
        <v>4696</v>
      </c>
      <c r="B4944" t="s">
        <v>424</v>
      </c>
      <c r="C4944" t="s">
        <v>425</v>
      </c>
      <c r="D4944" t="str">
        <f>HYPERLINK("http://service.sap.com/sap/support/notes/1493922","1493922")</f>
        <v>1493922</v>
      </c>
      <c r="F4944" t="s">
        <v>4897</v>
      </c>
    </row>
    <row r="4945" spans="1:6">
      <c r="A4945" t="s">
        <v>4696</v>
      </c>
      <c r="B4945" t="s">
        <v>424</v>
      </c>
      <c r="C4945" t="s">
        <v>425</v>
      </c>
      <c r="D4945" t="str">
        <f>HYPERLINK("http://service.sap.com/sap/support/notes/1493985","1493985")</f>
        <v>1493985</v>
      </c>
      <c r="F4945" t="s">
        <v>4898</v>
      </c>
    </row>
    <row r="4946" spans="1:6">
      <c r="A4946" t="s">
        <v>4696</v>
      </c>
      <c r="B4946" t="s">
        <v>441</v>
      </c>
      <c r="C4946" t="s">
        <v>442</v>
      </c>
      <c r="D4946" t="str">
        <f>HYPERLINK("http://service.sap.com/sap/support/notes/1487884","1487884")</f>
        <v>1487884</v>
      </c>
      <c r="F4946" t="s">
        <v>4899</v>
      </c>
    </row>
    <row r="4947" spans="1:6">
      <c r="A4947" t="s">
        <v>4696</v>
      </c>
      <c r="B4947" t="s">
        <v>441</v>
      </c>
      <c r="C4947" t="s">
        <v>442</v>
      </c>
      <c r="D4947" t="str">
        <f>HYPERLINK("http://service.sap.com/sap/support/notes/1492690","1492690")</f>
        <v>1492690</v>
      </c>
      <c r="F4947" t="s">
        <v>4900</v>
      </c>
    </row>
    <row r="4948" spans="1:6">
      <c r="A4948" t="s">
        <v>4696</v>
      </c>
      <c r="B4948" t="s">
        <v>441</v>
      </c>
      <c r="C4948" t="s">
        <v>442</v>
      </c>
      <c r="D4948" t="str">
        <f>HYPERLINK("http://service.sap.com/sap/support/notes/1494161","1494161")</f>
        <v>1494161</v>
      </c>
      <c r="F4948" t="s">
        <v>4901</v>
      </c>
    </row>
    <row r="4949" spans="1:6">
      <c r="A4949" t="s">
        <v>4696</v>
      </c>
      <c r="B4949" t="s">
        <v>441</v>
      </c>
      <c r="C4949" t="s">
        <v>442</v>
      </c>
      <c r="D4949" t="str">
        <f>HYPERLINK("http://service.sap.com/sap/support/notes/1494973","1494973")</f>
        <v>1494973</v>
      </c>
      <c r="F4949" t="s">
        <v>4902</v>
      </c>
    </row>
    <row r="4950" spans="1:6">
      <c r="A4950" t="s">
        <v>4696</v>
      </c>
      <c r="B4950" t="s">
        <v>441</v>
      </c>
      <c r="C4950" t="s">
        <v>442</v>
      </c>
      <c r="D4950" t="str">
        <f>HYPERLINK("http://service.sap.com/sap/support/notes/1498506","1498506")</f>
        <v>1498506</v>
      </c>
      <c r="F4950" t="s">
        <v>4903</v>
      </c>
    </row>
    <row r="4951" spans="1:6">
      <c r="A4951" t="s">
        <v>4696</v>
      </c>
      <c r="B4951" t="s">
        <v>1247</v>
      </c>
      <c r="C4951" t="s">
        <v>87</v>
      </c>
      <c r="D4951" t="str">
        <f>HYPERLINK("http://service.sap.com/sap/support/notes/1484835","1484835")</f>
        <v>1484835</v>
      </c>
      <c r="F4951" t="s">
        <v>4904</v>
      </c>
    </row>
    <row r="4952" spans="1:6">
      <c r="A4952" t="s">
        <v>4696</v>
      </c>
      <c r="B4952" t="s">
        <v>1247</v>
      </c>
      <c r="C4952" t="s">
        <v>87</v>
      </c>
      <c r="D4952" t="str">
        <f>HYPERLINK("http://service.sap.com/sap/support/notes/1492372","1492372")</f>
        <v>1492372</v>
      </c>
      <c r="F4952" t="s">
        <v>4905</v>
      </c>
    </row>
    <row r="4953" spans="1:6">
      <c r="A4953" t="s">
        <v>4696</v>
      </c>
      <c r="B4953" t="s">
        <v>1247</v>
      </c>
      <c r="C4953" t="s">
        <v>87</v>
      </c>
      <c r="D4953" t="str">
        <f>HYPERLINK("http://service.sap.com/sap/support/notes/1495006","1495006")</f>
        <v>1495006</v>
      </c>
      <c r="F4953" t="s">
        <v>4906</v>
      </c>
    </row>
    <row r="4954" spans="1:6">
      <c r="A4954" t="s">
        <v>4696</v>
      </c>
      <c r="B4954" t="s">
        <v>1247</v>
      </c>
      <c r="C4954" t="s">
        <v>87</v>
      </c>
      <c r="D4954" t="str">
        <f>HYPERLINK("http://service.sap.com/sap/support/notes/1495812","1495812")</f>
        <v>1495812</v>
      </c>
      <c r="F4954" t="s">
        <v>4907</v>
      </c>
    </row>
    <row r="4955" spans="1:6">
      <c r="A4955" t="s">
        <v>4696</v>
      </c>
      <c r="B4955" t="s">
        <v>1247</v>
      </c>
      <c r="C4955" t="s">
        <v>87</v>
      </c>
      <c r="D4955" t="str">
        <f>HYPERLINK("http://service.sap.com/sap/support/notes/1495890","1495890")</f>
        <v>1495890</v>
      </c>
      <c r="F4955" t="s">
        <v>4908</v>
      </c>
    </row>
    <row r="4956" spans="1:6">
      <c r="A4956" t="s">
        <v>4696</v>
      </c>
      <c r="B4956" t="s">
        <v>1247</v>
      </c>
      <c r="C4956" t="s">
        <v>87</v>
      </c>
      <c r="D4956" t="str">
        <f>HYPERLINK("http://service.sap.com/sap/support/notes/1496723","1496723")</f>
        <v>1496723</v>
      </c>
      <c r="F4956" t="s">
        <v>4909</v>
      </c>
    </row>
    <row r="4957" spans="1:6">
      <c r="A4957" t="s">
        <v>4696</v>
      </c>
      <c r="B4957" t="s">
        <v>1247</v>
      </c>
      <c r="C4957" t="s">
        <v>87</v>
      </c>
      <c r="D4957" t="str">
        <f>HYPERLINK("http://service.sap.com/sap/support/notes/1498488","1498488")</f>
        <v>1498488</v>
      </c>
      <c r="F4957" t="s">
        <v>4910</v>
      </c>
    </row>
    <row r="4958" spans="1:6">
      <c r="A4958" t="s">
        <v>4696</v>
      </c>
      <c r="B4958" t="s">
        <v>450</v>
      </c>
      <c r="C4958" t="s">
        <v>451</v>
      </c>
      <c r="D4958" t="str">
        <f>HYPERLINK("http://service.sap.com/sap/support/notes/1346548","1346548")</f>
        <v>1346548</v>
      </c>
      <c r="F4958" t="s">
        <v>452</v>
      </c>
    </row>
    <row r="4959" spans="1:6">
      <c r="A4959" t="s">
        <v>4696</v>
      </c>
      <c r="B4959" t="s">
        <v>450</v>
      </c>
      <c r="C4959" t="s">
        <v>451</v>
      </c>
      <c r="D4959" t="str">
        <f>HYPERLINK("http://service.sap.com/sap/support/notes/1454168","1454168")</f>
        <v>1454168</v>
      </c>
      <c r="F4959" t="s">
        <v>4911</v>
      </c>
    </row>
    <row r="4960" spans="1:6">
      <c r="A4960" t="s">
        <v>4696</v>
      </c>
      <c r="B4960" t="s">
        <v>450</v>
      </c>
      <c r="C4960" t="s">
        <v>451</v>
      </c>
      <c r="D4960" t="str">
        <f>HYPERLINK("http://service.sap.com/sap/support/notes/1496122","1496122")</f>
        <v>1496122</v>
      </c>
      <c r="F4960" t="s">
        <v>4912</v>
      </c>
    </row>
    <row r="4961" spans="1:6">
      <c r="A4961" t="s">
        <v>4696</v>
      </c>
      <c r="B4961" t="s">
        <v>450</v>
      </c>
      <c r="C4961" t="s">
        <v>451</v>
      </c>
      <c r="D4961" t="str">
        <f>HYPERLINK("http://service.sap.com/sap/support/notes/1496646","1496646")</f>
        <v>1496646</v>
      </c>
      <c r="F4961" t="s">
        <v>4913</v>
      </c>
    </row>
    <row r="4962" spans="1:6">
      <c r="A4962" t="s">
        <v>4696</v>
      </c>
      <c r="B4962" t="s">
        <v>455</v>
      </c>
      <c r="C4962" t="s">
        <v>456</v>
      </c>
      <c r="D4962" t="str">
        <f>HYPERLINK("http://service.sap.com/sap/support/notes/1492703","1492703")</f>
        <v>1492703</v>
      </c>
      <c r="F4962" t="s">
        <v>4914</v>
      </c>
    </row>
    <row r="4963" spans="1:6">
      <c r="A4963" t="s">
        <v>4696</v>
      </c>
      <c r="B4963" t="s">
        <v>458</v>
      </c>
      <c r="C4963" t="s">
        <v>90</v>
      </c>
      <c r="D4963" t="str">
        <f>HYPERLINK("http://service.sap.com/sap/support/notes/645372","645372")</f>
        <v>645372</v>
      </c>
      <c r="F4963" t="s">
        <v>459</v>
      </c>
    </row>
    <row r="4964" spans="1:6">
      <c r="A4964" t="s">
        <v>4696</v>
      </c>
      <c r="B4964" t="s">
        <v>458</v>
      </c>
      <c r="C4964" t="s">
        <v>90</v>
      </c>
      <c r="D4964" t="str">
        <f>HYPERLINK("http://service.sap.com/sap/support/notes/1474243","1474243")</f>
        <v>1474243</v>
      </c>
      <c r="F4964" t="s">
        <v>4915</v>
      </c>
    </row>
    <row r="4965" spans="1:6">
      <c r="A4965" t="s">
        <v>4696</v>
      </c>
      <c r="B4965" t="s">
        <v>475</v>
      </c>
      <c r="C4965" t="s">
        <v>476</v>
      </c>
      <c r="D4965" t="str">
        <f>HYPERLINK("http://service.sap.com/sap/support/notes/1494385","1494385")</f>
        <v>1494385</v>
      </c>
      <c r="F4965" t="s">
        <v>4916</v>
      </c>
    </row>
    <row r="4966" spans="1:6">
      <c r="A4966" t="s">
        <v>4696</v>
      </c>
      <c r="B4966" t="s">
        <v>475</v>
      </c>
      <c r="C4966" t="s">
        <v>476</v>
      </c>
      <c r="D4966" t="str">
        <f>HYPERLINK("http://service.sap.com/sap/support/notes/1498509","1498509")</f>
        <v>1498509</v>
      </c>
      <c r="F4966" t="s">
        <v>4917</v>
      </c>
    </row>
    <row r="4967" spans="1:6">
      <c r="A4967" t="s">
        <v>4696</v>
      </c>
      <c r="B4967" t="s">
        <v>479</v>
      </c>
      <c r="C4967" t="s">
        <v>480</v>
      </c>
      <c r="D4967" t="str">
        <f>HYPERLINK("http://service.sap.com/sap/support/notes/1488474","1488474")</f>
        <v>1488474</v>
      </c>
      <c r="F4967" t="s">
        <v>4918</v>
      </c>
    </row>
    <row r="4968" spans="1:6">
      <c r="A4968" t="s">
        <v>4696</v>
      </c>
      <c r="B4968" t="s">
        <v>482</v>
      </c>
      <c r="C4968" t="s">
        <v>483</v>
      </c>
      <c r="D4968" t="str">
        <f>HYPERLINK("http://service.sap.com/sap/support/notes/1470981","1470981")</f>
        <v>1470981</v>
      </c>
      <c r="F4968" t="s">
        <v>4919</v>
      </c>
    </row>
    <row r="4969" spans="1:6">
      <c r="A4969" t="s">
        <v>4696</v>
      </c>
      <c r="B4969" t="s">
        <v>482</v>
      </c>
      <c r="C4969" t="s">
        <v>483</v>
      </c>
      <c r="D4969" t="str">
        <f>HYPERLINK("http://service.sap.com/sap/support/notes/1488854","1488854")</f>
        <v>1488854</v>
      </c>
      <c r="F4969" t="s">
        <v>4920</v>
      </c>
    </row>
    <row r="4970" spans="1:6">
      <c r="A4970" t="s">
        <v>4696</v>
      </c>
      <c r="B4970" t="s">
        <v>482</v>
      </c>
      <c r="C4970" t="s">
        <v>483</v>
      </c>
      <c r="D4970" t="str">
        <f>HYPERLINK("http://service.sap.com/sap/support/notes/1492833","1492833")</f>
        <v>1492833</v>
      </c>
      <c r="F4970" t="s">
        <v>4921</v>
      </c>
    </row>
    <row r="4971" spans="1:6">
      <c r="A4971" t="s">
        <v>4696</v>
      </c>
      <c r="B4971" t="s">
        <v>482</v>
      </c>
      <c r="C4971" t="s">
        <v>483</v>
      </c>
      <c r="D4971" t="str">
        <f>HYPERLINK("http://service.sap.com/sap/support/notes/1497157","1497157")</f>
        <v>1497157</v>
      </c>
      <c r="F4971" t="s">
        <v>4922</v>
      </c>
    </row>
    <row r="4972" spans="1:6">
      <c r="A4972" t="s">
        <v>4696</v>
      </c>
      <c r="B4972" t="s">
        <v>482</v>
      </c>
      <c r="C4972" t="s">
        <v>483</v>
      </c>
      <c r="D4972" t="str">
        <f>HYPERLINK("http://service.sap.com/sap/support/notes/1498936","1498936")</f>
        <v>1498936</v>
      </c>
      <c r="F4972" t="s">
        <v>4923</v>
      </c>
    </row>
    <row r="4973" spans="1:6">
      <c r="A4973" t="s">
        <v>4696</v>
      </c>
      <c r="B4973" t="s">
        <v>2227</v>
      </c>
      <c r="C4973" t="s">
        <v>2228</v>
      </c>
      <c r="D4973" t="str">
        <f>HYPERLINK("http://service.sap.com/sap/support/notes/1493793","1493793")</f>
        <v>1493793</v>
      </c>
      <c r="F4973" t="s">
        <v>4924</v>
      </c>
    </row>
    <row r="4974" spans="1:6">
      <c r="A4974" t="s">
        <v>4696</v>
      </c>
      <c r="B4974" t="s">
        <v>485</v>
      </c>
      <c r="C4974" t="s">
        <v>486</v>
      </c>
      <c r="D4974" t="str">
        <f>HYPERLINK("http://service.sap.com/sap/support/notes/1060820","1060820")</f>
        <v>1060820</v>
      </c>
      <c r="F4974" t="s">
        <v>4220</v>
      </c>
    </row>
    <row r="4975" spans="1:6">
      <c r="A4975" t="s">
        <v>4696</v>
      </c>
      <c r="B4975" t="s">
        <v>485</v>
      </c>
      <c r="C4975" t="s">
        <v>486</v>
      </c>
      <c r="D4975" t="str">
        <f>HYPERLINK("http://service.sap.com/sap/support/notes/1492624","1492624")</f>
        <v>1492624</v>
      </c>
      <c r="F4975" t="s">
        <v>4925</v>
      </c>
    </row>
    <row r="4976" spans="1:6">
      <c r="A4976" t="s">
        <v>4696</v>
      </c>
      <c r="B4976" t="s">
        <v>485</v>
      </c>
      <c r="C4976" t="s">
        <v>486</v>
      </c>
      <c r="D4976" t="str">
        <f>HYPERLINK("http://service.sap.com/sap/support/notes/1494134","1494134")</f>
        <v>1494134</v>
      </c>
      <c r="F4976" t="s">
        <v>4926</v>
      </c>
    </row>
    <row r="4977" spans="1:6">
      <c r="A4977" t="s">
        <v>4696</v>
      </c>
      <c r="B4977" t="s">
        <v>489</v>
      </c>
      <c r="C4977" t="s">
        <v>490</v>
      </c>
      <c r="D4977" t="str">
        <f>HYPERLINK("http://service.sap.com/sap/support/notes/1484662","1484662")</f>
        <v>1484662</v>
      </c>
      <c r="F4977" t="s">
        <v>4927</v>
      </c>
    </row>
    <row r="4978" spans="1:6">
      <c r="A4978" t="s">
        <v>4696</v>
      </c>
      <c r="B4978" t="s">
        <v>489</v>
      </c>
      <c r="C4978" t="s">
        <v>490</v>
      </c>
      <c r="D4978" t="str">
        <f>HYPERLINK("http://service.sap.com/sap/support/notes/1490949","1490949")</f>
        <v>1490949</v>
      </c>
      <c r="F4978" t="s">
        <v>4928</v>
      </c>
    </row>
    <row r="4979" spans="1:6">
      <c r="A4979" t="s">
        <v>4696</v>
      </c>
      <c r="B4979" t="s">
        <v>492</v>
      </c>
      <c r="C4979" t="s">
        <v>493</v>
      </c>
      <c r="D4979" t="str">
        <f>HYPERLINK("http://service.sap.com/sap/support/notes/1489791","1489791")</f>
        <v>1489791</v>
      </c>
      <c r="F4979" t="s">
        <v>4929</v>
      </c>
    </row>
    <row r="4980" spans="1:6">
      <c r="A4980" t="s">
        <v>4696</v>
      </c>
      <c r="B4980" t="s">
        <v>492</v>
      </c>
      <c r="C4980" t="s">
        <v>493</v>
      </c>
      <c r="D4980" t="str">
        <f>HYPERLINK("http://service.sap.com/sap/support/notes/1493085","1493085")</f>
        <v>1493085</v>
      </c>
      <c r="F4980" t="s">
        <v>4930</v>
      </c>
    </row>
    <row r="4981" spans="1:6">
      <c r="A4981" t="s">
        <v>4696</v>
      </c>
      <c r="B4981" t="s">
        <v>492</v>
      </c>
      <c r="C4981" t="s">
        <v>493</v>
      </c>
      <c r="D4981" t="str">
        <f>HYPERLINK("http://service.sap.com/sap/support/notes/1493340","1493340")</f>
        <v>1493340</v>
      </c>
      <c r="F4981" t="s">
        <v>4931</v>
      </c>
    </row>
    <row r="4982" spans="1:6">
      <c r="A4982" t="s">
        <v>4696</v>
      </c>
      <c r="B4982" t="s">
        <v>492</v>
      </c>
      <c r="C4982" t="s">
        <v>493</v>
      </c>
      <c r="D4982" t="str">
        <f>HYPERLINK("http://service.sap.com/sap/support/notes/1493757","1493757")</f>
        <v>1493757</v>
      </c>
      <c r="F4982" t="s">
        <v>2968</v>
      </c>
    </row>
    <row r="4983" spans="1:6">
      <c r="A4983" t="s">
        <v>4696</v>
      </c>
      <c r="B4983" t="s">
        <v>492</v>
      </c>
      <c r="C4983" t="s">
        <v>493</v>
      </c>
      <c r="D4983" t="str">
        <f>HYPERLINK("http://service.sap.com/sap/support/notes/1494260","1494260")</f>
        <v>1494260</v>
      </c>
      <c r="F4983" t="s">
        <v>4932</v>
      </c>
    </row>
    <row r="4984" spans="1:6">
      <c r="A4984" t="s">
        <v>4696</v>
      </c>
      <c r="B4984" t="s">
        <v>492</v>
      </c>
      <c r="C4984" t="s">
        <v>493</v>
      </c>
      <c r="D4984" t="str">
        <f>HYPERLINK("http://service.sap.com/sap/support/notes/1495811","1495811")</f>
        <v>1495811</v>
      </c>
      <c r="F4984" t="s">
        <v>4933</v>
      </c>
    </row>
    <row r="4985" spans="1:6">
      <c r="A4985" t="s">
        <v>4696</v>
      </c>
      <c r="B4985" t="s">
        <v>492</v>
      </c>
      <c r="C4985" t="s">
        <v>493</v>
      </c>
      <c r="D4985" t="str">
        <f>HYPERLINK("http://service.sap.com/sap/support/notes/1497896","1497896")</f>
        <v>1497896</v>
      </c>
      <c r="F4985" t="s">
        <v>4934</v>
      </c>
    </row>
    <row r="4986" spans="1:6">
      <c r="A4986" t="s">
        <v>4696</v>
      </c>
      <c r="B4986" t="s">
        <v>492</v>
      </c>
      <c r="C4986" t="s">
        <v>493</v>
      </c>
      <c r="D4986" t="str">
        <f>HYPERLINK("http://service.sap.com/sap/support/notes/1498740","1498740")</f>
        <v>1498740</v>
      </c>
      <c r="F4986" t="s">
        <v>4935</v>
      </c>
    </row>
    <row r="4987" spans="1:6">
      <c r="A4987" t="s">
        <v>4696</v>
      </c>
      <c r="B4987" t="s">
        <v>492</v>
      </c>
      <c r="C4987" t="s">
        <v>493</v>
      </c>
      <c r="D4987" t="str">
        <f>HYPERLINK("http://service.sap.com/sap/support/notes/1499006","1499006")</f>
        <v>1499006</v>
      </c>
      <c r="F4987" t="s">
        <v>4936</v>
      </c>
    </row>
    <row r="4988" spans="1:6">
      <c r="A4988" t="s">
        <v>4696</v>
      </c>
      <c r="B4988" t="s">
        <v>492</v>
      </c>
      <c r="C4988" t="s">
        <v>493</v>
      </c>
      <c r="D4988" t="str">
        <f>HYPERLINK("http://service.sap.com/sap/support/notes/1499209","1499209")</f>
        <v>1499209</v>
      </c>
      <c r="F4988" t="s">
        <v>4937</v>
      </c>
    </row>
    <row r="4989" spans="1:6">
      <c r="A4989" t="s">
        <v>4696</v>
      </c>
      <c r="B4989" t="s">
        <v>500</v>
      </c>
      <c r="C4989" t="s">
        <v>501</v>
      </c>
      <c r="D4989" t="str">
        <f>HYPERLINK("http://service.sap.com/sap/support/notes/1174708","1174708")</f>
        <v>1174708</v>
      </c>
      <c r="F4989" t="s">
        <v>502</v>
      </c>
    </row>
    <row r="4990" spans="1:6">
      <c r="A4990" t="s">
        <v>4696</v>
      </c>
      <c r="B4990" t="s">
        <v>500</v>
      </c>
      <c r="C4990" t="s">
        <v>501</v>
      </c>
      <c r="D4990" t="str">
        <f>HYPERLINK("http://service.sap.com/sap/support/notes/1490998","1490998")</f>
        <v>1490998</v>
      </c>
      <c r="F4990" t="s">
        <v>4938</v>
      </c>
    </row>
    <row r="4991" spans="1:6">
      <c r="A4991" t="s">
        <v>4696</v>
      </c>
      <c r="B4991" t="s">
        <v>500</v>
      </c>
      <c r="C4991" t="s">
        <v>501</v>
      </c>
      <c r="D4991" t="str">
        <f>HYPERLINK("http://service.sap.com/sap/support/notes/1495473","1495473")</f>
        <v>1495473</v>
      </c>
      <c r="F4991" t="s">
        <v>4939</v>
      </c>
    </row>
    <row r="4992" spans="1:6">
      <c r="A4992" t="s">
        <v>4696</v>
      </c>
      <c r="B4992" t="s">
        <v>504</v>
      </c>
      <c r="C4992" t="s">
        <v>110</v>
      </c>
      <c r="D4992" t="str">
        <f>HYPERLINK("http://service.sap.com/sap/support/notes/1488595","1488595")</f>
        <v>1488595</v>
      </c>
      <c r="F4992" t="s">
        <v>4940</v>
      </c>
    </row>
    <row r="4993" spans="1:6">
      <c r="A4993" t="s">
        <v>4696</v>
      </c>
      <c r="B4993" t="s">
        <v>504</v>
      </c>
      <c r="C4993" t="s">
        <v>110</v>
      </c>
      <c r="D4993" t="str">
        <f>HYPERLINK("http://service.sap.com/sap/support/notes/1491463","1491463")</f>
        <v>1491463</v>
      </c>
      <c r="F4993" t="s">
        <v>4941</v>
      </c>
    </row>
    <row r="4994" spans="1:6">
      <c r="A4994" t="s">
        <v>4696</v>
      </c>
      <c r="B4994" t="s">
        <v>504</v>
      </c>
      <c r="C4994" t="s">
        <v>110</v>
      </c>
      <c r="D4994" t="str">
        <f>HYPERLINK("http://service.sap.com/sap/support/notes/1494807","1494807")</f>
        <v>1494807</v>
      </c>
      <c r="F4994" t="s">
        <v>4942</v>
      </c>
    </row>
    <row r="4995" spans="1:6">
      <c r="A4995" t="s">
        <v>4696</v>
      </c>
      <c r="B4995" t="s">
        <v>504</v>
      </c>
      <c r="C4995" t="s">
        <v>110</v>
      </c>
      <c r="D4995" t="str">
        <f>HYPERLINK("http://service.sap.com/sap/support/notes/1495801","1495801")</f>
        <v>1495801</v>
      </c>
      <c r="F4995" t="s">
        <v>4943</v>
      </c>
    </row>
    <row r="4996" spans="1:6">
      <c r="A4996" t="s">
        <v>4696</v>
      </c>
      <c r="B4996" t="s">
        <v>504</v>
      </c>
      <c r="C4996" t="s">
        <v>110</v>
      </c>
      <c r="D4996" t="str">
        <f>HYPERLINK("http://service.sap.com/sap/support/notes/1495831","1495831")</f>
        <v>1495831</v>
      </c>
      <c r="F4996" t="s">
        <v>4944</v>
      </c>
    </row>
    <row r="4997" spans="1:6">
      <c r="A4997" t="s">
        <v>4696</v>
      </c>
      <c r="B4997" t="s">
        <v>504</v>
      </c>
      <c r="C4997" t="s">
        <v>110</v>
      </c>
      <c r="D4997" t="str">
        <f>HYPERLINK("http://service.sap.com/sap/support/notes/1498545","1498545")</f>
        <v>1498545</v>
      </c>
      <c r="F4997" t="s">
        <v>4945</v>
      </c>
    </row>
    <row r="4998" spans="1:6">
      <c r="A4998" t="s">
        <v>4696</v>
      </c>
      <c r="B4998" t="s">
        <v>1311</v>
      </c>
      <c r="C4998" t="s">
        <v>189</v>
      </c>
      <c r="D4998" t="str">
        <f>HYPERLINK("http://service.sap.com/sap/support/notes/1497926","1497926")</f>
        <v>1497926</v>
      </c>
      <c r="F4998" t="s">
        <v>4946</v>
      </c>
    </row>
    <row r="4999" spans="1:6">
      <c r="A4999" t="s">
        <v>4696</v>
      </c>
      <c r="B4999" t="s">
        <v>513</v>
      </c>
      <c r="C4999" t="s">
        <v>514</v>
      </c>
      <c r="D4999" t="str">
        <f>HYPERLINK("http://service.sap.com/sap/support/notes/1482617","1482617")</f>
        <v>1482617</v>
      </c>
      <c r="F4999" t="s">
        <v>4947</v>
      </c>
    </row>
    <row r="5000" spans="1:6">
      <c r="A5000" t="s">
        <v>4696</v>
      </c>
      <c r="B5000" t="s">
        <v>513</v>
      </c>
      <c r="C5000" t="s">
        <v>514</v>
      </c>
      <c r="D5000" t="str">
        <f>HYPERLINK("http://service.sap.com/sap/support/notes/1491935","1491935")</f>
        <v>1491935</v>
      </c>
      <c r="F5000" t="s">
        <v>4948</v>
      </c>
    </row>
    <row r="5001" spans="1:6">
      <c r="A5001" t="s">
        <v>4696</v>
      </c>
      <c r="B5001" t="s">
        <v>513</v>
      </c>
      <c r="C5001" t="s">
        <v>514</v>
      </c>
      <c r="D5001" t="str">
        <f>HYPERLINK("http://service.sap.com/sap/support/notes/1495864","1495864")</f>
        <v>1495864</v>
      </c>
      <c r="F5001" t="s">
        <v>4949</v>
      </c>
    </row>
    <row r="5002" spans="1:6">
      <c r="A5002" t="s">
        <v>4696</v>
      </c>
      <c r="B5002" t="s">
        <v>513</v>
      </c>
      <c r="C5002" t="s">
        <v>514</v>
      </c>
      <c r="D5002" t="str">
        <f>HYPERLINK("http://service.sap.com/sap/support/notes/1498508","1498508")</f>
        <v>1498508</v>
      </c>
      <c r="F5002" t="s">
        <v>4950</v>
      </c>
    </row>
    <row r="5003" spans="1:6">
      <c r="A5003" t="s">
        <v>4696</v>
      </c>
      <c r="B5003" t="s">
        <v>519</v>
      </c>
      <c r="C5003" t="s">
        <v>117</v>
      </c>
      <c r="D5003" t="str">
        <f>HYPERLINK("http://service.sap.com/sap/support/notes/1471515","1471515")</f>
        <v>1471515</v>
      </c>
      <c r="F5003" t="s">
        <v>4951</v>
      </c>
    </row>
    <row r="5004" spans="1:6">
      <c r="A5004" t="s">
        <v>4696</v>
      </c>
      <c r="B5004" t="s">
        <v>2610</v>
      </c>
      <c r="C5004" t="s">
        <v>2611</v>
      </c>
      <c r="D5004" t="str">
        <f>HYPERLINK("http://service.sap.com/sap/support/notes/1478430","1478430")</f>
        <v>1478430</v>
      </c>
      <c r="F5004" t="s">
        <v>4952</v>
      </c>
    </row>
    <row r="5005" spans="1:6">
      <c r="A5005" t="s">
        <v>4696</v>
      </c>
      <c r="B5005" t="s">
        <v>1324</v>
      </c>
      <c r="C5005" t="s">
        <v>189</v>
      </c>
      <c r="D5005" t="str">
        <f>HYPERLINK("http://service.sap.com/sap/support/notes/1474036","1474036")</f>
        <v>1474036</v>
      </c>
      <c r="F5005" t="s">
        <v>4953</v>
      </c>
    </row>
    <row r="5006" spans="1:6">
      <c r="A5006" t="s">
        <v>4696</v>
      </c>
      <c r="B5006" t="s">
        <v>525</v>
      </c>
      <c r="C5006" t="s">
        <v>208</v>
      </c>
      <c r="D5006" t="str">
        <f>HYPERLINK("http://service.sap.com/sap/support/notes/1470237","1470237")</f>
        <v>1470237</v>
      </c>
      <c r="F5006" t="s">
        <v>4954</v>
      </c>
    </row>
    <row r="5007" spans="1:6">
      <c r="A5007" t="s">
        <v>4696</v>
      </c>
      <c r="B5007" t="s">
        <v>529</v>
      </c>
      <c r="C5007" t="s">
        <v>530</v>
      </c>
      <c r="D5007" t="str">
        <f>HYPERLINK("http://service.sap.com/sap/support/notes/1489441","1489441")</f>
        <v>1489441</v>
      </c>
      <c r="F5007" t="s">
        <v>4955</v>
      </c>
    </row>
    <row r="5008" spans="1:6">
      <c r="A5008" t="s">
        <v>4696</v>
      </c>
      <c r="B5008" t="s">
        <v>529</v>
      </c>
      <c r="C5008" t="s">
        <v>530</v>
      </c>
      <c r="D5008" t="str">
        <f>HYPERLINK("http://service.sap.com/sap/support/notes/1490535","1490535")</f>
        <v>1490535</v>
      </c>
      <c r="F5008" t="s">
        <v>4956</v>
      </c>
    </row>
    <row r="5009" spans="1:6">
      <c r="A5009" t="s">
        <v>4696</v>
      </c>
      <c r="B5009" t="s">
        <v>529</v>
      </c>
      <c r="C5009" t="s">
        <v>530</v>
      </c>
      <c r="D5009" t="str">
        <f>HYPERLINK("http://service.sap.com/sap/support/notes/1493111","1493111")</f>
        <v>1493111</v>
      </c>
      <c r="F5009" t="s">
        <v>4957</v>
      </c>
    </row>
    <row r="5010" spans="1:6">
      <c r="A5010" t="s">
        <v>4696</v>
      </c>
      <c r="B5010" t="s">
        <v>529</v>
      </c>
      <c r="C5010" t="s">
        <v>530</v>
      </c>
      <c r="D5010" t="str">
        <f>HYPERLINK("http://service.sap.com/sap/support/notes/1494467","1494467")</f>
        <v>1494467</v>
      </c>
      <c r="F5010" t="s">
        <v>4958</v>
      </c>
    </row>
    <row r="5011" spans="1:6">
      <c r="A5011" t="s">
        <v>4696</v>
      </c>
      <c r="B5011" t="s">
        <v>533</v>
      </c>
      <c r="C5011" t="s">
        <v>534</v>
      </c>
      <c r="D5011" t="str">
        <f>HYPERLINK("http://service.sap.com/sap/support/notes/1492324","1492324")</f>
        <v>1492324</v>
      </c>
      <c r="F5011" t="s">
        <v>4959</v>
      </c>
    </row>
    <row r="5012" spans="1:6">
      <c r="A5012" t="s">
        <v>4696</v>
      </c>
      <c r="B5012" t="s">
        <v>537</v>
      </c>
      <c r="C5012" t="s">
        <v>538</v>
      </c>
      <c r="D5012" t="str">
        <f>HYPERLINK("http://service.sap.com/sap/support/notes/1451004","1451004")</f>
        <v>1451004</v>
      </c>
      <c r="F5012" t="s">
        <v>4960</v>
      </c>
    </row>
    <row r="5013" spans="1:6">
      <c r="A5013" t="s">
        <v>4696</v>
      </c>
      <c r="B5013" t="s">
        <v>537</v>
      </c>
      <c r="C5013" t="s">
        <v>538</v>
      </c>
      <c r="D5013" t="str">
        <f>HYPERLINK("http://service.sap.com/sap/support/notes/1456909","1456909")</f>
        <v>1456909</v>
      </c>
      <c r="F5013" t="s">
        <v>4961</v>
      </c>
    </row>
    <row r="5014" spans="1:6">
      <c r="A5014" t="s">
        <v>4696</v>
      </c>
      <c r="B5014" t="s">
        <v>537</v>
      </c>
      <c r="C5014" t="s">
        <v>538</v>
      </c>
      <c r="D5014" t="str">
        <f>HYPERLINK("http://service.sap.com/sap/support/notes/1477985","1477985")</f>
        <v>1477985</v>
      </c>
      <c r="F5014" t="s">
        <v>4962</v>
      </c>
    </row>
    <row r="5015" spans="1:6">
      <c r="A5015" t="s">
        <v>4696</v>
      </c>
      <c r="B5015" t="s">
        <v>541</v>
      </c>
      <c r="C5015" t="s">
        <v>542</v>
      </c>
    </row>
    <row r="5016" spans="1:6">
      <c r="A5016" t="s">
        <v>4696</v>
      </c>
      <c r="B5016" t="s">
        <v>1413</v>
      </c>
      <c r="C5016" t="s">
        <v>1414</v>
      </c>
      <c r="D5016" t="str">
        <f>HYPERLINK("http://service.sap.com/sap/support/notes/1487642","1487642")</f>
        <v>1487642</v>
      </c>
      <c r="F5016" t="s">
        <v>3989</v>
      </c>
    </row>
    <row r="5017" spans="1:6">
      <c r="A5017" t="s">
        <v>4696</v>
      </c>
      <c r="B5017" t="s">
        <v>1914</v>
      </c>
      <c r="C5017" t="s">
        <v>1915</v>
      </c>
      <c r="D5017" t="str">
        <f>HYPERLINK("http://service.sap.com/sap/support/notes/1175233","1175233")</f>
        <v>1175233</v>
      </c>
      <c r="F5017" t="s">
        <v>1916</v>
      </c>
    </row>
    <row r="5018" spans="1:6">
      <c r="A5018" t="s">
        <v>4696</v>
      </c>
      <c r="B5018" t="s">
        <v>1914</v>
      </c>
      <c r="C5018" t="s">
        <v>1915</v>
      </c>
      <c r="D5018" t="str">
        <f>HYPERLINK("http://service.sap.com/sap/support/notes/1489332","1489332")</f>
        <v>1489332</v>
      </c>
      <c r="F5018" t="s">
        <v>4963</v>
      </c>
    </row>
    <row r="5019" spans="1:6">
      <c r="A5019" t="s">
        <v>4696</v>
      </c>
      <c r="B5019" t="s">
        <v>1914</v>
      </c>
      <c r="C5019" t="s">
        <v>1915</v>
      </c>
      <c r="D5019" t="str">
        <f>HYPERLINK("http://service.sap.com/sap/support/notes/1497590","1497590")</f>
        <v>1497590</v>
      </c>
      <c r="F5019" t="s">
        <v>4964</v>
      </c>
    </row>
    <row r="5020" spans="1:6">
      <c r="A5020" t="s">
        <v>5347</v>
      </c>
      <c r="B5020" t="s">
        <v>14</v>
      </c>
      <c r="C5020" t="s">
        <v>15</v>
      </c>
    </row>
    <row r="5021" spans="1:6">
      <c r="A5021" t="s">
        <v>5347</v>
      </c>
      <c r="B5021" t="s">
        <v>560</v>
      </c>
      <c r="C5021" t="s">
        <v>147</v>
      </c>
      <c r="D5021" t="str">
        <f>HYPERLINK("http://service.sap.com/sap/support/notes/1504567","1504567")</f>
        <v>1504567</v>
      </c>
      <c r="F5021" t="s">
        <v>4965</v>
      </c>
    </row>
    <row r="5022" spans="1:6">
      <c r="A5022" t="s">
        <v>5347</v>
      </c>
      <c r="B5022" t="s">
        <v>3335</v>
      </c>
      <c r="C5022" t="s">
        <v>4019</v>
      </c>
    </row>
    <row r="5023" spans="1:6">
      <c r="A5023" t="s">
        <v>5347</v>
      </c>
      <c r="B5023" t="s">
        <v>3336</v>
      </c>
      <c r="C5023" t="s">
        <v>4020</v>
      </c>
      <c r="D5023" t="str">
        <f>HYPERLINK("http://service.sap.com/sap/support/notes/1511561","1511561")</f>
        <v>1511561</v>
      </c>
      <c r="F5023" t="s">
        <v>4966</v>
      </c>
    </row>
    <row r="5024" spans="1:6">
      <c r="A5024" t="s">
        <v>5347</v>
      </c>
      <c r="B5024" t="s">
        <v>19</v>
      </c>
      <c r="C5024" t="s">
        <v>20</v>
      </c>
    </row>
    <row r="5025" spans="1:6">
      <c r="A5025" t="s">
        <v>5347</v>
      </c>
      <c r="B5025" t="s">
        <v>21</v>
      </c>
      <c r="C5025" t="s">
        <v>22</v>
      </c>
    </row>
    <row r="5026" spans="1:6">
      <c r="A5026" t="s">
        <v>5347</v>
      </c>
      <c r="B5026" t="s">
        <v>23</v>
      </c>
      <c r="C5026" t="s">
        <v>24</v>
      </c>
    </row>
    <row r="5027" spans="1:6">
      <c r="A5027" t="s">
        <v>5347</v>
      </c>
      <c r="B5027" t="s">
        <v>25</v>
      </c>
      <c r="C5027" t="s">
        <v>26</v>
      </c>
      <c r="D5027" t="str">
        <f>HYPERLINK("http://service.sap.com/sap/support/notes/1510380","1510380")</f>
        <v>1510380</v>
      </c>
      <c r="F5027" t="s">
        <v>4967</v>
      </c>
    </row>
    <row r="5028" spans="1:6">
      <c r="A5028" t="s">
        <v>5347</v>
      </c>
      <c r="B5028" t="s">
        <v>29</v>
      </c>
      <c r="C5028" t="s">
        <v>30</v>
      </c>
    </row>
    <row r="5029" spans="1:6">
      <c r="A5029" t="s">
        <v>5347</v>
      </c>
      <c r="B5029" t="s">
        <v>31</v>
      </c>
      <c r="C5029" t="s">
        <v>32</v>
      </c>
      <c r="D5029" t="str">
        <f>HYPERLINK("http://service.sap.com/sap/support/notes/967007","967007")</f>
        <v>967007</v>
      </c>
      <c r="F5029" t="s">
        <v>4968</v>
      </c>
    </row>
    <row r="5030" spans="1:6">
      <c r="A5030" t="s">
        <v>5347</v>
      </c>
      <c r="B5030" t="s">
        <v>33</v>
      </c>
      <c r="C5030" t="s">
        <v>34</v>
      </c>
      <c r="D5030" t="str">
        <f>HYPERLINK("http://service.sap.com/sap/support/notes/1284280","1284280")</f>
        <v>1284280</v>
      </c>
      <c r="F5030" t="s">
        <v>35</v>
      </c>
    </row>
    <row r="5031" spans="1:6">
      <c r="A5031" t="s">
        <v>5347</v>
      </c>
      <c r="B5031" t="s">
        <v>33</v>
      </c>
      <c r="C5031" t="s">
        <v>34</v>
      </c>
      <c r="D5031" t="str">
        <f>HYPERLINK("http://service.sap.com/sap/support/notes/1497299","1497299")</f>
        <v>1497299</v>
      </c>
      <c r="F5031" t="s">
        <v>4700</v>
      </c>
    </row>
    <row r="5032" spans="1:6">
      <c r="A5032" t="s">
        <v>5347</v>
      </c>
      <c r="B5032" t="s">
        <v>37</v>
      </c>
      <c r="C5032" t="s">
        <v>17</v>
      </c>
    </row>
    <row r="5033" spans="1:6">
      <c r="A5033" t="s">
        <v>5347</v>
      </c>
      <c r="B5033" t="s">
        <v>609</v>
      </c>
      <c r="C5033" t="s">
        <v>1483</v>
      </c>
      <c r="D5033" t="str">
        <f>HYPERLINK("http://service.sap.com/sap/support/notes/1509497","1509497")</f>
        <v>1509497</v>
      </c>
      <c r="F5033" t="s">
        <v>4969</v>
      </c>
    </row>
    <row r="5034" spans="1:6">
      <c r="A5034" t="s">
        <v>5347</v>
      </c>
      <c r="B5034" t="s">
        <v>609</v>
      </c>
      <c r="C5034" t="s">
        <v>1483</v>
      </c>
      <c r="D5034" t="str">
        <f>HYPERLINK("http://service.sap.com/sap/support/notes/1510041","1510041")</f>
        <v>1510041</v>
      </c>
      <c r="F5034" t="s">
        <v>4969</v>
      </c>
    </row>
    <row r="5035" spans="1:6">
      <c r="A5035" t="s">
        <v>5347</v>
      </c>
      <c r="B5035" t="s">
        <v>44</v>
      </c>
      <c r="C5035" t="s">
        <v>45</v>
      </c>
    </row>
    <row r="5036" spans="1:6">
      <c r="A5036" t="s">
        <v>5347</v>
      </c>
      <c r="B5036" t="s">
        <v>59</v>
      </c>
      <c r="C5036" t="s">
        <v>60</v>
      </c>
      <c r="D5036" t="str">
        <f>HYPERLINK("http://service.sap.com/sap/support/notes/1497681","1497681")</f>
        <v>1497681</v>
      </c>
      <c r="F5036" t="s">
        <v>4970</v>
      </c>
    </row>
    <row r="5037" spans="1:6">
      <c r="A5037" t="s">
        <v>5347</v>
      </c>
      <c r="B5037" t="s">
        <v>59</v>
      </c>
      <c r="C5037" t="s">
        <v>60</v>
      </c>
      <c r="D5037" t="str">
        <f>HYPERLINK("http://service.sap.com/sap/support/notes/1500838","1500838")</f>
        <v>1500838</v>
      </c>
      <c r="F5037" t="s">
        <v>4971</v>
      </c>
    </row>
    <row r="5038" spans="1:6">
      <c r="A5038" t="s">
        <v>5347</v>
      </c>
      <c r="B5038" t="s">
        <v>59</v>
      </c>
      <c r="C5038" t="s">
        <v>60</v>
      </c>
      <c r="D5038" t="str">
        <f>HYPERLINK("http://service.sap.com/sap/support/notes/1504473","1504473")</f>
        <v>1504473</v>
      </c>
      <c r="F5038" t="s">
        <v>4972</v>
      </c>
    </row>
    <row r="5039" spans="1:6">
      <c r="A5039" t="s">
        <v>5347</v>
      </c>
      <c r="B5039" t="s">
        <v>649</v>
      </c>
      <c r="C5039" t="s">
        <v>212</v>
      </c>
      <c r="D5039" t="str">
        <f>HYPERLINK("http://service.sap.com/sap/support/notes/1505966","1505966")</f>
        <v>1505966</v>
      </c>
      <c r="F5039" t="s">
        <v>4973</v>
      </c>
    </row>
    <row r="5040" spans="1:6">
      <c r="A5040" t="s">
        <v>5347</v>
      </c>
      <c r="B5040" t="s">
        <v>68</v>
      </c>
      <c r="C5040" t="s">
        <v>69</v>
      </c>
      <c r="D5040" t="str">
        <f>HYPERLINK("http://service.sap.com/sap/support/notes/1503688","1503688")</f>
        <v>1503688</v>
      </c>
      <c r="F5040" t="s">
        <v>4974</v>
      </c>
    </row>
    <row r="5041" spans="1:6">
      <c r="A5041" t="s">
        <v>5347</v>
      </c>
      <c r="B5041" t="s">
        <v>68</v>
      </c>
      <c r="C5041" t="s">
        <v>69</v>
      </c>
      <c r="D5041" t="str">
        <f>HYPERLINK("http://service.sap.com/sap/support/notes/1508772","1508772")</f>
        <v>1508772</v>
      </c>
      <c r="F5041" t="s">
        <v>4975</v>
      </c>
    </row>
    <row r="5042" spans="1:6">
      <c r="A5042" t="s">
        <v>5347</v>
      </c>
      <c r="B5042" t="s">
        <v>75</v>
      </c>
      <c r="C5042" t="s">
        <v>76</v>
      </c>
      <c r="D5042" t="str">
        <f>HYPERLINK("http://service.sap.com/sap/support/notes/1509687","1509687")</f>
        <v>1509687</v>
      </c>
      <c r="F5042" t="s">
        <v>4976</v>
      </c>
    </row>
    <row r="5043" spans="1:6">
      <c r="A5043" t="s">
        <v>5347</v>
      </c>
      <c r="B5043" t="s">
        <v>79</v>
      </c>
      <c r="C5043" t="s">
        <v>80</v>
      </c>
      <c r="D5043" t="str">
        <f>HYPERLINK("http://service.sap.com/sap/support/notes/1487180","1487180")</f>
        <v>1487180</v>
      </c>
      <c r="F5043" t="s">
        <v>4977</v>
      </c>
    </row>
    <row r="5044" spans="1:6">
      <c r="A5044" t="s">
        <v>5347</v>
      </c>
      <c r="B5044" t="s">
        <v>79</v>
      </c>
      <c r="C5044" t="s">
        <v>80</v>
      </c>
      <c r="D5044" t="str">
        <f>HYPERLINK("http://service.sap.com/sap/support/notes/1504046","1504046")</f>
        <v>1504046</v>
      </c>
      <c r="F5044" t="s">
        <v>4978</v>
      </c>
    </row>
    <row r="5045" spans="1:6">
      <c r="A5045" t="s">
        <v>5347</v>
      </c>
      <c r="B5045" t="s">
        <v>79</v>
      </c>
      <c r="C5045" t="s">
        <v>80</v>
      </c>
      <c r="D5045" t="str">
        <f>HYPERLINK("http://service.sap.com/sap/support/notes/1504778","1504778")</f>
        <v>1504778</v>
      </c>
      <c r="F5045" t="s">
        <v>4979</v>
      </c>
    </row>
    <row r="5046" spans="1:6">
      <c r="A5046" t="s">
        <v>5347</v>
      </c>
      <c r="B5046" t="s">
        <v>79</v>
      </c>
      <c r="C5046" t="s">
        <v>80</v>
      </c>
      <c r="D5046" t="str">
        <f>HYPERLINK("http://service.sap.com/sap/support/notes/1505538","1505538")</f>
        <v>1505538</v>
      </c>
      <c r="F5046" t="s">
        <v>4980</v>
      </c>
    </row>
    <row r="5047" spans="1:6">
      <c r="A5047" t="s">
        <v>5347</v>
      </c>
      <c r="B5047" t="s">
        <v>79</v>
      </c>
      <c r="C5047" t="s">
        <v>80</v>
      </c>
      <c r="D5047" t="str">
        <f>HYPERLINK("http://service.sap.com/sap/support/notes/1505558","1505558")</f>
        <v>1505558</v>
      </c>
      <c r="F5047" t="s">
        <v>4981</v>
      </c>
    </row>
    <row r="5048" spans="1:6">
      <c r="A5048" t="s">
        <v>5347</v>
      </c>
      <c r="B5048" t="s">
        <v>79</v>
      </c>
      <c r="C5048" t="s">
        <v>80</v>
      </c>
      <c r="D5048" t="str">
        <f>HYPERLINK("http://service.sap.com/sap/support/notes/1506113","1506113")</f>
        <v>1506113</v>
      </c>
      <c r="F5048" t="s">
        <v>4982</v>
      </c>
    </row>
    <row r="5049" spans="1:6">
      <c r="A5049" t="s">
        <v>5347</v>
      </c>
      <c r="B5049" t="s">
        <v>79</v>
      </c>
      <c r="C5049" t="s">
        <v>80</v>
      </c>
      <c r="D5049" t="str">
        <f>HYPERLINK("http://service.sap.com/sap/support/notes/1506271","1506271")</f>
        <v>1506271</v>
      </c>
      <c r="F5049" t="s">
        <v>4983</v>
      </c>
    </row>
    <row r="5050" spans="1:6">
      <c r="A5050" t="s">
        <v>5347</v>
      </c>
      <c r="B5050" t="s">
        <v>1943</v>
      </c>
      <c r="C5050" t="s">
        <v>1944</v>
      </c>
      <c r="D5050" t="str">
        <f>HYPERLINK("http://service.sap.com/sap/support/notes/1483459","1483459")</f>
        <v>1483459</v>
      </c>
      <c r="F5050" t="s">
        <v>4984</v>
      </c>
    </row>
    <row r="5051" spans="1:6">
      <c r="A5051" t="s">
        <v>5347</v>
      </c>
      <c r="B5051" t="s">
        <v>665</v>
      </c>
      <c r="C5051" t="s">
        <v>425</v>
      </c>
      <c r="D5051" t="str">
        <f>HYPERLINK("http://service.sap.com/sap/support/notes/448307","448307")</f>
        <v>448307</v>
      </c>
      <c r="F5051" t="s">
        <v>666</v>
      </c>
    </row>
    <row r="5052" spans="1:6">
      <c r="A5052" t="s">
        <v>5347</v>
      </c>
      <c r="B5052" t="s">
        <v>667</v>
      </c>
      <c r="C5052" t="s">
        <v>442</v>
      </c>
      <c r="D5052" t="str">
        <f>HYPERLINK("http://service.sap.com/sap/support/notes/1479056","1479056")</f>
        <v>1479056</v>
      </c>
      <c r="F5052" t="s">
        <v>4985</v>
      </c>
    </row>
    <row r="5053" spans="1:6">
      <c r="A5053" t="s">
        <v>5347</v>
      </c>
      <c r="B5053" t="s">
        <v>667</v>
      </c>
      <c r="C5053" t="s">
        <v>442</v>
      </c>
      <c r="D5053" t="str">
        <f>HYPERLINK("http://service.sap.com/sap/support/notes/1498925","1498925")</f>
        <v>1498925</v>
      </c>
      <c r="F5053" t="s">
        <v>4714</v>
      </c>
    </row>
    <row r="5054" spans="1:6">
      <c r="A5054" t="s">
        <v>5347</v>
      </c>
      <c r="B5054" t="s">
        <v>89</v>
      </c>
      <c r="C5054" t="s">
        <v>90</v>
      </c>
      <c r="D5054" t="str">
        <f>HYPERLINK("http://service.sap.com/sap/support/notes/1509128","1509128")</f>
        <v>1509128</v>
      </c>
      <c r="F5054" t="s">
        <v>4986</v>
      </c>
    </row>
    <row r="5055" spans="1:6">
      <c r="A5055" t="s">
        <v>5347</v>
      </c>
      <c r="B5055" t="s">
        <v>92</v>
      </c>
      <c r="C5055" t="s">
        <v>93</v>
      </c>
      <c r="D5055" t="str">
        <f>HYPERLINK("http://service.sap.com/sap/support/notes/1504045","1504045")</f>
        <v>1504045</v>
      </c>
      <c r="F5055" t="s">
        <v>4987</v>
      </c>
    </row>
    <row r="5056" spans="1:6">
      <c r="A5056" t="s">
        <v>5347</v>
      </c>
      <c r="B5056" t="s">
        <v>99</v>
      </c>
      <c r="C5056" t="s">
        <v>100</v>
      </c>
      <c r="D5056" t="str">
        <f>HYPERLINK("http://service.sap.com/sap/support/notes/960754","960754")</f>
        <v>960754</v>
      </c>
      <c r="F5056" t="s">
        <v>684</v>
      </c>
    </row>
    <row r="5057" spans="1:6">
      <c r="A5057" t="s">
        <v>5347</v>
      </c>
      <c r="B5057" t="s">
        <v>99</v>
      </c>
      <c r="C5057" t="s">
        <v>100</v>
      </c>
      <c r="D5057" t="str">
        <f>HYPERLINK("http://service.sap.com/sap/support/notes/1116407","1116407")</f>
        <v>1116407</v>
      </c>
      <c r="F5057" t="s">
        <v>685</v>
      </c>
    </row>
    <row r="5058" spans="1:6">
      <c r="A5058" t="s">
        <v>5347</v>
      </c>
      <c r="B5058" t="s">
        <v>99</v>
      </c>
      <c r="C5058" t="s">
        <v>100</v>
      </c>
      <c r="D5058" t="str">
        <f>HYPERLINK("http://service.sap.com/sap/support/notes/1500840","1500840")</f>
        <v>1500840</v>
      </c>
      <c r="F5058" t="s">
        <v>4988</v>
      </c>
    </row>
    <row r="5059" spans="1:6">
      <c r="A5059" t="s">
        <v>5347</v>
      </c>
      <c r="B5059" t="s">
        <v>99</v>
      </c>
      <c r="C5059" t="s">
        <v>100</v>
      </c>
      <c r="D5059" t="str">
        <f>HYPERLINK("http://service.sap.com/sap/support/notes/1501776","1501776")</f>
        <v>1501776</v>
      </c>
      <c r="F5059" t="s">
        <v>4989</v>
      </c>
    </row>
    <row r="5060" spans="1:6">
      <c r="A5060" t="s">
        <v>5347</v>
      </c>
      <c r="B5060" t="s">
        <v>99</v>
      </c>
      <c r="C5060" t="s">
        <v>100</v>
      </c>
      <c r="D5060" t="str">
        <f>HYPERLINK("http://service.sap.com/sap/support/notes/1503048","1503048")</f>
        <v>1503048</v>
      </c>
      <c r="F5060" t="s">
        <v>4990</v>
      </c>
    </row>
    <row r="5061" spans="1:6">
      <c r="A5061" t="s">
        <v>5347</v>
      </c>
      <c r="B5061" t="s">
        <v>99</v>
      </c>
      <c r="C5061" t="s">
        <v>100</v>
      </c>
      <c r="D5061" t="str">
        <f>HYPERLINK("http://service.sap.com/sap/support/notes/1503193","1503193")</f>
        <v>1503193</v>
      </c>
      <c r="F5061" t="s">
        <v>4991</v>
      </c>
    </row>
    <row r="5062" spans="1:6">
      <c r="A5062" t="s">
        <v>5347</v>
      </c>
      <c r="B5062" t="s">
        <v>99</v>
      </c>
      <c r="C5062" t="s">
        <v>100</v>
      </c>
      <c r="D5062" t="str">
        <f>HYPERLINK("http://service.sap.com/sap/support/notes/1503798","1503798")</f>
        <v>1503798</v>
      </c>
      <c r="F5062" t="s">
        <v>4992</v>
      </c>
    </row>
    <row r="5063" spans="1:6">
      <c r="A5063" t="s">
        <v>5347</v>
      </c>
      <c r="B5063" t="s">
        <v>99</v>
      </c>
      <c r="C5063" t="s">
        <v>100</v>
      </c>
      <c r="D5063" t="str">
        <f>HYPERLINK("http://service.sap.com/sap/support/notes/1504746","1504746")</f>
        <v>1504746</v>
      </c>
      <c r="F5063" t="s">
        <v>4993</v>
      </c>
    </row>
    <row r="5064" spans="1:6">
      <c r="A5064" t="s">
        <v>5347</v>
      </c>
      <c r="B5064" t="s">
        <v>99</v>
      </c>
      <c r="C5064" t="s">
        <v>100</v>
      </c>
      <c r="D5064" t="str">
        <f>HYPERLINK("http://service.sap.com/sap/support/notes/1506166","1506166")</f>
        <v>1506166</v>
      </c>
      <c r="F5064" t="s">
        <v>4994</v>
      </c>
    </row>
    <row r="5065" spans="1:6">
      <c r="A5065" t="s">
        <v>5347</v>
      </c>
      <c r="B5065" t="s">
        <v>99</v>
      </c>
      <c r="C5065" t="s">
        <v>100</v>
      </c>
      <c r="D5065" t="str">
        <f>HYPERLINK("http://service.sap.com/sap/support/notes/1507095","1507095")</f>
        <v>1507095</v>
      </c>
      <c r="F5065" t="s">
        <v>4995</v>
      </c>
    </row>
    <row r="5066" spans="1:6">
      <c r="A5066" t="s">
        <v>5347</v>
      </c>
      <c r="B5066" t="s">
        <v>99</v>
      </c>
      <c r="C5066" t="s">
        <v>100</v>
      </c>
      <c r="D5066" t="str">
        <f>HYPERLINK("http://service.sap.com/sap/support/notes/1508933","1508933")</f>
        <v>1508933</v>
      </c>
      <c r="F5066" t="s">
        <v>4996</v>
      </c>
    </row>
    <row r="5067" spans="1:6">
      <c r="A5067" t="s">
        <v>5347</v>
      </c>
      <c r="B5067" t="s">
        <v>99</v>
      </c>
      <c r="C5067" t="s">
        <v>100</v>
      </c>
      <c r="D5067" t="str">
        <f>HYPERLINK("http://service.sap.com/sap/support/notes/1509331","1509331")</f>
        <v>1509331</v>
      </c>
      <c r="F5067" t="s">
        <v>4997</v>
      </c>
    </row>
    <row r="5068" spans="1:6">
      <c r="A5068" t="s">
        <v>5347</v>
      </c>
      <c r="B5068" t="s">
        <v>99</v>
      </c>
      <c r="C5068" t="s">
        <v>100</v>
      </c>
      <c r="D5068" t="str">
        <f>HYPERLINK("http://service.sap.com/sap/support/notes/1510564","1510564")</f>
        <v>1510564</v>
      </c>
      <c r="F5068" t="s">
        <v>4998</v>
      </c>
    </row>
    <row r="5069" spans="1:6">
      <c r="A5069" t="s">
        <v>5347</v>
      </c>
      <c r="B5069" t="s">
        <v>99</v>
      </c>
      <c r="C5069" t="s">
        <v>100</v>
      </c>
      <c r="D5069" t="str">
        <f>HYPERLINK("http://service.sap.com/sap/support/notes/1512005","1512005")</f>
        <v>1512005</v>
      </c>
      <c r="F5069" t="s">
        <v>4999</v>
      </c>
    </row>
    <row r="5070" spans="1:6">
      <c r="A5070" t="s">
        <v>5347</v>
      </c>
      <c r="B5070" t="s">
        <v>128</v>
      </c>
      <c r="C5070" t="s">
        <v>129</v>
      </c>
    </row>
    <row r="5071" spans="1:6">
      <c r="A5071" t="s">
        <v>5347</v>
      </c>
      <c r="B5071" t="s">
        <v>3032</v>
      </c>
      <c r="C5071" t="s">
        <v>3033</v>
      </c>
      <c r="D5071" t="str">
        <f>HYPERLINK("http://service.sap.com/sap/support/notes/1502392","1502392")</f>
        <v>1502392</v>
      </c>
      <c r="F5071" t="s">
        <v>5000</v>
      </c>
    </row>
    <row r="5072" spans="1:6">
      <c r="A5072" t="s">
        <v>5347</v>
      </c>
      <c r="B5072" t="s">
        <v>3032</v>
      </c>
      <c r="C5072" t="s">
        <v>3033</v>
      </c>
      <c r="D5072" t="str">
        <f>HYPERLINK("http://service.sap.com/sap/support/notes/1506905","1506905")</f>
        <v>1506905</v>
      </c>
      <c r="F5072" t="s">
        <v>5001</v>
      </c>
    </row>
    <row r="5073" spans="1:6">
      <c r="A5073" t="s">
        <v>5347</v>
      </c>
      <c r="B5073" t="s">
        <v>130</v>
      </c>
      <c r="C5073" t="s">
        <v>131</v>
      </c>
      <c r="D5073" t="str">
        <f>HYPERLINK("http://service.sap.com/sap/support/notes/1507544","1507544")</f>
        <v>1507544</v>
      </c>
      <c r="F5073" t="s">
        <v>5002</v>
      </c>
    </row>
    <row r="5074" spans="1:6">
      <c r="A5074" t="s">
        <v>5347</v>
      </c>
      <c r="B5074" t="s">
        <v>134</v>
      </c>
      <c r="C5074" t="s">
        <v>135</v>
      </c>
      <c r="D5074" t="str">
        <f>HYPERLINK("http://service.sap.com/sap/support/notes/1503561","1503561")</f>
        <v>1503561</v>
      </c>
      <c r="F5074" t="s">
        <v>5003</v>
      </c>
    </row>
    <row r="5075" spans="1:6">
      <c r="A5075" t="s">
        <v>5347</v>
      </c>
      <c r="B5075" t="s">
        <v>137</v>
      </c>
      <c r="C5075" t="s">
        <v>138</v>
      </c>
    </row>
    <row r="5076" spans="1:6">
      <c r="A5076" t="s">
        <v>5347</v>
      </c>
      <c r="B5076" t="s">
        <v>5004</v>
      </c>
      <c r="C5076" t="s">
        <v>5005</v>
      </c>
      <c r="D5076" t="str">
        <f>HYPERLINK("http://service.sap.com/sap/support/notes/1495639","1495639")</f>
        <v>1495639</v>
      </c>
      <c r="F5076" t="s">
        <v>5006</v>
      </c>
    </row>
    <row r="5077" spans="1:6">
      <c r="A5077" t="s">
        <v>5347</v>
      </c>
      <c r="B5077" t="s">
        <v>5007</v>
      </c>
      <c r="C5077" t="s">
        <v>5008</v>
      </c>
      <c r="D5077" t="str">
        <f>HYPERLINK("http://service.sap.com/sap/support/notes/1372660","1372660")</f>
        <v>1372660</v>
      </c>
      <c r="F5077" t="s">
        <v>5009</v>
      </c>
    </row>
    <row r="5078" spans="1:6">
      <c r="A5078" t="s">
        <v>5347</v>
      </c>
      <c r="B5078" t="s">
        <v>146</v>
      </c>
      <c r="C5078" t="s">
        <v>147</v>
      </c>
    </row>
    <row r="5079" spans="1:6">
      <c r="A5079" t="s">
        <v>5347</v>
      </c>
      <c r="B5079" t="s">
        <v>148</v>
      </c>
      <c r="C5079" t="s">
        <v>149</v>
      </c>
      <c r="D5079" t="str">
        <f>HYPERLINK("http://service.sap.com/sap/support/notes/1501843","1501843")</f>
        <v>1501843</v>
      </c>
      <c r="F5079" t="s">
        <v>5010</v>
      </c>
    </row>
    <row r="5080" spans="1:6">
      <c r="A5080" t="s">
        <v>5347</v>
      </c>
      <c r="B5080" t="s">
        <v>148</v>
      </c>
      <c r="C5080" t="s">
        <v>149</v>
      </c>
      <c r="D5080" t="str">
        <f>HYPERLINK("http://service.sap.com/sap/support/notes/1505420","1505420")</f>
        <v>1505420</v>
      </c>
      <c r="F5080" t="s">
        <v>5011</v>
      </c>
    </row>
    <row r="5081" spans="1:6">
      <c r="A5081" t="s">
        <v>5347</v>
      </c>
      <c r="B5081" t="s">
        <v>148</v>
      </c>
      <c r="C5081" t="s">
        <v>149</v>
      </c>
      <c r="D5081" t="str">
        <f>HYPERLINK("http://service.sap.com/sap/support/notes/1506030","1506030")</f>
        <v>1506030</v>
      </c>
      <c r="F5081" t="s">
        <v>5012</v>
      </c>
    </row>
    <row r="5082" spans="1:6">
      <c r="A5082" t="s">
        <v>5347</v>
      </c>
      <c r="B5082" t="s">
        <v>148</v>
      </c>
      <c r="C5082" t="s">
        <v>149</v>
      </c>
      <c r="D5082" t="str">
        <f>HYPERLINK("http://service.sap.com/sap/support/notes/1507386","1507386")</f>
        <v>1507386</v>
      </c>
      <c r="F5082" t="s">
        <v>5013</v>
      </c>
    </row>
    <row r="5083" spans="1:6">
      <c r="A5083" t="s">
        <v>5347</v>
      </c>
      <c r="B5083" t="s">
        <v>148</v>
      </c>
      <c r="C5083" t="s">
        <v>149</v>
      </c>
      <c r="D5083" t="str">
        <f>HYPERLINK("http://service.sap.com/sap/support/notes/1509437","1509437")</f>
        <v>1509437</v>
      </c>
      <c r="F5083" t="s">
        <v>5014</v>
      </c>
    </row>
    <row r="5084" spans="1:6">
      <c r="A5084" t="s">
        <v>5347</v>
      </c>
      <c r="B5084" t="s">
        <v>148</v>
      </c>
      <c r="C5084" t="s">
        <v>149</v>
      </c>
      <c r="D5084" t="str">
        <f>HYPERLINK("http://service.sap.com/sap/support/notes/1510308","1510308")</f>
        <v>1510308</v>
      </c>
      <c r="F5084" t="s">
        <v>5015</v>
      </c>
    </row>
    <row r="5085" spans="1:6">
      <c r="A5085" t="s">
        <v>5347</v>
      </c>
      <c r="B5085" t="s">
        <v>148</v>
      </c>
      <c r="C5085" t="s">
        <v>149</v>
      </c>
      <c r="D5085" t="str">
        <f>HYPERLINK("http://service.sap.com/sap/support/notes/1511396","1511396")</f>
        <v>1511396</v>
      </c>
      <c r="F5085" t="s">
        <v>5016</v>
      </c>
    </row>
    <row r="5086" spans="1:6">
      <c r="A5086" t="s">
        <v>5347</v>
      </c>
      <c r="B5086" t="s">
        <v>158</v>
      </c>
      <c r="C5086" t="s">
        <v>159</v>
      </c>
    </row>
    <row r="5087" spans="1:6">
      <c r="A5087" t="s">
        <v>5347</v>
      </c>
      <c r="B5087" t="s">
        <v>160</v>
      </c>
      <c r="C5087" t="s">
        <v>47</v>
      </c>
      <c r="D5087" t="str">
        <f>HYPERLINK("http://service.sap.com/sap/support/notes/1471448","1471448")</f>
        <v>1471448</v>
      </c>
      <c r="F5087" t="s">
        <v>5017</v>
      </c>
    </row>
    <row r="5088" spans="1:6">
      <c r="A5088" t="s">
        <v>5347</v>
      </c>
      <c r="B5088" t="s">
        <v>160</v>
      </c>
      <c r="C5088" t="s">
        <v>47</v>
      </c>
      <c r="D5088" t="str">
        <f>HYPERLINK("http://service.sap.com/sap/support/notes/1497442","1497442")</f>
        <v>1497442</v>
      </c>
      <c r="F5088" t="s">
        <v>5018</v>
      </c>
    </row>
    <row r="5089" spans="1:6">
      <c r="A5089" t="s">
        <v>5347</v>
      </c>
      <c r="B5089" t="s">
        <v>160</v>
      </c>
      <c r="C5089" t="s">
        <v>47</v>
      </c>
      <c r="D5089" t="str">
        <f>HYPERLINK("http://service.sap.com/sap/support/notes/1499253","1499253")</f>
        <v>1499253</v>
      </c>
      <c r="F5089" t="s">
        <v>5019</v>
      </c>
    </row>
    <row r="5090" spans="1:6">
      <c r="A5090" t="s">
        <v>5347</v>
      </c>
      <c r="B5090" t="s">
        <v>160</v>
      </c>
      <c r="C5090" t="s">
        <v>47</v>
      </c>
      <c r="D5090" t="str">
        <f>HYPERLINK("http://service.sap.com/sap/support/notes/1501017","1501017")</f>
        <v>1501017</v>
      </c>
      <c r="F5090" t="s">
        <v>5020</v>
      </c>
    </row>
    <row r="5091" spans="1:6">
      <c r="A5091" t="s">
        <v>5347</v>
      </c>
      <c r="B5091" t="s">
        <v>160</v>
      </c>
      <c r="C5091" t="s">
        <v>47</v>
      </c>
      <c r="D5091" t="str">
        <f>HYPERLINK("http://service.sap.com/sap/support/notes/1501508","1501508")</f>
        <v>1501508</v>
      </c>
      <c r="F5091" t="s">
        <v>5021</v>
      </c>
    </row>
    <row r="5092" spans="1:6">
      <c r="A5092" t="s">
        <v>5347</v>
      </c>
      <c r="B5092" t="s">
        <v>160</v>
      </c>
      <c r="C5092" t="s">
        <v>47</v>
      </c>
      <c r="D5092" t="str">
        <f>HYPERLINK("http://service.sap.com/sap/support/notes/1501940","1501940")</f>
        <v>1501940</v>
      </c>
      <c r="F5092" t="s">
        <v>5022</v>
      </c>
    </row>
    <row r="5093" spans="1:6">
      <c r="A5093" t="s">
        <v>5347</v>
      </c>
      <c r="B5093" t="s">
        <v>160</v>
      </c>
      <c r="C5093" t="s">
        <v>47</v>
      </c>
      <c r="D5093" t="str">
        <f>HYPERLINK("http://service.sap.com/sap/support/notes/1501941","1501941")</f>
        <v>1501941</v>
      </c>
      <c r="F5093" t="s">
        <v>5023</v>
      </c>
    </row>
    <row r="5094" spans="1:6">
      <c r="A5094" t="s">
        <v>5347</v>
      </c>
      <c r="B5094" t="s">
        <v>160</v>
      </c>
      <c r="C5094" t="s">
        <v>47</v>
      </c>
      <c r="D5094" t="str">
        <f>HYPERLINK("http://service.sap.com/sap/support/notes/1503267","1503267")</f>
        <v>1503267</v>
      </c>
      <c r="F5094" t="s">
        <v>5024</v>
      </c>
    </row>
    <row r="5095" spans="1:6">
      <c r="A5095" t="s">
        <v>5347</v>
      </c>
      <c r="B5095" t="s">
        <v>160</v>
      </c>
      <c r="C5095" t="s">
        <v>47</v>
      </c>
      <c r="D5095" t="str">
        <f>HYPERLINK("http://service.sap.com/sap/support/notes/1504031","1504031")</f>
        <v>1504031</v>
      </c>
      <c r="F5095" t="s">
        <v>5025</v>
      </c>
    </row>
    <row r="5096" spans="1:6">
      <c r="A5096" t="s">
        <v>5347</v>
      </c>
      <c r="B5096" t="s">
        <v>160</v>
      </c>
      <c r="C5096" t="s">
        <v>47</v>
      </c>
      <c r="D5096" t="str">
        <f>HYPERLINK("http://service.sap.com/sap/support/notes/1507760","1507760")</f>
        <v>1507760</v>
      </c>
      <c r="F5096" t="s">
        <v>5026</v>
      </c>
    </row>
    <row r="5097" spans="1:6">
      <c r="A5097" t="s">
        <v>5347</v>
      </c>
      <c r="B5097" t="s">
        <v>160</v>
      </c>
      <c r="C5097" t="s">
        <v>47</v>
      </c>
      <c r="D5097" t="str">
        <f>HYPERLINK("http://service.sap.com/sap/support/notes/1511330","1511330")</f>
        <v>1511330</v>
      </c>
      <c r="F5097" t="s">
        <v>5027</v>
      </c>
    </row>
    <row r="5098" spans="1:6">
      <c r="A5098" t="s">
        <v>5347</v>
      </c>
      <c r="B5098" t="s">
        <v>160</v>
      </c>
      <c r="C5098" t="s">
        <v>47</v>
      </c>
      <c r="D5098" t="str">
        <f>HYPERLINK("http://service.sap.com/sap/support/notes/1511445","1511445")</f>
        <v>1511445</v>
      </c>
      <c r="F5098" t="s">
        <v>5028</v>
      </c>
    </row>
    <row r="5099" spans="1:6">
      <c r="A5099" t="s">
        <v>5347</v>
      </c>
      <c r="B5099" t="s">
        <v>166</v>
      </c>
      <c r="C5099" t="s">
        <v>50</v>
      </c>
      <c r="D5099" t="str">
        <f>HYPERLINK("http://service.sap.com/sap/support/notes/1415002","1415002")</f>
        <v>1415002</v>
      </c>
      <c r="F5099" t="s">
        <v>5029</v>
      </c>
    </row>
    <row r="5100" spans="1:6">
      <c r="A5100" t="s">
        <v>5347</v>
      </c>
      <c r="B5100" t="s">
        <v>166</v>
      </c>
      <c r="C5100" t="s">
        <v>50</v>
      </c>
      <c r="D5100" t="str">
        <f>HYPERLINK("http://service.sap.com/sap/support/notes/1427387","1427387")</f>
        <v>1427387</v>
      </c>
      <c r="F5100" t="s">
        <v>5030</v>
      </c>
    </row>
    <row r="5101" spans="1:6">
      <c r="A5101" t="s">
        <v>5347</v>
      </c>
      <c r="B5101" t="s">
        <v>166</v>
      </c>
      <c r="C5101" t="s">
        <v>50</v>
      </c>
      <c r="D5101" t="str">
        <f>HYPERLINK("http://service.sap.com/sap/support/notes/1476725","1476725")</f>
        <v>1476725</v>
      </c>
      <c r="F5101" t="s">
        <v>5031</v>
      </c>
    </row>
    <row r="5102" spans="1:6">
      <c r="A5102" t="s">
        <v>5347</v>
      </c>
      <c r="B5102" t="s">
        <v>166</v>
      </c>
      <c r="C5102" t="s">
        <v>50</v>
      </c>
      <c r="D5102" t="str">
        <f>HYPERLINK("http://service.sap.com/sap/support/notes/1477139","1477139")</f>
        <v>1477139</v>
      </c>
      <c r="F5102" t="s">
        <v>4055</v>
      </c>
    </row>
    <row r="5103" spans="1:6">
      <c r="A5103" t="s">
        <v>5347</v>
      </c>
      <c r="B5103" t="s">
        <v>166</v>
      </c>
      <c r="C5103" t="s">
        <v>50</v>
      </c>
      <c r="D5103" t="str">
        <f>HYPERLINK("http://service.sap.com/sap/support/notes/1483827","1483827")</f>
        <v>1483827</v>
      </c>
      <c r="F5103" t="s">
        <v>5032</v>
      </c>
    </row>
    <row r="5104" spans="1:6">
      <c r="A5104" t="s">
        <v>5347</v>
      </c>
      <c r="B5104" t="s">
        <v>166</v>
      </c>
      <c r="C5104" t="s">
        <v>50</v>
      </c>
      <c r="D5104" t="str">
        <f>HYPERLINK("http://service.sap.com/sap/support/notes/1490047","1490047")</f>
        <v>1490047</v>
      </c>
      <c r="F5104" t="s">
        <v>5033</v>
      </c>
    </row>
    <row r="5105" spans="1:6">
      <c r="A5105" t="s">
        <v>5347</v>
      </c>
      <c r="B5105" t="s">
        <v>166</v>
      </c>
      <c r="C5105" t="s">
        <v>50</v>
      </c>
      <c r="D5105" t="str">
        <f>HYPERLINK("http://service.sap.com/sap/support/notes/1491986","1491986")</f>
        <v>1491986</v>
      </c>
      <c r="F5105" t="s">
        <v>5034</v>
      </c>
    </row>
    <row r="5106" spans="1:6">
      <c r="A5106" t="s">
        <v>5347</v>
      </c>
      <c r="B5106" t="s">
        <v>166</v>
      </c>
      <c r="C5106" t="s">
        <v>50</v>
      </c>
      <c r="D5106" t="str">
        <f>HYPERLINK("http://service.sap.com/sap/support/notes/1494010","1494010")</f>
        <v>1494010</v>
      </c>
      <c r="F5106" t="s">
        <v>5035</v>
      </c>
    </row>
    <row r="5107" spans="1:6">
      <c r="A5107" t="s">
        <v>5347</v>
      </c>
      <c r="B5107" t="s">
        <v>166</v>
      </c>
      <c r="C5107" t="s">
        <v>50</v>
      </c>
      <c r="D5107" t="str">
        <f>HYPERLINK("http://service.sap.com/sap/support/notes/1496039","1496039")</f>
        <v>1496039</v>
      </c>
      <c r="F5107" t="s">
        <v>5036</v>
      </c>
    </row>
    <row r="5108" spans="1:6">
      <c r="A5108" t="s">
        <v>5347</v>
      </c>
      <c r="B5108" t="s">
        <v>166</v>
      </c>
      <c r="C5108" t="s">
        <v>50</v>
      </c>
      <c r="D5108" t="str">
        <f>HYPERLINK("http://service.sap.com/sap/support/notes/1503439","1503439")</f>
        <v>1503439</v>
      </c>
      <c r="F5108" t="s">
        <v>5037</v>
      </c>
    </row>
    <row r="5109" spans="1:6">
      <c r="A5109" t="s">
        <v>5347</v>
      </c>
      <c r="B5109" t="s">
        <v>166</v>
      </c>
      <c r="C5109" t="s">
        <v>50</v>
      </c>
      <c r="D5109" t="str">
        <f>HYPERLINK("http://service.sap.com/sap/support/notes/1503533","1503533")</f>
        <v>1503533</v>
      </c>
      <c r="F5109" t="s">
        <v>5038</v>
      </c>
    </row>
    <row r="5110" spans="1:6">
      <c r="A5110" t="s">
        <v>5347</v>
      </c>
      <c r="B5110" t="s">
        <v>166</v>
      </c>
      <c r="C5110" t="s">
        <v>50</v>
      </c>
      <c r="D5110" t="str">
        <f>HYPERLINK("http://service.sap.com/sap/support/notes/1503962","1503962")</f>
        <v>1503962</v>
      </c>
      <c r="F5110" t="s">
        <v>5039</v>
      </c>
    </row>
    <row r="5111" spans="1:6">
      <c r="A5111" t="s">
        <v>5347</v>
      </c>
      <c r="B5111" t="s">
        <v>166</v>
      </c>
      <c r="C5111" t="s">
        <v>50</v>
      </c>
      <c r="D5111" t="str">
        <f>HYPERLINK("http://service.sap.com/sap/support/notes/1505370","1505370")</f>
        <v>1505370</v>
      </c>
      <c r="F5111" t="s">
        <v>5040</v>
      </c>
    </row>
    <row r="5112" spans="1:6">
      <c r="A5112" t="s">
        <v>5347</v>
      </c>
      <c r="B5112" t="s">
        <v>166</v>
      </c>
      <c r="C5112" t="s">
        <v>50</v>
      </c>
      <c r="D5112" t="str">
        <f>HYPERLINK("http://service.sap.com/sap/support/notes/1506974","1506974")</f>
        <v>1506974</v>
      </c>
      <c r="F5112" t="s">
        <v>5041</v>
      </c>
    </row>
    <row r="5113" spans="1:6">
      <c r="A5113" t="s">
        <v>5347</v>
      </c>
      <c r="B5113" t="s">
        <v>166</v>
      </c>
      <c r="C5113" t="s">
        <v>50</v>
      </c>
      <c r="D5113" t="str">
        <f>HYPERLINK("http://service.sap.com/sap/support/notes/1508366","1508366")</f>
        <v>1508366</v>
      </c>
      <c r="F5113" t="s">
        <v>5042</v>
      </c>
    </row>
    <row r="5114" spans="1:6">
      <c r="A5114" t="s">
        <v>5347</v>
      </c>
      <c r="B5114" t="s">
        <v>166</v>
      </c>
      <c r="C5114" t="s">
        <v>50</v>
      </c>
      <c r="D5114" t="str">
        <f>HYPERLINK("http://service.sap.com/sap/support/notes/1508512","1508512")</f>
        <v>1508512</v>
      </c>
      <c r="F5114" t="s">
        <v>5043</v>
      </c>
    </row>
    <row r="5115" spans="1:6">
      <c r="A5115" t="s">
        <v>5347</v>
      </c>
      <c r="B5115" t="s">
        <v>166</v>
      </c>
      <c r="C5115" t="s">
        <v>50</v>
      </c>
      <c r="D5115" t="str">
        <f>HYPERLINK("http://service.sap.com/sap/support/notes/1509759","1509759")</f>
        <v>1509759</v>
      </c>
      <c r="F5115" t="s">
        <v>5044</v>
      </c>
    </row>
    <row r="5116" spans="1:6">
      <c r="A5116" t="s">
        <v>5347</v>
      </c>
      <c r="B5116" t="s">
        <v>166</v>
      </c>
      <c r="C5116" t="s">
        <v>50</v>
      </c>
      <c r="D5116" t="str">
        <f>HYPERLINK("http://service.sap.com/sap/support/notes/1511110","1511110")</f>
        <v>1511110</v>
      </c>
      <c r="F5116" t="s">
        <v>5045</v>
      </c>
    </row>
    <row r="5117" spans="1:6">
      <c r="A5117" t="s">
        <v>5347</v>
      </c>
      <c r="B5117" t="s">
        <v>941</v>
      </c>
      <c r="C5117" t="s">
        <v>189</v>
      </c>
      <c r="D5117" t="str">
        <f>HYPERLINK("http://service.sap.com/sap/support/notes/1366988","1366988")</f>
        <v>1366988</v>
      </c>
      <c r="F5117" t="s">
        <v>5046</v>
      </c>
    </row>
    <row r="5118" spans="1:6">
      <c r="A5118" t="s">
        <v>5347</v>
      </c>
      <c r="B5118" t="s">
        <v>174</v>
      </c>
      <c r="C5118" t="s">
        <v>175</v>
      </c>
      <c r="D5118" t="str">
        <f>HYPERLINK("http://service.sap.com/sap/support/notes/815445","815445")</f>
        <v>815445</v>
      </c>
      <c r="F5118" t="s">
        <v>176</v>
      </c>
    </row>
    <row r="5119" spans="1:6">
      <c r="A5119" t="s">
        <v>5347</v>
      </c>
      <c r="B5119" t="s">
        <v>174</v>
      </c>
      <c r="C5119" t="s">
        <v>175</v>
      </c>
      <c r="D5119" t="str">
        <f>HYPERLINK("http://service.sap.com/sap/support/notes/1487278","1487278")</f>
        <v>1487278</v>
      </c>
      <c r="F5119" t="s">
        <v>5047</v>
      </c>
    </row>
    <row r="5120" spans="1:6">
      <c r="A5120" t="s">
        <v>5347</v>
      </c>
      <c r="B5120" t="s">
        <v>174</v>
      </c>
      <c r="C5120" t="s">
        <v>175</v>
      </c>
      <c r="D5120" t="str">
        <f>HYPERLINK("http://service.sap.com/sap/support/notes/1488777","1488777")</f>
        <v>1488777</v>
      </c>
      <c r="F5120" t="s">
        <v>5048</v>
      </c>
    </row>
    <row r="5121" spans="1:6">
      <c r="A5121" t="s">
        <v>5347</v>
      </c>
      <c r="B5121" t="s">
        <v>174</v>
      </c>
      <c r="C5121" t="s">
        <v>175</v>
      </c>
      <c r="D5121" t="str">
        <f>HYPERLINK("http://service.sap.com/sap/support/notes/1499314","1499314")</f>
        <v>1499314</v>
      </c>
      <c r="F5121" t="s">
        <v>5049</v>
      </c>
    </row>
    <row r="5122" spans="1:6">
      <c r="A5122" t="s">
        <v>5347</v>
      </c>
      <c r="B5122" t="s">
        <v>174</v>
      </c>
      <c r="C5122" t="s">
        <v>175</v>
      </c>
      <c r="D5122" t="str">
        <f>HYPERLINK("http://service.sap.com/sap/support/notes/1499927","1499927")</f>
        <v>1499927</v>
      </c>
      <c r="F5122" t="s">
        <v>5050</v>
      </c>
    </row>
    <row r="5123" spans="1:6">
      <c r="A5123" t="s">
        <v>5347</v>
      </c>
      <c r="B5123" t="s">
        <v>174</v>
      </c>
      <c r="C5123" t="s">
        <v>175</v>
      </c>
      <c r="D5123" t="str">
        <f>HYPERLINK("http://service.sap.com/sap/support/notes/1503043","1503043")</f>
        <v>1503043</v>
      </c>
      <c r="F5123" t="s">
        <v>5051</v>
      </c>
    </row>
    <row r="5124" spans="1:6">
      <c r="A5124" t="s">
        <v>5347</v>
      </c>
      <c r="B5124" t="s">
        <v>174</v>
      </c>
      <c r="C5124" t="s">
        <v>175</v>
      </c>
      <c r="D5124" t="str">
        <f>HYPERLINK("http://service.sap.com/sap/support/notes/1503504","1503504")</f>
        <v>1503504</v>
      </c>
      <c r="F5124" t="s">
        <v>5052</v>
      </c>
    </row>
    <row r="5125" spans="1:6">
      <c r="A5125" t="s">
        <v>5347</v>
      </c>
      <c r="B5125" t="s">
        <v>174</v>
      </c>
      <c r="C5125" t="s">
        <v>175</v>
      </c>
      <c r="D5125" t="str">
        <f>HYPERLINK("http://service.sap.com/sap/support/notes/1505389","1505389")</f>
        <v>1505389</v>
      </c>
      <c r="F5125" t="s">
        <v>5053</v>
      </c>
    </row>
    <row r="5126" spans="1:6">
      <c r="A5126" t="s">
        <v>5347</v>
      </c>
      <c r="B5126" t="s">
        <v>174</v>
      </c>
      <c r="C5126" t="s">
        <v>175</v>
      </c>
      <c r="D5126" t="str">
        <f>HYPERLINK("http://service.sap.com/sap/support/notes/1510068","1510068")</f>
        <v>1510068</v>
      </c>
      <c r="F5126" t="s">
        <v>5054</v>
      </c>
    </row>
    <row r="5127" spans="1:6">
      <c r="A5127" t="s">
        <v>5347</v>
      </c>
      <c r="B5127" t="s">
        <v>188</v>
      </c>
      <c r="C5127" t="s">
        <v>189</v>
      </c>
      <c r="D5127" t="str">
        <f>HYPERLINK("http://service.sap.com/sap/support/notes/1446768","1446768")</f>
        <v>1446768</v>
      </c>
      <c r="F5127" t="s">
        <v>5055</v>
      </c>
    </row>
    <row r="5128" spans="1:6">
      <c r="A5128" t="s">
        <v>5347</v>
      </c>
      <c r="B5128" t="s">
        <v>192</v>
      </c>
      <c r="C5128" t="s">
        <v>60</v>
      </c>
      <c r="D5128" t="str">
        <f>HYPERLINK("http://service.sap.com/sap/support/notes/1501513","1501513")</f>
        <v>1501513</v>
      </c>
      <c r="F5128" t="s">
        <v>5056</v>
      </c>
    </row>
    <row r="5129" spans="1:6">
      <c r="A5129" t="s">
        <v>5347</v>
      </c>
      <c r="B5129" t="s">
        <v>192</v>
      </c>
      <c r="C5129" t="s">
        <v>60</v>
      </c>
      <c r="D5129" t="str">
        <f>HYPERLINK("http://service.sap.com/sap/support/notes/1501931","1501931")</f>
        <v>1501931</v>
      </c>
      <c r="F5129" t="s">
        <v>5057</v>
      </c>
    </row>
    <row r="5130" spans="1:6">
      <c r="A5130" t="s">
        <v>5347</v>
      </c>
      <c r="B5130" t="s">
        <v>192</v>
      </c>
      <c r="C5130" t="s">
        <v>60</v>
      </c>
      <c r="D5130" t="str">
        <f>HYPERLINK("http://service.sap.com/sap/support/notes/1503180","1503180")</f>
        <v>1503180</v>
      </c>
      <c r="F5130" t="s">
        <v>5058</v>
      </c>
    </row>
    <row r="5131" spans="1:6">
      <c r="A5131" t="s">
        <v>5347</v>
      </c>
      <c r="B5131" t="s">
        <v>192</v>
      </c>
      <c r="C5131" t="s">
        <v>60</v>
      </c>
      <c r="D5131" t="str">
        <f>HYPERLINK("http://service.sap.com/sap/support/notes/1503252","1503252")</f>
        <v>1503252</v>
      </c>
      <c r="F5131" t="s">
        <v>5059</v>
      </c>
    </row>
    <row r="5132" spans="1:6">
      <c r="A5132" t="s">
        <v>5347</v>
      </c>
      <c r="B5132" t="s">
        <v>192</v>
      </c>
      <c r="C5132" t="s">
        <v>60</v>
      </c>
      <c r="D5132" t="str">
        <f>HYPERLINK("http://service.sap.com/sap/support/notes/1503438","1503438")</f>
        <v>1503438</v>
      </c>
      <c r="F5132" t="s">
        <v>5060</v>
      </c>
    </row>
    <row r="5133" spans="1:6">
      <c r="A5133" t="s">
        <v>5347</v>
      </c>
      <c r="B5133" t="s">
        <v>192</v>
      </c>
      <c r="C5133" t="s">
        <v>60</v>
      </c>
      <c r="D5133" t="str">
        <f>HYPERLINK("http://service.sap.com/sap/support/notes/1503619","1503619")</f>
        <v>1503619</v>
      </c>
      <c r="F5133" t="s">
        <v>5061</v>
      </c>
    </row>
    <row r="5134" spans="1:6">
      <c r="A5134" t="s">
        <v>5347</v>
      </c>
      <c r="B5134" t="s">
        <v>192</v>
      </c>
      <c r="C5134" t="s">
        <v>60</v>
      </c>
      <c r="D5134" t="str">
        <f>HYPERLINK("http://service.sap.com/sap/support/notes/1503684","1503684")</f>
        <v>1503684</v>
      </c>
      <c r="F5134" t="s">
        <v>5062</v>
      </c>
    </row>
    <row r="5135" spans="1:6">
      <c r="A5135" t="s">
        <v>5347</v>
      </c>
      <c r="B5135" t="s">
        <v>192</v>
      </c>
      <c r="C5135" t="s">
        <v>60</v>
      </c>
      <c r="D5135" t="str">
        <f>HYPERLINK("http://service.sap.com/sap/support/notes/1503835","1503835")</f>
        <v>1503835</v>
      </c>
      <c r="F5135" t="s">
        <v>5063</v>
      </c>
    </row>
    <row r="5136" spans="1:6">
      <c r="A5136" t="s">
        <v>5347</v>
      </c>
      <c r="B5136" t="s">
        <v>192</v>
      </c>
      <c r="C5136" t="s">
        <v>60</v>
      </c>
      <c r="D5136" t="str">
        <f>HYPERLINK("http://service.sap.com/sap/support/notes/1503836","1503836")</f>
        <v>1503836</v>
      </c>
      <c r="F5136" t="s">
        <v>5064</v>
      </c>
    </row>
    <row r="5137" spans="1:6">
      <c r="A5137" t="s">
        <v>5347</v>
      </c>
      <c r="B5137" t="s">
        <v>192</v>
      </c>
      <c r="C5137" t="s">
        <v>60</v>
      </c>
      <c r="D5137" t="str">
        <f>HYPERLINK("http://service.sap.com/sap/support/notes/1504068","1504068")</f>
        <v>1504068</v>
      </c>
      <c r="F5137" t="s">
        <v>5065</v>
      </c>
    </row>
    <row r="5138" spans="1:6">
      <c r="A5138" t="s">
        <v>5347</v>
      </c>
      <c r="B5138" t="s">
        <v>192</v>
      </c>
      <c r="C5138" t="s">
        <v>60</v>
      </c>
      <c r="D5138" t="str">
        <f>HYPERLINK("http://service.sap.com/sap/support/notes/1505496","1505496")</f>
        <v>1505496</v>
      </c>
      <c r="F5138" t="s">
        <v>5066</v>
      </c>
    </row>
    <row r="5139" spans="1:6">
      <c r="A5139" t="s">
        <v>5347</v>
      </c>
      <c r="B5139" t="s">
        <v>192</v>
      </c>
      <c r="C5139" t="s">
        <v>60</v>
      </c>
      <c r="D5139" t="str">
        <f>HYPERLINK("http://service.sap.com/sap/support/notes/1505723","1505723")</f>
        <v>1505723</v>
      </c>
      <c r="F5139" t="s">
        <v>5067</v>
      </c>
    </row>
    <row r="5140" spans="1:6">
      <c r="A5140" t="s">
        <v>5347</v>
      </c>
      <c r="B5140" t="s">
        <v>192</v>
      </c>
      <c r="C5140" t="s">
        <v>60</v>
      </c>
      <c r="D5140" t="str">
        <f>HYPERLINK("http://service.sap.com/sap/support/notes/1506319","1506319")</f>
        <v>1506319</v>
      </c>
      <c r="F5140" t="s">
        <v>5068</v>
      </c>
    </row>
    <row r="5141" spans="1:6">
      <c r="A5141" t="s">
        <v>5347</v>
      </c>
      <c r="B5141" t="s">
        <v>192</v>
      </c>
      <c r="C5141" t="s">
        <v>60</v>
      </c>
      <c r="D5141" t="str">
        <f>HYPERLINK("http://service.sap.com/sap/support/notes/1507320","1507320")</f>
        <v>1507320</v>
      </c>
      <c r="F5141" t="s">
        <v>5069</v>
      </c>
    </row>
    <row r="5142" spans="1:6">
      <c r="A5142" t="s">
        <v>5347</v>
      </c>
      <c r="B5142" t="s">
        <v>192</v>
      </c>
      <c r="C5142" t="s">
        <v>60</v>
      </c>
      <c r="D5142" t="str">
        <f>HYPERLINK("http://service.sap.com/sap/support/notes/1507801","1507801")</f>
        <v>1507801</v>
      </c>
      <c r="F5142" t="s">
        <v>5070</v>
      </c>
    </row>
    <row r="5143" spans="1:6">
      <c r="A5143" t="s">
        <v>5347</v>
      </c>
      <c r="B5143" t="s">
        <v>192</v>
      </c>
      <c r="C5143" t="s">
        <v>60</v>
      </c>
      <c r="D5143" t="str">
        <f>HYPERLINK("http://service.sap.com/sap/support/notes/1507823","1507823")</f>
        <v>1507823</v>
      </c>
      <c r="F5143" t="s">
        <v>5071</v>
      </c>
    </row>
    <row r="5144" spans="1:6">
      <c r="A5144" t="s">
        <v>5347</v>
      </c>
      <c r="B5144" t="s">
        <v>192</v>
      </c>
      <c r="C5144" t="s">
        <v>60</v>
      </c>
      <c r="D5144" t="str">
        <f>HYPERLINK("http://service.sap.com/sap/support/notes/1508136","1508136")</f>
        <v>1508136</v>
      </c>
      <c r="F5144" t="s">
        <v>5072</v>
      </c>
    </row>
    <row r="5145" spans="1:6">
      <c r="A5145" t="s">
        <v>5347</v>
      </c>
      <c r="B5145" t="s">
        <v>192</v>
      </c>
      <c r="C5145" t="s">
        <v>60</v>
      </c>
      <c r="D5145" t="str">
        <f>HYPERLINK("http://service.sap.com/sap/support/notes/1508195","1508195")</f>
        <v>1508195</v>
      </c>
      <c r="F5145" t="s">
        <v>5073</v>
      </c>
    </row>
    <row r="5146" spans="1:6">
      <c r="A5146" t="s">
        <v>5347</v>
      </c>
      <c r="B5146" t="s">
        <v>192</v>
      </c>
      <c r="C5146" t="s">
        <v>60</v>
      </c>
      <c r="D5146" t="str">
        <f>HYPERLINK("http://service.sap.com/sap/support/notes/1508510","1508510")</f>
        <v>1508510</v>
      </c>
      <c r="F5146" t="s">
        <v>5074</v>
      </c>
    </row>
    <row r="5147" spans="1:6">
      <c r="A5147" t="s">
        <v>5347</v>
      </c>
      <c r="B5147" t="s">
        <v>192</v>
      </c>
      <c r="C5147" t="s">
        <v>60</v>
      </c>
      <c r="D5147" t="str">
        <f>HYPERLINK("http://service.sap.com/sap/support/notes/1509211","1509211")</f>
        <v>1509211</v>
      </c>
      <c r="F5147" t="s">
        <v>5075</v>
      </c>
    </row>
    <row r="5148" spans="1:6">
      <c r="A5148" t="s">
        <v>5347</v>
      </c>
      <c r="B5148" t="s">
        <v>192</v>
      </c>
      <c r="C5148" t="s">
        <v>60</v>
      </c>
      <c r="D5148" t="str">
        <f>HYPERLINK("http://service.sap.com/sap/support/notes/1509279","1509279")</f>
        <v>1509279</v>
      </c>
      <c r="F5148" t="s">
        <v>5076</v>
      </c>
    </row>
    <row r="5149" spans="1:6">
      <c r="A5149" t="s">
        <v>5347</v>
      </c>
      <c r="B5149" t="s">
        <v>192</v>
      </c>
      <c r="C5149" t="s">
        <v>60</v>
      </c>
      <c r="D5149" t="str">
        <f>HYPERLINK("http://service.sap.com/sap/support/notes/1509482","1509482")</f>
        <v>1509482</v>
      </c>
      <c r="F5149" t="s">
        <v>5077</v>
      </c>
    </row>
    <row r="5150" spans="1:6">
      <c r="A5150" t="s">
        <v>5347</v>
      </c>
      <c r="B5150" t="s">
        <v>192</v>
      </c>
      <c r="C5150" t="s">
        <v>60</v>
      </c>
      <c r="D5150" t="str">
        <f>HYPERLINK("http://service.sap.com/sap/support/notes/1509583","1509583")</f>
        <v>1509583</v>
      </c>
      <c r="F5150" t="s">
        <v>5078</v>
      </c>
    </row>
    <row r="5151" spans="1:6">
      <c r="A5151" t="s">
        <v>5347</v>
      </c>
      <c r="B5151" t="s">
        <v>192</v>
      </c>
      <c r="C5151" t="s">
        <v>60</v>
      </c>
      <c r="D5151" t="str">
        <f>HYPERLINK("http://service.sap.com/sap/support/notes/1510016","1510016")</f>
        <v>1510016</v>
      </c>
      <c r="F5151" t="s">
        <v>5079</v>
      </c>
    </row>
    <row r="5152" spans="1:6">
      <c r="A5152" t="s">
        <v>5347</v>
      </c>
      <c r="B5152" t="s">
        <v>192</v>
      </c>
      <c r="C5152" t="s">
        <v>60</v>
      </c>
      <c r="D5152" t="str">
        <f>HYPERLINK("http://service.sap.com/sap/support/notes/1510059","1510059")</f>
        <v>1510059</v>
      </c>
      <c r="F5152" t="s">
        <v>5080</v>
      </c>
    </row>
    <row r="5153" spans="1:6">
      <c r="A5153" t="s">
        <v>5347</v>
      </c>
      <c r="B5153" t="s">
        <v>192</v>
      </c>
      <c r="C5153" t="s">
        <v>60</v>
      </c>
      <c r="D5153" t="str">
        <f>HYPERLINK("http://service.sap.com/sap/support/notes/1510696","1510696")</f>
        <v>1510696</v>
      </c>
      <c r="F5153" t="s">
        <v>5081</v>
      </c>
    </row>
    <row r="5154" spans="1:6">
      <c r="A5154" t="s">
        <v>5347</v>
      </c>
      <c r="B5154" t="s">
        <v>192</v>
      </c>
      <c r="C5154" t="s">
        <v>60</v>
      </c>
      <c r="D5154" t="str">
        <f>HYPERLINK("http://service.sap.com/sap/support/notes/1510740","1510740")</f>
        <v>1510740</v>
      </c>
      <c r="F5154" t="s">
        <v>5082</v>
      </c>
    </row>
    <row r="5155" spans="1:6">
      <c r="A5155" t="s">
        <v>5347</v>
      </c>
      <c r="B5155" t="s">
        <v>192</v>
      </c>
      <c r="C5155" t="s">
        <v>60</v>
      </c>
      <c r="D5155" t="str">
        <f>HYPERLINK("http://service.sap.com/sap/support/notes/1510978","1510978")</f>
        <v>1510978</v>
      </c>
      <c r="F5155" t="s">
        <v>5083</v>
      </c>
    </row>
    <row r="5156" spans="1:6">
      <c r="A5156" t="s">
        <v>5347</v>
      </c>
      <c r="B5156" t="s">
        <v>192</v>
      </c>
      <c r="C5156" t="s">
        <v>60</v>
      </c>
      <c r="D5156" t="str">
        <f>HYPERLINK("http://service.sap.com/sap/support/notes/1511403","1511403")</f>
        <v>1511403</v>
      </c>
      <c r="F5156" t="s">
        <v>5084</v>
      </c>
    </row>
    <row r="5157" spans="1:6">
      <c r="A5157" t="s">
        <v>5347</v>
      </c>
      <c r="B5157" t="s">
        <v>192</v>
      </c>
      <c r="C5157" t="s">
        <v>60</v>
      </c>
      <c r="D5157" t="str">
        <f>HYPERLINK("http://service.sap.com/sap/support/notes/1511767","1511767")</f>
        <v>1511767</v>
      </c>
      <c r="F5157" t="s">
        <v>5085</v>
      </c>
    </row>
    <row r="5158" spans="1:6">
      <c r="A5158" t="s">
        <v>5347</v>
      </c>
      <c r="B5158" t="s">
        <v>197</v>
      </c>
      <c r="C5158" t="s">
        <v>63</v>
      </c>
      <c r="D5158" t="str">
        <f>HYPERLINK("http://service.sap.com/sap/support/notes/1396141","1396141")</f>
        <v>1396141</v>
      </c>
      <c r="F5158" t="s">
        <v>5086</v>
      </c>
    </row>
    <row r="5159" spans="1:6">
      <c r="A5159" t="s">
        <v>5347</v>
      </c>
      <c r="B5159" t="s">
        <v>197</v>
      </c>
      <c r="C5159" t="s">
        <v>63</v>
      </c>
      <c r="D5159" t="str">
        <f>HYPERLINK("http://service.sap.com/sap/support/notes/1411636","1411636")</f>
        <v>1411636</v>
      </c>
      <c r="F5159" t="s">
        <v>5087</v>
      </c>
    </row>
    <row r="5160" spans="1:6">
      <c r="A5160" t="s">
        <v>5347</v>
      </c>
      <c r="B5160" t="s">
        <v>197</v>
      </c>
      <c r="C5160" t="s">
        <v>63</v>
      </c>
      <c r="D5160" t="str">
        <f>HYPERLINK("http://service.sap.com/sap/support/notes/1446630","1446630")</f>
        <v>1446630</v>
      </c>
      <c r="F5160" t="s">
        <v>5088</v>
      </c>
    </row>
    <row r="5161" spans="1:6">
      <c r="A5161" t="s">
        <v>5347</v>
      </c>
      <c r="B5161" t="s">
        <v>197</v>
      </c>
      <c r="C5161" t="s">
        <v>63</v>
      </c>
      <c r="D5161" t="str">
        <f>HYPERLINK("http://service.sap.com/sap/support/notes/1496295","1496295")</f>
        <v>1496295</v>
      </c>
      <c r="F5161" t="s">
        <v>5089</v>
      </c>
    </row>
    <row r="5162" spans="1:6">
      <c r="A5162" t="s">
        <v>5347</v>
      </c>
      <c r="B5162" t="s">
        <v>197</v>
      </c>
      <c r="C5162" t="s">
        <v>63</v>
      </c>
      <c r="D5162" t="str">
        <f>HYPERLINK("http://service.sap.com/sap/support/notes/1501094","1501094")</f>
        <v>1501094</v>
      </c>
      <c r="F5162" t="s">
        <v>5090</v>
      </c>
    </row>
    <row r="5163" spans="1:6">
      <c r="A5163" t="s">
        <v>5347</v>
      </c>
      <c r="B5163" t="s">
        <v>197</v>
      </c>
      <c r="C5163" t="s">
        <v>63</v>
      </c>
      <c r="D5163" t="str">
        <f>HYPERLINK("http://service.sap.com/sap/support/notes/1502416","1502416")</f>
        <v>1502416</v>
      </c>
      <c r="F5163" t="s">
        <v>5091</v>
      </c>
    </row>
    <row r="5164" spans="1:6">
      <c r="A5164" t="s">
        <v>5347</v>
      </c>
      <c r="B5164" t="s">
        <v>197</v>
      </c>
      <c r="C5164" t="s">
        <v>63</v>
      </c>
      <c r="D5164" t="str">
        <f>HYPERLINK("http://service.sap.com/sap/support/notes/1505550","1505550")</f>
        <v>1505550</v>
      </c>
      <c r="F5164" t="s">
        <v>5092</v>
      </c>
    </row>
    <row r="5165" spans="1:6">
      <c r="A5165" t="s">
        <v>5347</v>
      </c>
      <c r="B5165" t="s">
        <v>197</v>
      </c>
      <c r="C5165" t="s">
        <v>63</v>
      </c>
      <c r="D5165" t="str">
        <f>HYPERLINK("http://service.sap.com/sap/support/notes/1508535","1508535")</f>
        <v>1508535</v>
      </c>
      <c r="F5165" t="s">
        <v>5093</v>
      </c>
    </row>
    <row r="5166" spans="1:6">
      <c r="A5166" t="s">
        <v>5347</v>
      </c>
      <c r="B5166" t="s">
        <v>204</v>
      </c>
      <c r="C5166" t="s">
        <v>205</v>
      </c>
      <c r="D5166" t="str">
        <f>HYPERLINK("http://service.sap.com/sap/support/notes/1423934","1423934")</f>
        <v>1423934</v>
      </c>
      <c r="F5166" t="s">
        <v>5094</v>
      </c>
    </row>
    <row r="5167" spans="1:6">
      <c r="A5167" t="s">
        <v>5347</v>
      </c>
      <c r="B5167" t="s">
        <v>204</v>
      </c>
      <c r="C5167" t="s">
        <v>205</v>
      </c>
      <c r="D5167" t="str">
        <f>HYPERLINK("http://service.sap.com/sap/support/notes/1470619","1470619")</f>
        <v>1470619</v>
      </c>
      <c r="F5167" t="s">
        <v>5095</v>
      </c>
    </row>
    <row r="5168" spans="1:6">
      <c r="A5168" t="s">
        <v>5347</v>
      </c>
      <c r="B5168" t="s">
        <v>204</v>
      </c>
      <c r="C5168" t="s">
        <v>205</v>
      </c>
      <c r="D5168" t="str">
        <f>HYPERLINK("http://service.sap.com/sap/support/notes/1474548","1474548")</f>
        <v>1474548</v>
      </c>
      <c r="F5168" t="s">
        <v>5096</v>
      </c>
    </row>
    <row r="5169" spans="1:6">
      <c r="A5169" t="s">
        <v>5347</v>
      </c>
      <c r="B5169" t="s">
        <v>204</v>
      </c>
      <c r="C5169" t="s">
        <v>205</v>
      </c>
      <c r="D5169" t="str">
        <f>HYPERLINK("http://service.sap.com/sap/support/notes/1498922","1498922")</f>
        <v>1498922</v>
      </c>
      <c r="F5169" t="s">
        <v>5097</v>
      </c>
    </row>
    <row r="5170" spans="1:6">
      <c r="A5170" t="s">
        <v>5347</v>
      </c>
      <c r="B5170" t="s">
        <v>204</v>
      </c>
      <c r="C5170" t="s">
        <v>205</v>
      </c>
      <c r="D5170" t="str">
        <f>HYPERLINK("http://service.sap.com/sap/support/notes/1507957","1507957")</f>
        <v>1507957</v>
      </c>
      <c r="F5170" t="s">
        <v>5098</v>
      </c>
    </row>
    <row r="5171" spans="1:6">
      <c r="A5171" t="s">
        <v>5347</v>
      </c>
      <c r="B5171" t="s">
        <v>207</v>
      </c>
      <c r="C5171" t="s">
        <v>208</v>
      </c>
      <c r="D5171" t="str">
        <f>HYPERLINK("http://service.sap.com/sap/support/notes/1437149","1437149")</f>
        <v>1437149</v>
      </c>
      <c r="F5171" t="s">
        <v>5099</v>
      </c>
    </row>
    <row r="5172" spans="1:6">
      <c r="A5172" t="s">
        <v>5347</v>
      </c>
      <c r="B5172" t="s">
        <v>207</v>
      </c>
      <c r="C5172" t="s">
        <v>208</v>
      </c>
      <c r="D5172" t="str">
        <f>HYPERLINK("http://service.sap.com/sap/support/notes/1495371","1495371")</f>
        <v>1495371</v>
      </c>
      <c r="F5172" t="s">
        <v>5100</v>
      </c>
    </row>
    <row r="5173" spans="1:6">
      <c r="A5173" t="s">
        <v>5347</v>
      </c>
      <c r="B5173" t="s">
        <v>207</v>
      </c>
      <c r="C5173" t="s">
        <v>208</v>
      </c>
      <c r="D5173" t="str">
        <f>HYPERLINK("http://service.sap.com/sap/support/notes/1498255","1498255")</f>
        <v>1498255</v>
      </c>
      <c r="F5173" t="s">
        <v>5101</v>
      </c>
    </row>
    <row r="5174" spans="1:6">
      <c r="A5174" t="s">
        <v>5347</v>
      </c>
      <c r="B5174" t="s">
        <v>207</v>
      </c>
      <c r="C5174" t="s">
        <v>208</v>
      </c>
      <c r="D5174" t="str">
        <f>HYPERLINK("http://service.sap.com/sap/support/notes/1502134","1502134")</f>
        <v>1502134</v>
      </c>
      <c r="F5174" t="s">
        <v>5102</v>
      </c>
    </row>
    <row r="5175" spans="1:6">
      <c r="A5175" t="s">
        <v>5347</v>
      </c>
      <c r="B5175" t="s">
        <v>211</v>
      </c>
      <c r="C5175" t="s">
        <v>212</v>
      </c>
      <c r="D5175" t="str">
        <f>HYPERLINK("http://service.sap.com/sap/support/notes/1460394","1460394")</f>
        <v>1460394</v>
      </c>
      <c r="F5175" t="s">
        <v>5103</v>
      </c>
    </row>
    <row r="5176" spans="1:6">
      <c r="A5176" t="s">
        <v>5347</v>
      </c>
      <c r="B5176" t="s">
        <v>211</v>
      </c>
      <c r="C5176" t="s">
        <v>212</v>
      </c>
      <c r="D5176" t="str">
        <f>HYPERLINK("http://service.sap.com/sap/support/notes/1484263","1484263")</f>
        <v>1484263</v>
      </c>
      <c r="F5176" t="s">
        <v>5104</v>
      </c>
    </row>
    <row r="5177" spans="1:6">
      <c r="A5177" t="s">
        <v>5347</v>
      </c>
      <c r="B5177" t="s">
        <v>211</v>
      </c>
      <c r="C5177" t="s">
        <v>212</v>
      </c>
      <c r="D5177" t="str">
        <f>HYPERLINK("http://service.sap.com/sap/support/notes/1497243","1497243")</f>
        <v>1497243</v>
      </c>
      <c r="F5177" t="s">
        <v>5105</v>
      </c>
    </row>
    <row r="5178" spans="1:6">
      <c r="A5178" t="s">
        <v>5347</v>
      </c>
      <c r="B5178" t="s">
        <v>218</v>
      </c>
      <c r="C5178" t="s">
        <v>219</v>
      </c>
      <c r="D5178" t="str">
        <f>HYPERLINK("http://service.sap.com/sap/support/notes/1278793","1278793")</f>
        <v>1278793</v>
      </c>
      <c r="F5178" t="s">
        <v>220</v>
      </c>
    </row>
    <row r="5179" spans="1:6">
      <c r="A5179" t="s">
        <v>5347</v>
      </c>
      <c r="B5179" t="s">
        <v>218</v>
      </c>
      <c r="C5179" t="s">
        <v>219</v>
      </c>
      <c r="D5179" t="str">
        <f>HYPERLINK("http://service.sap.com/sap/support/notes/1434814","1434814")</f>
        <v>1434814</v>
      </c>
      <c r="F5179" t="s">
        <v>2387</v>
      </c>
    </row>
    <row r="5180" spans="1:6">
      <c r="A5180" t="s">
        <v>5347</v>
      </c>
      <c r="B5180" t="s">
        <v>218</v>
      </c>
      <c r="C5180" t="s">
        <v>219</v>
      </c>
      <c r="D5180" t="str">
        <f>HYPERLINK("http://service.sap.com/sap/support/notes/1486960","1486960")</f>
        <v>1486960</v>
      </c>
      <c r="F5180" t="s">
        <v>5106</v>
      </c>
    </row>
    <row r="5181" spans="1:6">
      <c r="A5181" t="s">
        <v>5347</v>
      </c>
      <c r="B5181" t="s">
        <v>218</v>
      </c>
      <c r="C5181" t="s">
        <v>219</v>
      </c>
      <c r="D5181" t="str">
        <f>HYPERLINK("http://service.sap.com/sap/support/notes/1487665","1487665")</f>
        <v>1487665</v>
      </c>
      <c r="F5181" t="s">
        <v>4792</v>
      </c>
    </row>
    <row r="5182" spans="1:6">
      <c r="A5182" t="s">
        <v>5347</v>
      </c>
      <c r="B5182" t="s">
        <v>218</v>
      </c>
      <c r="C5182" t="s">
        <v>219</v>
      </c>
      <c r="D5182" t="str">
        <f>HYPERLINK("http://service.sap.com/sap/support/notes/1494057","1494057")</f>
        <v>1494057</v>
      </c>
      <c r="F5182" t="s">
        <v>5107</v>
      </c>
    </row>
    <row r="5183" spans="1:6">
      <c r="A5183" t="s">
        <v>5347</v>
      </c>
      <c r="B5183" t="s">
        <v>218</v>
      </c>
      <c r="C5183" t="s">
        <v>219</v>
      </c>
      <c r="D5183" t="str">
        <f>HYPERLINK("http://service.sap.com/sap/support/notes/1497005","1497005")</f>
        <v>1497005</v>
      </c>
      <c r="F5183" t="s">
        <v>5108</v>
      </c>
    </row>
    <row r="5184" spans="1:6">
      <c r="A5184" t="s">
        <v>5347</v>
      </c>
      <c r="B5184" t="s">
        <v>218</v>
      </c>
      <c r="C5184" t="s">
        <v>219</v>
      </c>
      <c r="D5184" t="str">
        <f>HYPERLINK("http://service.sap.com/sap/support/notes/1502800","1502800")</f>
        <v>1502800</v>
      </c>
      <c r="F5184" t="s">
        <v>5109</v>
      </c>
    </row>
    <row r="5185" spans="1:6">
      <c r="A5185" t="s">
        <v>5347</v>
      </c>
      <c r="B5185" t="s">
        <v>218</v>
      </c>
      <c r="C5185" t="s">
        <v>219</v>
      </c>
      <c r="D5185" t="str">
        <f>HYPERLINK("http://service.sap.com/sap/support/notes/1503253","1503253")</f>
        <v>1503253</v>
      </c>
      <c r="F5185" t="s">
        <v>5110</v>
      </c>
    </row>
    <row r="5186" spans="1:6">
      <c r="A5186" t="s">
        <v>5347</v>
      </c>
      <c r="B5186" t="s">
        <v>218</v>
      </c>
      <c r="C5186" t="s">
        <v>219</v>
      </c>
      <c r="D5186" t="str">
        <f>HYPERLINK("http://service.sap.com/sap/support/notes/1503564","1503564")</f>
        <v>1503564</v>
      </c>
      <c r="F5186" t="s">
        <v>5111</v>
      </c>
    </row>
    <row r="5187" spans="1:6">
      <c r="A5187" t="s">
        <v>5347</v>
      </c>
      <c r="B5187" t="s">
        <v>218</v>
      </c>
      <c r="C5187" t="s">
        <v>219</v>
      </c>
      <c r="D5187" t="str">
        <f>HYPERLINK("http://service.sap.com/sap/support/notes/1503566","1503566")</f>
        <v>1503566</v>
      </c>
      <c r="F5187" t="s">
        <v>5112</v>
      </c>
    </row>
    <row r="5188" spans="1:6">
      <c r="A5188" t="s">
        <v>5347</v>
      </c>
      <c r="B5188" t="s">
        <v>218</v>
      </c>
      <c r="C5188" t="s">
        <v>219</v>
      </c>
      <c r="D5188" t="str">
        <f>HYPERLINK("http://service.sap.com/sap/support/notes/1504176","1504176")</f>
        <v>1504176</v>
      </c>
      <c r="F5188" t="s">
        <v>5113</v>
      </c>
    </row>
    <row r="5189" spans="1:6">
      <c r="A5189" t="s">
        <v>5347</v>
      </c>
      <c r="B5189" t="s">
        <v>218</v>
      </c>
      <c r="C5189" t="s">
        <v>219</v>
      </c>
      <c r="D5189" t="str">
        <f>HYPERLINK("http://service.sap.com/sap/support/notes/1504478","1504478")</f>
        <v>1504478</v>
      </c>
      <c r="F5189" t="s">
        <v>5114</v>
      </c>
    </row>
    <row r="5190" spans="1:6">
      <c r="A5190" t="s">
        <v>5347</v>
      </c>
      <c r="B5190" t="s">
        <v>218</v>
      </c>
      <c r="C5190" t="s">
        <v>219</v>
      </c>
      <c r="D5190" t="str">
        <f>HYPERLINK("http://service.sap.com/sap/support/notes/1504706","1504706")</f>
        <v>1504706</v>
      </c>
      <c r="F5190" t="s">
        <v>5115</v>
      </c>
    </row>
    <row r="5191" spans="1:6">
      <c r="A5191" t="s">
        <v>5347</v>
      </c>
      <c r="B5191" t="s">
        <v>225</v>
      </c>
      <c r="C5191" t="s">
        <v>66</v>
      </c>
      <c r="D5191" t="str">
        <f>HYPERLINK("http://service.sap.com/sap/support/notes/1459905","1459905")</f>
        <v>1459905</v>
      </c>
      <c r="F5191" t="s">
        <v>5116</v>
      </c>
    </row>
    <row r="5192" spans="1:6">
      <c r="A5192" t="s">
        <v>5347</v>
      </c>
      <c r="B5192" t="s">
        <v>225</v>
      </c>
      <c r="C5192" t="s">
        <v>66</v>
      </c>
      <c r="D5192" t="str">
        <f>HYPERLINK("http://service.sap.com/sap/support/notes/1491124","1491124")</f>
        <v>1491124</v>
      </c>
      <c r="F5192" t="s">
        <v>4798</v>
      </c>
    </row>
    <row r="5193" spans="1:6">
      <c r="A5193" t="s">
        <v>5347</v>
      </c>
      <c r="B5193" t="s">
        <v>225</v>
      </c>
      <c r="C5193" t="s">
        <v>66</v>
      </c>
      <c r="D5193" t="str">
        <f>HYPERLINK("http://service.sap.com/sap/support/notes/1502921","1502921")</f>
        <v>1502921</v>
      </c>
      <c r="F5193" t="s">
        <v>5117</v>
      </c>
    </row>
    <row r="5194" spans="1:6">
      <c r="A5194" t="s">
        <v>5347</v>
      </c>
      <c r="B5194" t="s">
        <v>225</v>
      </c>
      <c r="C5194" t="s">
        <v>66</v>
      </c>
      <c r="D5194" t="str">
        <f>HYPERLINK("http://service.sap.com/sap/support/notes/1503354","1503354")</f>
        <v>1503354</v>
      </c>
      <c r="F5194" t="s">
        <v>5118</v>
      </c>
    </row>
    <row r="5195" spans="1:6">
      <c r="A5195" t="s">
        <v>5347</v>
      </c>
      <c r="B5195" t="s">
        <v>225</v>
      </c>
      <c r="C5195" t="s">
        <v>66</v>
      </c>
      <c r="D5195" t="str">
        <f>HYPERLINK("http://service.sap.com/sap/support/notes/1503355","1503355")</f>
        <v>1503355</v>
      </c>
      <c r="F5195" t="s">
        <v>5119</v>
      </c>
    </row>
    <row r="5196" spans="1:6">
      <c r="A5196" t="s">
        <v>5347</v>
      </c>
      <c r="B5196" t="s">
        <v>225</v>
      </c>
      <c r="C5196" t="s">
        <v>66</v>
      </c>
      <c r="D5196" t="str">
        <f>HYPERLINK("http://service.sap.com/sap/support/notes/1503485","1503485")</f>
        <v>1503485</v>
      </c>
      <c r="F5196" t="s">
        <v>5120</v>
      </c>
    </row>
    <row r="5197" spans="1:6">
      <c r="A5197" t="s">
        <v>5347</v>
      </c>
      <c r="B5197" t="s">
        <v>228</v>
      </c>
      <c r="C5197" t="s">
        <v>69</v>
      </c>
      <c r="D5197" t="str">
        <f>HYPERLINK("http://service.sap.com/sap/support/notes/1484882","1484882")</f>
        <v>1484882</v>
      </c>
      <c r="F5197" t="s">
        <v>4399</v>
      </c>
    </row>
    <row r="5198" spans="1:6">
      <c r="A5198" t="s">
        <v>5347</v>
      </c>
      <c r="B5198" t="s">
        <v>1024</v>
      </c>
      <c r="C5198" t="s">
        <v>1458</v>
      </c>
      <c r="D5198" t="str">
        <f>HYPERLINK("http://service.sap.com/sap/support/notes/1499213","1499213")</f>
        <v>1499213</v>
      </c>
      <c r="F5198" t="s">
        <v>5121</v>
      </c>
    </row>
    <row r="5199" spans="1:6">
      <c r="A5199" t="s">
        <v>5347</v>
      </c>
      <c r="B5199" t="s">
        <v>1024</v>
      </c>
      <c r="C5199" t="s">
        <v>1458</v>
      </c>
      <c r="D5199" t="str">
        <f>HYPERLINK("http://service.sap.com/sap/support/notes/1501234","1501234")</f>
        <v>1501234</v>
      </c>
      <c r="F5199" t="s">
        <v>2040</v>
      </c>
    </row>
    <row r="5200" spans="1:6">
      <c r="A5200" t="s">
        <v>5347</v>
      </c>
      <c r="B5200" t="s">
        <v>1024</v>
      </c>
      <c r="C5200" t="s">
        <v>1458</v>
      </c>
      <c r="D5200" t="str">
        <f>HYPERLINK("http://service.sap.com/sap/support/notes/1502982","1502982")</f>
        <v>1502982</v>
      </c>
      <c r="F5200" t="s">
        <v>5122</v>
      </c>
    </row>
    <row r="5201" spans="1:6">
      <c r="A5201" t="s">
        <v>5347</v>
      </c>
      <c r="B5201" t="s">
        <v>1024</v>
      </c>
      <c r="C5201" t="s">
        <v>1458</v>
      </c>
      <c r="D5201" t="str">
        <f>HYPERLINK("http://service.sap.com/sap/support/notes/1504599","1504599")</f>
        <v>1504599</v>
      </c>
      <c r="F5201" t="s">
        <v>5123</v>
      </c>
    </row>
    <row r="5202" spans="1:6">
      <c r="A5202" t="s">
        <v>5347</v>
      </c>
      <c r="B5202" t="s">
        <v>1024</v>
      </c>
      <c r="C5202" t="s">
        <v>1458</v>
      </c>
      <c r="D5202" t="str">
        <f>HYPERLINK("http://service.sap.com/sap/support/notes/1504809","1504809")</f>
        <v>1504809</v>
      </c>
      <c r="F5202" t="s">
        <v>5124</v>
      </c>
    </row>
    <row r="5203" spans="1:6">
      <c r="A5203" t="s">
        <v>5347</v>
      </c>
      <c r="B5203" t="s">
        <v>1024</v>
      </c>
      <c r="C5203" t="s">
        <v>1458</v>
      </c>
      <c r="D5203" t="str">
        <f>HYPERLINK("http://service.sap.com/sap/support/notes/1506347","1506347")</f>
        <v>1506347</v>
      </c>
      <c r="F5203" t="s">
        <v>5125</v>
      </c>
    </row>
    <row r="5204" spans="1:6">
      <c r="A5204" t="s">
        <v>5347</v>
      </c>
      <c r="B5204" t="s">
        <v>1024</v>
      </c>
      <c r="C5204" t="s">
        <v>1458</v>
      </c>
      <c r="D5204" t="str">
        <f>HYPERLINK("http://service.sap.com/sap/support/notes/1509006","1509006")</f>
        <v>1509006</v>
      </c>
      <c r="F5204" t="s">
        <v>5126</v>
      </c>
    </row>
    <row r="5205" spans="1:6">
      <c r="A5205" t="s">
        <v>5347</v>
      </c>
      <c r="B5205" t="s">
        <v>1024</v>
      </c>
      <c r="C5205" t="s">
        <v>1458</v>
      </c>
      <c r="D5205" t="str">
        <f>HYPERLINK("http://service.sap.com/sap/support/notes/1509651","1509651")</f>
        <v>1509651</v>
      </c>
      <c r="F5205" t="s">
        <v>5127</v>
      </c>
    </row>
    <row r="5206" spans="1:6">
      <c r="A5206" t="s">
        <v>5347</v>
      </c>
      <c r="B5206" t="s">
        <v>233</v>
      </c>
      <c r="C5206" t="s">
        <v>234</v>
      </c>
    </row>
    <row r="5207" spans="1:6">
      <c r="A5207" t="s">
        <v>5347</v>
      </c>
      <c r="B5207" t="s">
        <v>235</v>
      </c>
      <c r="C5207" t="s">
        <v>236</v>
      </c>
      <c r="D5207" t="str">
        <f>HYPERLINK("http://service.sap.com/sap/support/notes/1473593","1473593")</f>
        <v>1473593</v>
      </c>
      <c r="F5207" t="s">
        <v>5128</v>
      </c>
    </row>
    <row r="5208" spans="1:6">
      <c r="A5208" t="s">
        <v>5347</v>
      </c>
      <c r="B5208" t="s">
        <v>235</v>
      </c>
      <c r="C5208" t="s">
        <v>236</v>
      </c>
      <c r="D5208" t="str">
        <f>HYPERLINK("http://service.sap.com/sap/support/notes/1499543","1499543")</f>
        <v>1499543</v>
      </c>
      <c r="F5208" t="s">
        <v>5129</v>
      </c>
    </row>
    <row r="5209" spans="1:6">
      <c r="A5209" t="s">
        <v>5347</v>
      </c>
      <c r="B5209" t="s">
        <v>235</v>
      </c>
      <c r="C5209" t="s">
        <v>236</v>
      </c>
      <c r="D5209" t="str">
        <f>HYPERLINK("http://service.sap.com/sap/support/notes/1511414","1511414")</f>
        <v>1511414</v>
      </c>
      <c r="F5209" t="s">
        <v>5130</v>
      </c>
    </row>
    <row r="5210" spans="1:6">
      <c r="A5210" t="s">
        <v>5347</v>
      </c>
      <c r="B5210" t="s">
        <v>1460</v>
      </c>
      <c r="C5210" t="s">
        <v>1461</v>
      </c>
      <c r="D5210" t="str">
        <f>HYPERLINK("http://service.sap.com/sap/support/notes/1482267","1482267")</f>
        <v>1482267</v>
      </c>
      <c r="F5210" t="s">
        <v>4412</v>
      </c>
    </row>
    <row r="5211" spans="1:6">
      <c r="A5211" t="s">
        <v>5347</v>
      </c>
      <c r="B5211" t="s">
        <v>1460</v>
      </c>
      <c r="C5211" t="s">
        <v>1461</v>
      </c>
      <c r="D5211" t="str">
        <f>HYPERLINK("http://service.sap.com/sap/support/notes/1500732","1500732")</f>
        <v>1500732</v>
      </c>
      <c r="F5211" t="s">
        <v>5131</v>
      </c>
    </row>
    <row r="5212" spans="1:6">
      <c r="A5212" t="s">
        <v>5347</v>
      </c>
      <c r="B5212" t="s">
        <v>1460</v>
      </c>
      <c r="C5212" t="s">
        <v>1461</v>
      </c>
      <c r="D5212" t="str">
        <f>HYPERLINK("http://service.sap.com/sap/support/notes/1500870","1500870")</f>
        <v>1500870</v>
      </c>
      <c r="F5212" t="s">
        <v>5132</v>
      </c>
    </row>
    <row r="5213" spans="1:6">
      <c r="A5213" t="s">
        <v>5347</v>
      </c>
      <c r="B5213" t="s">
        <v>1460</v>
      </c>
      <c r="C5213" t="s">
        <v>1461</v>
      </c>
      <c r="D5213" t="str">
        <f>HYPERLINK("http://service.sap.com/sap/support/notes/1501657","1501657")</f>
        <v>1501657</v>
      </c>
      <c r="F5213" t="s">
        <v>5133</v>
      </c>
    </row>
    <row r="5214" spans="1:6">
      <c r="A5214" t="s">
        <v>5347</v>
      </c>
      <c r="B5214" t="s">
        <v>1460</v>
      </c>
      <c r="C5214" t="s">
        <v>1461</v>
      </c>
      <c r="D5214" t="str">
        <f>HYPERLINK("http://service.sap.com/sap/support/notes/1501884","1501884")</f>
        <v>1501884</v>
      </c>
      <c r="F5214" t="s">
        <v>5134</v>
      </c>
    </row>
    <row r="5215" spans="1:6">
      <c r="A5215" t="s">
        <v>5347</v>
      </c>
      <c r="B5215" t="s">
        <v>1460</v>
      </c>
      <c r="C5215" t="s">
        <v>1461</v>
      </c>
      <c r="D5215" t="str">
        <f>HYPERLINK("http://service.sap.com/sap/support/notes/1503119","1503119")</f>
        <v>1503119</v>
      </c>
      <c r="F5215" t="s">
        <v>5135</v>
      </c>
    </row>
    <row r="5216" spans="1:6">
      <c r="A5216" t="s">
        <v>5347</v>
      </c>
      <c r="B5216" t="s">
        <v>1460</v>
      </c>
      <c r="C5216" t="s">
        <v>1461</v>
      </c>
      <c r="D5216" t="str">
        <f>HYPERLINK("http://service.sap.com/sap/support/notes/1503694","1503694")</f>
        <v>1503694</v>
      </c>
      <c r="F5216" t="s">
        <v>5136</v>
      </c>
    </row>
    <row r="5217" spans="1:6">
      <c r="A5217" t="s">
        <v>5347</v>
      </c>
      <c r="B5217" t="s">
        <v>1460</v>
      </c>
      <c r="C5217" t="s">
        <v>1461</v>
      </c>
      <c r="D5217" t="str">
        <f>HYPERLINK("http://service.sap.com/sap/support/notes/1505348","1505348")</f>
        <v>1505348</v>
      </c>
      <c r="F5217" t="s">
        <v>5137</v>
      </c>
    </row>
    <row r="5218" spans="1:6">
      <c r="A5218" t="s">
        <v>5347</v>
      </c>
      <c r="B5218" t="s">
        <v>1460</v>
      </c>
      <c r="C5218" t="s">
        <v>1461</v>
      </c>
      <c r="D5218" t="str">
        <f>HYPERLINK("http://service.sap.com/sap/support/notes/1506286","1506286")</f>
        <v>1506286</v>
      </c>
      <c r="F5218" t="s">
        <v>5138</v>
      </c>
    </row>
    <row r="5219" spans="1:6">
      <c r="A5219" t="s">
        <v>5347</v>
      </c>
      <c r="B5219" t="s">
        <v>1460</v>
      </c>
      <c r="C5219" t="s">
        <v>1461</v>
      </c>
      <c r="D5219" t="str">
        <f>HYPERLINK("http://service.sap.com/sap/support/notes/1506874","1506874")</f>
        <v>1506874</v>
      </c>
      <c r="F5219" t="s">
        <v>5139</v>
      </c>
    </row>
    <row r="5220" spans="1:6">
      <c r="A5220" t="s">
        <v>5347</v>
      </c>
      <c r="B5220" t="s">
        <v>1460</v>
      </c>
      <c r="C5220" t="s">
        <v>1461</v>
      </c>
      <c r="D5220" t="str">
        <f>HYPERLINK("http://service.sap.com/sap/support/notes/1507538","1507538")</f>
        <v>1507538</v>
      </c>
      <c r="F5220" t="s">
        <v>5140</v>
      </c>
    </row>
    <row r="5221" spans="1:6">
      <c r="A5221" t="s">
        <v>5347</v>
      </c>
      <c r="B5221" t="s">
        <v>1460</v>
      </c>
      <c r="C5221" t="s">
        <v>1461</v>
      </c>
      <c r="D5221" t="str">
        <f>HYPERLINK("http://service.sap.com/sap/support/notes/1508020","1508020")</f>
        <v>1508020</v>
      </c>
      <c r="F5221" t="s">
        <v>5141</v>
      </c>
    </row>
    <row r="5222" spans="1:6">
      <c r="A5222" t="s">
        <v>5347</v>
      </c>
      <c r="B5222" t="s">
        <v>1460</v>
      </c>
      <c r="C5222" t="s">
        <v>1461</v>
      </c>
      <c r="D5222" t="str">
        <f>HYPERLINK("http://service.sap.com/sap/support/notes/1508071","1508071")</f>
        <v>1508071</v>
      </c>
      <c r="F5222" t="s">
        <v>5142</v>
      </c>
    </row>
    <row r="5223" spans="1:6">
      <c r="A5223" t="s">
        <v>5347</v>
      </c>
      <c r="B5223" t="s">
        <v>1460</v>
      </c>
      <c r="C5223" t="s">
        <v>1461</v>
      </c>
      <c r="D5223" t="str">
        <f>HYPERLINK("http://service.sap.com/sap/support/notes/1509806","1509806")</f>
        <v>1509806</v>
      </c>
      <c r="F5223" t="s">
        <v>5143</v>
      </c>
    </row>
    <row r="5224" spans="1:6">
      <c r="A5224" t="s">
        <v>5347</v>
      </c>
      <c r="B5224" t="s">
        <v>1460</v>
      </c>
      <c r="C5224" t="s">
        <v>1461</v>
      </c>
      <c r="D5224" t="str">
        <f>HYPERLINK("http://service.sap.com/sap/support/notes/1510148","1510148")</f>
        <v>1510148</v>
      </c>
      <c r="F5224" t="s">
        <v>5144</v>
      </c>
    </row>
    <row r="5225" spans="1:6">
      <c r="A5225" t="s">
        <v>5347</v>
      </c>
      <c r="B5225" t="s">
        <v>1460</v>
      </c>
      <c r="C5225" t="s">
        <v>1461</v>
      </c>
      <c r="D5225" t="str">
        <f>HYPERLINK("http://service.sap.com/sap/support/notes/1510392","1510392")</f>
        <v>1510392</v>
      </c>
      <c r="F5225" t="s">
        <v>5145</v>
      </c>
    </row>
    <row r="5226" spans="1:6">
      <c r="A5226" t="s">
        <v>5347</v>
      </c>
      <c r="B5226" t="s">
        <v>1460</v>
      </c>
      <c r="C5226" t="s">
        <v>1461</v>
      </c>
      <c r="D5226" t="str">
        <f>HYPERLINK("http://service.sap.com/sap/support/notes/1510764","1510764")</f>
        <v>1510764</v>
      </c>
      <c r="F5226" t="s">
        <v>5146</v>
      </c>
    </row>
    <row r="5227" spans="1:6">
      <c r="A5227" t="s">
        <v>5347</v>
      </c>
      <c r="B5227" t="s">
        <v>1460</v>
      </c>
      <c r="C5227" t="s">
        <v>1461</v>
      </c>
      <c r="D5227" t="str">
        <f>HYPERLINK("http://service.sap.com/sap/support/notes/1511301","1511301")</f>
        <v>1511301</v>
      </c>
      <c r="F5227" t="s">
        <v>5147</v>
      </c>
    </row>
    <row r="5228" spans="1:6">
      <c r="A5228" t="s">
        <v>5347</v>
      </c>
      <c r="B5228" t="s">
        <v>1044</v>
      </c>
      <c r="C5228" t="s">
        <v>1645</v>
      </c>
      <c r="D5228" t="str">
        <f>HYPERLINK("http://service.sap.com/sap/support/notes/1511361","1511361")</f>
        <v>1511361</v>
      </c>
      <c r="F5228" t="s">
        <v>5148</v>
      </c>
    </row>
    <row r="5229" spans="1:6">
      <c r="A5229" t="s">
        <v>5347</v>
      </c>
      <c r="B5229" t="s">
        <v>238</v>
      </c>
      <c r="C5229" t="s">
        <v>239</v>
      </c>
    </row>
    <row r="5230" spans="1:6">
      <c r="A5230" t="s">
        <v>5347</v>
      </c>
      <c r="B5230" t="s">
        <v>240</v>
      </c>
      <c r="C5230" t="s">
        <v>241</v>
      </c>
      <c r="D5230" t="str">
        <f>HYPERLINK("http://service.sap.com/sap/support/notes/1502247","1502247")</f>
        <v>1502247</v>
      </c>
      <c r="F5230" t="s">
        <v>5149</v>
      </c>
    </row>
    <row r="5231" spans="1:6">
      <c r="A5231" t="s">
        <v>5347</v>
      </c>
      <c r="B5231" t="s">
        <v>244</v>
      </c>
      <c r="C5231" t="s">
        <v>245</v>
      </c>
      <c r="D5231" t="str">
        <f>HYPERLINK("http://service.sap.com/sap/support/notes/1492078","1492078")</f>
        <v>1492078</v>
      </c>
      <c r="F5231" t="s">
        <v>5150</v>
      </c>
    </row>
    <row r="5232" spans="1:6">
      <c r="A5232" t="s">
        <v>5347</v>
      </c>
      <c r="B5232" t="s">
        <v>244</v>
      </c>
      <c r="C5232" t="s">
        <v>245</v>
      </c>
      <c r="D5232" t="str">
        <f>HYPERLINK("http://service.sap.com/sap/support/notes/1500964","1500964")</f>
        <v>1500964</v>
      </c>
      <c r="F5232" t="s">
        <v>5151</v>
      </c>
    </row>
    <row r="5233" spans="1:6">
      <c r="A5233" t="s">
        <v>5347</v>
      </c>
      <c r="B5233" t="s">
        <v>244</v>
      </c>
      <c r="C5233" t="s">
        <v>245</v>
      </c>
      <c r="D5233" t="str">
        <f>HYPERLINK("http://service.sap.com/sap/support/notes/1506934","1506934")</f>
        <v>1506934</v>
      </c>
      <c r="F5233" t="s">
        <v>5152</v>
      </c>
    </row>
    <row r="5234" spans="1:6">
      <c r="A5234" t="s">
        <v>5347</v>
      </c>
      <c r="B5234" t="s">
        <v>244</v>
      </c>
      <c r="C5234" t="s">
        <v>245</v>
      </c>
      <c r="D5234" t="str">
        <f>HYPERLINK("http://service.sap.com/sap/support/notes/1507625","1507625")</f>
        <v>1507625</v>
      </c>
      <c r="F5234" t="s">
        <v>5153</v>
      </c>
    </row>
    <row r="5235" spans="1:6">
      <c r="A5235" t="s">
        <v>5347</v>
      </c>
      <c r="B5235" t="s">
        <v>244</v>
      </c>
      <c r="C5235" t="s">
        <v>245</v>
      </c>
      <c r="D5235" t="str">
        <f>HYPERLINK("http://service.sap.com/sap/support/notes/1509404","1509404")</f>
        <v>1509404</v>
      </c>
      <c r="F5235" t="s">
        <v>5154</v>
      </c>
    </row>
    <row r="5236" spans="1:6">
      <c r="A5236" t="s">
        <v>5347</v>
      </c>
      <c r="B5236" t="s">
        <v>249</v>
      </c>
      <c r="C5236" t="s">
        <v>250</v>
      </c>
      <c r="D5236" t="str">
        <f>HYPERLINK("http://service.sap.com/sap/support/notes/1506065","1506065")</f>
        <v>1506065</v>
      </c>
      <c r="F5236" t="s">
        <v>5155</v>
      </c>
    </row>
    <row r="5237" spans="1:6">
      <c r="A5237" t="s">
        <v>5347</v>
      </c>
      <c r="B5237" t="s">
        <v>1058</v>
      </c>
      <c r="C5237" t="s">
        <v>1655</v>
      </c>
      <c r="D5237" t="str">
        <f>HYPERLINK("http://service.sap.com/sap/support/notes/1496588","1496588")</f>
        <v>1496588</v>
      </c>
      <c r="F5237" t="s">
        <v>5156</v>
      </c>
    </row>
    <row r="5238" spans="1:6">
      <c r="A5238" t="s">
        <v>5347</v>
      </c>
      <c r="B5238" t="s">
        <v>254</v>
      </c>
      <c r="C5238" t="s">
        <v>255</v>
      </c>
      <c r="D5238" t="str">
        <f>HYPERLINK("http://service.sap.com/sap/support/notes/1476279","1476279")</f>
        <v>1476279</v>
      </c>
      <c r="F5238" t="s">
        <v>5157</v>
      </c>
    </row>
    <row r="5239" spans="1:6">
      <c r="A5239" t="s">
        <v>5347</v>
      </c>
      <c r="B5239" t="s">
        <v>254</v>
      </c>
      <c r="C5239" t="s">
        <v>255</v>
      </c>
      <c r="D5239" t="str">
        <f>HYPERLINK("http://service.sap.com/sap/support/notes/1500893","1500893")</f>
        <v>1500893</v>
      </c>
      <c r="F5239" t="s">
        <v>5158</v>
      </c>
    </row>
    <row r="5240" spans="1:6">
      <c r="A5240" t="s">
        <v>5347</v>
      </c>
      <c r="B5240" t="s">
        <v>254</v>
      </c>
      <c r="C5240" t="s">
        <v>255</v>
      </c>
      <c r="D5240" t="str">
        <f>HYPERLINK("http://service.sap.com/sap/support/notes/1501694","1501694")</f>
        <v>1501694</v>
      </c>
      <c r="F5240" t="s">
        <v>5159</v>
      </c>
    </row>
    <row r="5241" spans="1:6">
      <c r="A5241" t="s">
        <v>5347</v>
      </c>
      <c r="B5241" t="s">
        <v>254</v>
      </c>
      <c r="C5241" t="s">
        <v>255</v>
      </c>
      <c r="D5241" t="str">
        <f>HYPERLINK("http://service.sap.com/sap/support/notes/1505530","1505530")</f>
        <v>1505530</v>
      </c>
      <c r="F5241" t="s">
        <v>5160</v>
      </c>
    </row>
    <row r="5242" spans="1:6">
      <c r="A5242" t="s">
        <v>5347</v>
      </c>
      <c r="B5242" t="s">
        <v>254</v>
      </c>
      <c r="C5242" t="s">
        <v>255</v>
      </c>
      <c r="D5242" t="str">
        <f>HYPERLINK("http://service.sap.com/sap/support/notes/1506949","1506949")</f>
        <v>1506949</v>
      </c>
      <c r="F5242" t="s">
        <v>5161</v>
      </c>
    </row>
    <row r="5243" spans="1:6">
      <c r="A5243" t="s">
        <v>5347</v>
      </c>
      <c r="B5243" t="s">
        <v>254</v>
      </c>
      <c r="C5243" t="s">
        <v>255</v>
      </c>
      <c r="D5243" t="str">
        <f>HYPERLINK("http://service.sap.com/sap/support/notes/1510321","1510321")</f>
        <v>1510321</v>
      </c>
      <c r="F5243" t="s">
        <v>5162</v>
      </c>
    </row>
    <row r="5244" spans="1:6">
      <c r="A5244" t="s">
        <v>5347</v>
      </c>
      <c r="B5244" t="s">
        <v>254</v>
      </c>
      <c r="C5244" t="s">
        <v>255</v>
      </c>
      <c r="D5244" t="str">
        <f>HYPERLINK("http://service.sap.com/sap/support/notes/1511112","1511112")</f>
        <v>1511112</v>
      </c>
      <c r="F5244" t="s">
        <v>5163</v>
      </c>
    </row>
    <row r="5245" spans="1:6">
      <c r="A5245" t="s">
        <v>5347</v>
      </c>
      <c r="B5245" t="s">
        <v>258</v>
      </c>
      <c r="C5245" t="s">
        <v>189</v>
      </c>
      <c r="D5245" t="str">
        <f>HYPERLINK("http://service.sap.com/sap/support/notes/1504355","1504355")</f>
        <v>1504355</v>
      </c>
      <c r="F5245" t="s">
        <v>5164</v>
      </c>
    </row>
    <row r="5246" spans="1:6">
      <c r="A5246" t="s">
        <v>5347</v>
      </c>
      <c r="B5246" t="s">
        <v>258</v>
      </c>
      <c r="C5246" t="s">
        <v>189</v>
      </c>
      <c r="D5246" t="str">
        <f>HYPERLINK("http://service.sap.com/sap/support/notes/1505788","1505788")</f>
        <v>1505788</v>
      </c>
      <c r="F5246" t="s">
        <v>5165</v>
      </c>
    </row>
    <row r="5247" spans="1:6">
      <c r="A5247" t="s">
        <v>5347</v>
      </c>
      <c r="B5247" t="s">
        <v>258</v>
      </c>
      <c r="C5247" t="s">
        <v>189</v>
      </c>
      <c r="D5247" t="str">
        <f>HYPERLINK("http://service.sap.com/sap/support/notes/1505979","1505979")</f>
        <v>1505979</v>
      </c>
      <c r="F5247" t="s">
        <v>5166</v>
      </c>
    </row>
    <row r="5248" spans="1:6">
      <c r="A5248" t="s">
        <v>5347</v>
      </c>
      <c r="B5248" t="s">
        <v>258</v>
      </c>
      <c r="C5248" t="s">
        <v>189</v>
      </c>
      <c r="D5248" t="str">
        <f>HYPERLINK("http://service.sap.com/sap/support/notes/1506064","1506064")</f>
        <v>1506064</v>
      </c>
      <c r="F5248" t="s">
        <v>5167</v>
      </c>
    </row>
    <row r="5249" spans="1:6">
      <c r="A5249" t="s">
        <v>5347</v>
      </c>
      <c r="B5249" t="s">
        <v>258</v>
      </c>
      <c r="C5249" t="s">
        <v>189</v>
      </c>
      <c r="D5249" t="str">
        <f>HYPERLINK("http://service.sap.com/sap/support/notes/1506412","1506412")</f>
        <v>1506412</v>
      </c>
      <c r="F5249" t="s">
        <v>5168</v>
      </c>
    </row>
    <row r="5250" spans="1:6">
      <c r="A5250" t="s">
        <v>5347</v>
      </c>
      <c r="B5250" t="s">
        <v>258</v>
      </c>
      <c r="C5250" t="s">
        <v>189</v>
      </c>
      <c r="D5250" t="str">
        <f>HYPERLINK("http://service.sap.com/sap/support/notes/1506632","1506632")</f>
        <v>1506632</v>
      </c>
      <c r="F5250" t="s">
        <v>5169</v>
      </c>
    </row>
    <row r="5251" spans="1:6">
      <c r="A5251" t="s">
        <v>5347</v>
      </c>
      <c r="B5251" t="s">
        <v>258</v>
      </c>
      <c r="C5251" t="s">
        <v>189</v>
      </c>
      <c r="D5251" t="str">
        <f>HYPERLINK("http://service.sap.com/sap/support/notes/1509668","1509668")</f>
        <v>1509668</v>
      </c>
      <c r="F5251" t="s">
        <v>5170</v>
      </c>
    </row>
    <row r="5252" spans="1:6">
      <c r="A5252" t="s">
        <v>5347</v>
      </c>
      <c r="B5252" t="s">
        <v>258</v>
      </c>
      <c r="C5252" t="s">
        <v>189</v>
      </c>
      <c r="D5252" t="str">
        <f>HYPERLINK("http://service.sap.com/sap/support/notes/1511356","1511356")</f>
        <v>1511356</v>
      </c>
      <c r="F5252" t="s">
        <v>5171</v>
      </c>
    </row>
    <row r="5253" spans="1:6">
      <c r="A5253" t="s">
        <v>5347</v>
      </c>
      <c r="B5253" t="s">
        <v>279</v>
      </c>
      <c r="C5253" t="s">
        <v>280</v>
      </c>
      <c r="D5253" t="str">
        <f>HYPERLINK("http://service.sap.com/sap/support/notes/1499726","1499726")</f>
        <v>1499726</v>
      </c>
      <c r="F5253" t="s">
        <v>5172</v>
      </c>
    </row>
    <row r="5254" spans="1:6">
      <c r="A5254" t="s">
        <v>5347</v>
      </c>
      <c r="B5254" t="s">
        <v>279</v>
      </c>
      <c r="C5254" t="s">
        <v>280</v>
      </c>
      <c r="D5254" t="str">
        <f>HYPERLINK("http://service.sap.com/sap/support/notes/1501208","1501208")</f>
        <v>1501208</v>
      </c>
      <c r="F5254" t="s">
        <v>5173</v>
      </c>
    </row>
    <row r="5255" spans="1:6">
      <c r="A5255" t="s">
        <v>5347</v>
      </c>
      <c r="B5255" t="s">
        <v>279</v>
      </c>
      <c r="C5255" t="s">
        <v>280</v>
      </c>
      <c r="D5255" t="str">
        <f>HYPERLINK("http://service.sap.com/sap/support/notes/1501394","1501394")</f>
        <v>1501394</v>
      </c>
      <c r="F5255" t="s">
        <v>5174</v>
      </c>
    </row>
    <row r="5256" spans="1:6">
      <c r="A5256" t="s">
        <v>5347</v>
      </c>
      <c r="B5256" t="s">
        <v>279</v>
      </c>
      <c r="C5256" t="s">
        <v>280</v>
      </c>
      <c r="D5256" t="str">
        <f>HYPERLINK("http://service.sap.com/sap/support/notes/1502067","1502067")</f>
        <v>1502067</v>
      </c>
      <c r="F5256" t="s">
        <v>5175</v>
      </c>
    </row>
    <row r="5257" spans="1:6">
      <c r="A5257" t="s">
        <v>5347</v>
      </c>
      <c r="B5257" t="s">
        <v>279</v>
      </c>
      <c r="C5257" t="s">
        <v>280</v>
      </c>
      <c r="D5257" t="str">
        <f>HYPERLINK("http://service.sap.com/sap/support/notes/1509027","1509027")</f>
        <v>1509027</v>
      </c>
      <c r="F5257" t="s">
        <v>5176</v>
      </c>
    </row>
    <row r="5258" spans="1:6">
      <c r="A5258" t="s">
        <v>5347</v>
      </c>
      <c r="B5258" t="s">
        <v>279</v>
      </c>
      <c r="C5258" t="s">
        <v>280</v>
      </c>
      <c r="D5258" t="str">
        <f>HYPERLINK("http://service.sap.com/sap/support/notes/1511165","1511165")</f>
        <v>1511165</v>
      </c>
      <c r="F5258" t="s">
        <v>5177</v>
      </c>
    </row>
    <row r="5259" spans="1:6">
      <c r="A5259" t="s">
        <v>5347</v>
      </c>
      <c r="B5259" t="s">
        <v>292</v>
      </c>
      <c r="C5259" t="s">
        <v>293</v>
      </c>
      <c r="D5259" t="str">
        <f>HYPERLINK("http://service.sap.com/sap/support/notes/1494387","1494387")</f>
        <v>1494387</v>
      </c>
      <c r="F5259" t="s">
        <v>5178</v>
      </c>
    </row>
    <row r="5260" spans="1:6">
      <c r="A5260" t="s">
        <v>5347</v>
      </c>
      <c r="B5260" t="s">
        <v>292</v>
      </c>
      <c r="C5260" t="s">
        <v>293</v>
      </c>
      <c r="D5260" t="str">
        <f>HYPERLINK("http://service.sap.com/sap/support/notes/1496101","1496101")</f>
        <v>1496101</v>
      </c>
      <c r="F5260" t="s">
        <v>5179</v>
      </c>
    </row>
    <row r="5261" spans="1:6">
      <c r="A5261" t="s">
        <v>5347</v>
      </c>
      <c r="B5261" t="s">
        <v>292</v>
      </c>
      <c r="C5261" t="s">
        <v>293</v>
      </c>
      <c r="D5261" t="str">
        <f>HYPERLINK("http://service.sap.com/sap/support/notes/1505999","1505999")</f>
        <v>1505999</v>
      </c>
      <c r="F5261" t="s">
        <v>5180</v>
      </c>
    </row>
    <row r="5262" spans="1:6">
      <c r="A5262" t="s">
        <v>5347</v>
      </c>
      <c r="B5262" t="s">
        <v>292</v>
      </c>
      <c r="C5262" t="s">
        <v>293</v>
      </c>
      <c r="D5262" t="str">
        <f>HYPERLINK("http://service.sap.com/sap/support/notes/1507550","1507550")</f>
        <v>1507550</v>
      </c>
      <c r="F5262" t="s">
        <v>5181</v>
      </c>
    </row>
    <row r="5263" spans="1:6">
      <c r="A5263" t="s">
        <v>5347</v>
      </c>
      <c r="B5263" t="s">
        <v>305</v>
      </c>
      <c r="C5263" t="s">
        <v>306</v>
      </c>
      <c r="D5263" t="str">
        <f>HYPERLINK("http://service.sap.com/sap/support/notes/1017716","1017716")</f>
        <v>1017716</v>
      </c>
      <c r="F5263" t="s">
        <v>307</v>
      </c>
    </row>
    <row r="5264" spans="1:6">
      <c r="A5264" t="s">
        <v>5347</v>
      </c>
      <c r="B5264" t="s">
        <v>305</v>
      </c>
      <c r="C5264" t="s">
        <v>306</v>
      </c>
      <c r="D5264" t="str">
        <f>HYPERLINK("http://service.sap.com/sap/support/notes/1402086","1402086")</f>
        <v>1402086</v>
      </c>
      <c r="F5264" t="s">
        <v>5182</v>
      </c>
    </row>
    <row r="5265" spans="1:6">
      <c r="A5265" t="s">
        <v>5347</v>
      </c>
      <c r="B5265" t="s">
        <v>305</v>
      </c>
      <c r="C5265" t="s">
        <v>306</v>
      </c>
      <c r="D5265" t="str">
        <f>HYPERLINK("http://service.sap.com/sap/support/notes/1447505","1447505")</f>
        <v>1447505</v>
      </c>
      <c r="F5265" t="s">
        <v>5183</v>
      </c>
    </row>
    <row r="5266" spans="1:6">
      <c r="A5266" t="s">
        <v>5347</v>
      </c>
      <c r="B5266" t="s">
        <v>305</v>
      </c>
      <c r="C5266" t="s">
        <v>306</v>
      </c>
      <c r="D5266" t="str">
        <f>HYPERLINK("http://service.sap.com/sap/support/notes/1454166","1454166")</f>
        <v>1454166</v>
      </c>
      <c r="F5266" t="s">
        <v>5184</v>
      </c>
    </row>
    <row r="5267" spans="1:6">
      <c r="A5267" t="s">
        <v>5347</v>
      </c>
      <c r="B5267" t="s">
        <v>305</v>
      </c>
      <c r="C5267" t="s">
        <v>306</v>
      </c>
      <c r="D5267" t="str">
        <f>HYPERLINK("http://service.sap.com/sap/support/notes/1462135","1462135")</f>
        <v>1462135</v>
      </c>
      <c r="F5267" t="s">
        <v>5185</v>
      </c>
    </row>
    <row r="5268" spans="1:6">
      <c r="A5268" t="s">
        <v>5347</v>
      </c>
      <c r="B5268" t="s">
        <v>305</v>
      </c>
      <c r="C5268" t="s">
        <v>306</v>
      </c>
      <c r="D5268" t="str">
        <f>HYPERLINK("http://service.sap.com/sap/support/notes/1463173","1463173")</f>
        <v>1463173</v>
      </c>
      <c r="F5268" t="s">
        <v>5186</v>
      </c>
    </row>
    <row r="5269" spans="1:6">
      <c r="A5269" t="s">
        <v>5347</v>
      </c>
      <c r="B5269" t="s">
        <v>305</v>
      </c>
      <c r="C5269" t="s">
        <v>306</v>
      </c>
      <c r="D5269" t="str">
        <f>HYPERLINK("http://service.sap.com/sap/support/notes/1480536","1480536")</f>
        <v>1480536</v>
      </c>
      <c r="F5269" t="s">
        <v>5187</v>
      </c>
    </row>
    <row r="5270" spans="1:6">
      <c r="A5270" t="s">
        <v>5347</v>
      </c>
      <c r="B5270" t="s">
        <v>305</v>
      </c>
      <c r="C5270" t="s">
        <v>306</v>
      </c>
      <c r="D5270" t="str">
        <f>HYPERLINK("http://service.sap.com/sap/support/notes/1482464","1482464")</f>
        <v>1482464</v>
      </c>
      <c r="F5270" t="s">
        <v>5188</v>
      </c>
    </row>
    <row r="5271" spans="1:6">
      <c r="A5271" t="s">
        <v>5347</v>
      </c>
      <c r="B5271" t="s">
        <v>305</v>
      </c>
      <c r="C5271" t="s">
        <v>306</v>
      </c>
      <c r="D5271" t="str">
        <f>HYPERLINK("http://service.sap.com/sap/support/notes/1483712","1483712")</f>
        <v>1483712</v>
      </c>
      <c r="F5271" t="s">
        <v>5189</v>
      </c>
    </row>
    <row r="5272" spans="1:6">
      <c r="A5272" t="s">
        <v>5347</v>
      </c>
      <c r="B5272" t="s">
        <v>305</v>
      </c>
      <c r="C5272" t="s">
        <v>306</v>
      </c>
      <c r="D5272" t="str">
        <f>HYPERLINK("http://service.sap.com/sap/support/notes/1484741","1484741")</f>
        <v>1484741</v>
      </c>
      <c r="F5272" t="s">
        <v>5190</v>
      </c>
    </row>
    <row r="5273" spans="1:6">
      <c r="A5273" t="s">
        <v>5347</v>
      </c>
      <c r="B5273" t="s">
        <v>305</v>
      </c>
      <c r="C5273" t="s">
        <v>306</v>
      </c>
      <c r="D5273" t="str">
        <f>HYPERLINK("http://service.sap.com/sap/support/notes/1486460","1486460")</f>
        <v>1486460</v>
      </c>
      <c r="F5273" t="s">
        <v>5191</v>
      </c>
    </row>
    <row r="5274" spans="1:6">
      <c r="A5274" t="s">
        <v>5347</v>
      </c>
      <c r="B5274" t="s">
        <v>305</v>
      </c>
      <c r="C5274" t="s">
        <v>306</v>
      </c>
      <c r="D5274" t="str">
        <f>HYPERLINK("http://service.sap.com/sap/support/notes/1487672","1487672")</f>
        <v>1487672</v>
      </c>
      <c r="F5274" t="s">
        <v>5192</v>
      </c>
    </row>
    <row r="5275" spans="1:6">
      <c r="A5275" t="s">
        <v>5347</v>
      </c>
      <c r="B5275" t="s">
        <v>305</v>
      </c>
      <c r="C5275" t="s">
        <v>306</v>
      </c>
      <c r="D5275" t="str">
        <f>HYPERLINK("http://service.sap.com/sap/support/notes/1488082","1488082")</f>
        <v>1488082</v>
      </c>
      <c r="F5275" t="s">
        <v>5193</v>
      </c>
    </row>
    <row r="5276" spans="1:6">
      <c r="A5276" t="s">
        <v>5347</v>
      </c>
      <c r="B5276" t="s">
        <v>305</v>
      </c>
      <c r="C5276" t="s">
        <v>306</v>
      </c>
      <c r="D5276" t="str">
        <f>HYPERLINK("http://service.sap.com/sap/support/notes/1488236","1488236")</f>
        <v>1488236</v>
      </c>
      <c r="F5276" t="s">
        <v>5194</v>
      </c>
    </row>
    <row r="5277" spans="1:6">
      <c r="A5277" t="s">
        <v>5347</v>
      </c>
      <c r="B5277" t="s">
        <v>305</v>
      </c>
      <c r="C5277" t="s">
        <v>306</v>
      </c>
      <c r="D5277" t="str">
        <f>HYPERLINK("http://service.sap.com/sap/support/notes/1489631","1489631")</f>
        <v>1489631</v>
      </c>
      <c r="F5277" t="s">
        <v>5195</v>
      </c>
    </row>
    <row r="5278" spans="1:6">
      <c r="A5278" t="s">
        <v>5347</v>
      </c>
      <c r="B5278" t="s">
        <v>305</v>
      </c>
      <c r="C5278" t="s">
        <v>306</v>
      </c>
      <c r="D5278" t="str">
        <f>HYPERLINK("http://service.sap.com/sap/support/notes/1490393","1490393")</f>
        <v>1490393</v>
      </c>
      <c r="F5278" t="s">
        <v>5196</v>
      </c>
    </row>
    <row r="5279" spans="1:6">
      <c r="A5279" t="s">
        <v>5347</v>
      </c>
      <c r="B5279" t="s">
        <v>305</v>
      </c>
      <c r="C5279" t="s">
        <v>306</v>
      </c>
      <c r="D5279" t="str">
        <f>HYPERLINK("http://service.sap.com/sap/support/notes/1490956","1490956")</f>
        <v>1490956</v>
      </c>
      <c r="F5279" t="s">
        <v>5197</v>
      </c>
    </row>
    <row r="5280" spans="1:6">
      <c r="A5280" t="s">
        <v>5347</v>
      </c>
      <c r="B5280" t="s">
        <v>305</v>
      </c>
      <c r="C5280" t="s">
        <v>306</v>
      </c>
      <c r="D5280" t="str">
        <f>HYPERLINK("http://service.sap.com/sap/support/notes/1491878","1491878")</f>
        <v>1491878</v>
      </c>
      <c r="F5280" t="s">
        <v>5198</v>
      </c>
    </row>
    <row r="5281" spans="1:6">
      <c r="A5281" t="s">
        <v>5347</v>
      </c>
      <c r="B5281" t="s">
        <v>305</v>
      </c>
      <c r="C5281" t="s">
        <v>306</v>
      </c>
      <c r="D5281" t="str">
        <f>HYPERLINK("http://service.sap.com/sap/support/notes/1492138","1492138")</f>
        <v>1492138</v>
      </c>
      <c r="F5281" t="s">
        <v>5199</v>
      </c>
    </row>
    <row r="5282" spans="1:6">
      <c r="A5282" t="s">
        <v>5347</v>
      </c>
      <c r="B5282" t="s">
        <v>305</v>
      </c>
      <c r="C5282" t="s">
        <v>306</v>
      </c>
      <c r="D5282" t="str">
        <f>HYPERLINK("http://service.sap.com/sap/support/notes/1494857","1494857")</f>
        <v>1494857</v>
      </c>
      <c r="F5282" t="s">
        <v>5200</v>
      </c>
    </row>
    <row r="5283" spans="1:6">
      <c r="A5283" t="s">
        <v>5347</v>
      </c>
      <c r="B5283" t="s">
        <v>305</v>
      </c>
      <c r="C5283" t="s">
        <v>306</v>
      </c>
      <c r="D5283" t="str">
        <f>HYPERLINK("http://service.sap.com/sap/support/notes/1496200","1496200")</f>
        <v>1496200</v>
      </c>
      <c r="F5283" t="s">
        <v>5201</v>
      </c>
    </row>
    <row r="5284" spans="1:6">
      <c r="A5284" t="s">
        <v>5347</v>
      </c>
      <c r="B5284" t="s">
        <v>305</v>
      </c>
      <c r="C5284" t="s">
        <v>306</v>
      </c>
      <c r="D5284" t="str">
        <f>HYPERLINK("http://service.sap.com/sap/support/notes/1496202","1496202")</f>
        <v>1496202</v>
      </c>
      <c r="F5284" t="s">
        <v>5202</v>
      </c>
    </row>
    <row r="5285" spans="1:6">
      <c r="A5285" t="s">
        <v>5347</v>
      </c>
      <c r="B5285" t="s">
        <v>305</v>
      </c>
      <c r="C5285" t="s">
        <v>306</v>
      </c>
      <c r="D5285" t="str">
        <f>HYPERLINK("http://service.sap.com/sap/support/notes/1501529","1501529")</f>
        <v>1501529</v>
      </c>
      <c r="F5285" t="s">
        <v>5203</v>
      </c>
    </row>
    <row r="5286" spans="1:6">
      <c r="A5286" t="s">
        <v>5347</v>
      </c>
      <c r="B5286" t="s">
        <v>305</v>
      </c>
      <c r="C5286" t="s">
        <v>306</v>
      </c>
      <c r="D5286" t="str">
        <f>HYPERLINK("http://service.sap.com/sap/support/notes/1502014","1502014")</f>
        <v>1502014</v>
      </c>
      <c r="F5286" t="s">
        <v>5204</v>
      </c>
    </row>
    <row r="5287" spans="1:6">
      <c r="A5287" t="s">
        <v>5347</v>
      </c>
      <c r="B5287" t="s">
        <v>305</v>
      </c>
      <c r="C5287" t="s">
        <v>306</v>
      </c>
      <c r="D5287" t="str">
        <f>HYPERLINK("http://service.sap.com/sap/support/notes/1502749","1502749")</f>
        <v>1502749</v>
      </c>
      <c r="F5287" t="s">
        <v>5205</v>
      </c>
    </row>
    <row r="5288" spans="1:6">
      <c r="A5288" t="s">
        <v>5347</v>
      </c>
      <c r="B5288" t="s">
        <v>305</v>
      </c>
      <c r="C5288" t="s">
        <v>306</v>
      </c>
      <c r="D5288" t="str">
        <f>HYPERLINK("http://service.sap.com/sap/support/notes/1504100","1504100")</f>
        <v>1504100</v>
      </c>
      <c r="F5288" t="s">
        <v>5206</v>
      </c>
    </row>
    <row r="5289" spans="1:6">
      <c r="A5289" t="s">
        <v>5347</v>
      </c>
      <c r="B5289" t="s">
        <v>305</v>
      </c>
      <c r="C5289" t="s">
        <v>306</v>
      </c>
      <c r="D5289" t="str">
        <f>HYPERLINK("http://service.sap.com/sap/support/notes/1504167","1504167")</f>
        <v>1504167</v>
      </c>
      <c r="F5289" t="s">
        <v>5207</v>
      </c>
    </row>
    <row r="5290" spans="1:6">
      <c r="A5290" t="s">
        <v>5347</v>
      </c>
      <c r="B5290" t="s">
        <v>305</v>
      </c>
      <c r="C5290" t="s">
        <v>306</v>
      </c>
      <c r="D5290" t="str">
        <f>HYPERLINK("http://service.sap.com/sap/support/notes/1504726","1504726")</f>
        <v>1504726</v>
      </c>
      <c r="F5290" t="s">
        <v>5208</v>
      </c>
    </row>
    <row r="5291" spans="1:6">
      <c r="A5291" t="s">
        <v>5347</v>
      </c>
      <c r="B5291" t="s">
        <v>305</v>
      </c>
      <c r="C5291" t="s">
        <v>306</v>
      </c>
      <c r="D5291" t="str">
        <f>HYPERLINK("http://service.sap.com/sap/support/notes/1507704","1507704")</f>
        <v>1507704</v>
      </c>
      <c r="F5291" t="s">
        <v>5209</v>
      </c>
    </row>
    <row r="5292" spans="1:6">
      <c r="A5292" t="s">
        <v>5347</v>
      </c>
      <c r="B5292" t="s">
        <v>305</v>
      </c>
      <c r="C5292" t="s">
        <v>306</v>
      </c>
      <c r="D5292" t="str">
        <f>HYPERLINK("http://service.sap.com/sap/support/notes/1507711","1507711")</f>
        <v>1507711</v>
      </c>
      <c r="F5292" t="s">
        <v>5210</v>
      </c>
    </row>
    <row r="5293" spans="1:6">
      <c r="A5293" t="s">
        <v>5347</v>
      </c>
      <c r="B5293" t="s">
        <v>305</v>
      </c>
      <c r="C5293" t="s">
        <v>306</v>
      </c>
      <c r="D5293" t="str">
        <f>HYPERLINK("http://service.sap.com/sap/support/notes/1508170","1508170")</f>
        <v>1508170</v>
      </c>
      <c r="F5293" t="s">
        <v>5211</v>
      </c>
    </row>
    <row r="5294" spans="1:6">
      <c r="A5294" t="s">
        <v>5347</v>
      </c>
      <c r="B5294" t="s">
        <v>305</v>
      </c>
      <c r="C5294" t="s">
        <v>306</v>
      </c>
      <c r="D5294" t="str">
        <f>HYPERLINK("http://service.sap.com/sap/support/notes/1508470","1508470")</f>
        <v>1508470</v>
      </c>
      <c r="F5294" t="s">
        <v>5212</v>
      </c>
    </row>
    <row r="5295" spans="1:6">
      <c r="A5295" t="s">
        <v>5347</v>
      </c>
      <c r="B5295" t="s">
        <v>305</v>
      </c>
      <c r="C5295" t="s">
        <v>306</v>
      </c>
      <c r="D5295" t="str">
        <f>HYPERLINK("http://service.sap.com/sap/support/notes/1510117","1510117")</f>
        <v>1510117</v>
      </c>
      <c r="F5295" t="s">
        <v>5213</v>
      </c>
    </row>
    <row r="5296" spans="1:6">
      <c r="A5296" t="s">
        <v>5347</v>
      </c>
      <c r="B5296" t="s">
        <v>352</v>
      </c>
      <c r="C5296" t="s">
        <v>353</v>
      </c>
      <c r="D5296" t="str">
        <f>HYPERLINK("http://service.sap.com/sap/support/notes/1503289","1503289")</f>
        <v>1503289</v>
      </c>
      <c r="F5296" t="s">
        <v>5214</v>
      </c>
    </row>
    <row r="5297" spans="1:6">
      <c r="A5297" t="s">
        <v>5347</v>
      </c>
      <c r="B5297" t="s">
        <v>352</v>
      </c>
      <c r="C5297" t="s">
        <v>353</v>
      </c>
      <c r="D5297" t="str">
        <f>HYPERLINK("http://service.sap.com/sap/support/notes/1508111","1508111")</f>
        <v>1508111</v>
      </c>
      <c r="F5297" t="s">
        <v>5215</v>
      </c>
    </row>
    <row r="5298" spans="1:6">
      <c r="A5298" t="s">
        <v>5347</v>
      </c>
      <c r="B5298" t="s">
        <v>352</v>
      </c>
      <c r="C5298" t="s">
        <v>353</v>
      </c>
      <c r="D5298" t="str">
        <f>HYPERLINK("http://service.sap.com/sap/support/notes/1509155","1509155")</f>
        <v>1509155</v>
      </c>
      <c r="F5298" t="s">
        <v>5216</v>
      </c>
    </row>
    <row r="5299" spans="1:6">
      <c r="A5299" t="s">
        <v>5347</v>
      </c>
      <c r="B5299" t="s">
        <v>352</v>
      </c>
      <c r="C5299" t="s">
        <v>353</v>
      </c>
      <c r="D5299" t="str">
        <f>HYPERLINK("http://service.sap.com/sap/support/notes/1511065","1511065")</f>
        <v>1511065</v>
      </c>
      <c r="F5299" t="s">
        <v>5217</v>
      </c>
    </row>
    <row r="5300" spans="1:6">
      <c r="A5300" t="s">
        <v>5347</v>
      </c>
      <c r="B5300" t="s">
        <v>357</v>
      </c>
      <c r="C5300" t="s">
        <v>76</v>
      </c>
      <c r="D5300" t="str">
        <f>HYPERLINK("http://service.sap.com/sap/support/notes/1387097","1387097")</f>
        <v>1387097</v>
      </c>
      <c r="F5300" t="s">
        <v>5218</v>
      </c>
    </row>
    <row r="5301" spans="1:6">
      <c r="A5301" t="s">
        <v>5347</v>
      </c>
      <c r="B5301" t="s">
        <v>357</v>
      </c>
      <c r="C5301" t="s">
        <v>76</v>
      </c>
      <c r="D5301" t="str">
        <f>HYPERLINK("http://service.sap.com/sap/support/notes/1410934","1410934")</f>
        <v>1410934</v>
      </c>
      <c r="F5301" t="s">
        <v>3760</v>
      </c>
    </row>
    <row r="5302" spans="1:6">
      <c r="A5302" t="s">
        <v>5347</v>
      </c>
      <c r="B5302" t="s">
        <v>357</v>
      </c>
      <c r="C5302" t="s">
        <v>76</v>
      </c>
      <c r="D5302" t="str">
        <f>HYPERLINK("http://service.sap.com/sap/support/notes/1473035","1473035")</f>
        <v>1473035</v>
      </c>
      <c r="F5302" t="s">
        <v>5219</v>
      </c>
    </row>
    <row r="5303" spans="1:6">
      <c r="A5303" t="s">
        <v>5347</v>
      </c>
      <c r="B5303" t="s">
        <v>357</v>
      </c>
      <c r="C5303" t="s">
        <v>76</v>
      </c>
      <c r="D5303" t="str">
        <f>HYPERLINK("http://service.sap.com/sap/support/notes/1479484","1479484")</f>
        <v>1479484</v>
      </c>
      <c r="F5303" t="s">
        <v>4523</v>
      </c>
    </row>
    <row r="5304" spans="1:6">
      <c r="A5304" t="s">
        <v>5347</v>
      </c>
      <c r="B5304" t="s">
        <v>357</v>
      </c>
      <c r="C5304" t="s">
        <v>76</v>
      </c>
      <c r="D5304" t="str">
        <f>HYPERLINK("http://service.sap.com/sap/support/notes/1493914","1493914")</f>
        <v>1493914</v>
      </c>
      <c r="F5304" t="s">
        <v>5220</v>
      </c>
    </row>
    <row r="5305" spans="1:6">
      <c r="A5305" t="s">
        <v>5347</v>
      </c>
      <c r="B5305" t="s">
        <v>357</v>
      </c>
      <c r="C5305" t="s">
        <v>76</v>
      </c>
      <c r="D5305" t="str">
        <f>HYPERLINK("http://service.sap.com/sap/support/notes/1495041","1495041")</f>
        <v>1495041</v>
      </c>
      <c r="F5305" t="s">
        <v>5221</v>
      </c>
    </row>
    <row r="5306" spans="1:6">
      <c r="A5306" t="s">
        <v>5347</v>
      </c>
      <c r="B5306" t="s">
        <v>357</v>
      </c>
      <c r="C5306" t="s">
        <v>76</v>
      </c>
      <c r="D5306" t="str">
        <f>HYPERLINK("http://service.sap.com/sap/support/notes/1497397","1497397")</f>
        <v>1497397</v>
      </c>
      <c r="F5306" t="s">
        <v>5222</v>
      </c>
    </row>
    <row r="5307" spans="1:6">
      <c r="A5307" t="s">
        <v>5347</v>
      </c>
      <c r="B5307" t="s">
        <v>357</v>
      </c>
      <c r="C5307" t="s">
        <v>76</v>
      </c>
      <c r="D5307" t="str">
        <f>HYPERLINK("http://service.sap.com/sap/support/notes/1498539","1498539")</f>
        <v>1498539</v>
      </c>
      <c r="F5307" t="s">
        <v>5223</v>
      </c>
    </row>
    <row r="5308" spans="1:6">
      <c r="A5308" t="s">
        <v>5347</v>
      </c>
      <c r="B5308" t="s">
        <v>357</v>
      </c>
      <c r="C5308" t="s">
        <v>76</v>
      </c>
      <c r="D5308" t="str">
        <f>HYPERLINK("http://service.sap.com/sap/support/notes/1499828","1499828")</f>
        <v>1499828</v>
      </c>
      <c r="F5308" t="s">
        <v>5224</v>
      </c>
    </row>
    <row r="5309" spans="1:6">
      <c r="A5309" t="s">
        <v>5347</v>
      </c>
      <c r="B5309" t="s">
        <v>357</v>
      </c>
      <c r="C5309" t="s">
        <v>76</v>
      </c>
      <c r="D5309" t="str">
        <f>HYPERLINK("http://service.sap.com/sap/support/notes/1500974","1500974")</f>
        <v>1500974</v>
      </c>
      <c r="F5309" t="s">
        <v>5225</v>
      </c>
    </row>
    <row r="5310" spans="1:6">
      <c r="A5310" t="s">
        <v>5347</v>
      </c>
      <c r="B5310" t="s">
        <v>357</v>
      </c>
      <c r="C5310" t="s">
        <v>76</v>
      </c>
      <c r="D5310" t="str">
        <f>HYPERLINK("http://service.sap.com/sap/support/notes/1505463","1505463")</f>
        <v>1505463</v>
      </c>
      <c r="F5310" t="s">
        <v>5226</v>
      </c>
    </row>
    <row r="5311" spans="1:6">
      <c r="A5311" t="s">
        <v>5347</v>
      </c>
      <c r="B5311" t="s">
        <v>357</v>
      </c>
      <c r="C5311" t="s">
        <v>76</v>
      </c>
      <c r="D5311" t="str">
        <f>HYPERLINK("http://service.sap.com/sap/support/notes/1506421","1506421")</f>
        <v>1506421</v>
      </c>
      <c r="F5311" t="s">
        <v>5227</v>
      </c>
    </row>
    <row r="5312" spans="1:6">
      <c r="A5312" t="s">
        <v>5347</v>
      </c>
      <c r="B5312" t="s">
        <v>357</v>
      </c>
      <c r="C5312" t="s">
        <v>76</v>
      </c>
      <c r="D5312" t="str">
        <f>HYPERLINK("http://service.sap.com/sap/support/notes/1506695","1506695")</f>
        <v>1506695</v>
      </c>
      <c r="F5312" t="s">
        <v>5228</v>
      </c>
    </row>
    <row r="5313" spans="1:6">
      <c r="A5313" t="s">
        <v>5347</v>
      </c>
      <c r="B5313" t="s">
        <v>357</v>
      </c>
      <c r="C5313" t="s">
        <v>76</v>
      </c>
      <c r="D5313" t="str">
        <f>HYPERLINK("http://service.sap.com/sap/support/notes/1507373","1507373")</f>
        <v>1507373</v>
      </c>
      <c r="F5313" t="s">
        <v>5229</v>
      </c>
    </row>
    <row r="5314" spans="1:6">
      <c r="A5314" t="s">
        <v>5347</v>
      </c>
      <c r="B5314" t="s">
        <v>357</v>
      </c>
      <c r="C5314" t="s">
        <v>76</v>
      </c>
      <c r="D5314" t="str">
        <f>HYPERLINK("http://service.sap.com/sap/support/notes/1507543","1507543")</f>
        <v>1507543</v>
      </c>
      <c r="F5314" t="s">
        <v>5230</v>
      </c>
    </row>
    <row r="5315" spans="1:6">
      <c r="A5315" t="s">
        <v>5347</v>
      </c>
      <c r="B5315" t="s">
        <v>357</v>
      </c>
      <c r="C5315" t="s">
        <v>76</v>
      </c>
      <c r="D5315" t="str">
        <f>HYPERLINK("http://service.sap.com/sap/support/notes/1507713","1507713")</f>
        <v>1507713</v>
      </c>
      <c r="F5315" t="s">
        <v>5231</v>
      </c>
    </row>
    <row r="5316" spans="1:6">
      <c r="A5316" t="s">
        <v>5347</v>
      </c>
      <c r="B5316" t="s">
        <v>357</v>
      </c>
      <c r="C5316" t="s">
        <v>76</v>
      </c>
      <c r="D5316" t="str">
        <f>HYPERLINK("http://service.sap.com/sap/support/notes/1508315","1508315")</f>
        <v>1508315</v>
      </c>
      <c r="F5316" t="s">
        <v>5232</v>
      </c>
    </row>
    <row r="5317" spans="1:6">
      <c r="A5317" t="s">
        <v>5347</v>
      </c>
      <c r="B5317" t="s">
        <v>3770</v>
      </c>
      <c r="C5317" t="s">
        <v>4678</v>
      </c>
      <c r="D5317" t="str">
        <f>HYPERLINK("http://service.sap.com/sap/support/notes/1500837","1500837")</f>
        <v>1500837</v>
      </c>
      <c r="F5317" t="s">
        <v>5233</v>
      </c>
    </row>
    <row r="5318" spans="1:6">
      <c r="A5318" t="s">
        <v>5347</v>
      </c>
      <c r="B5318" t="s">
        <v>369</v>
      </c>
      <c r="C5318" t="s">
        <v>370</v>
      </c>
      <c r="D5318" t="str">
        <f>HYPERLINK("http://service.sap.com/sap/support/notes/1129168","1129168")</f>
        <v>1129168</v>
      </c>
      <c r="F5318" t="s">
        <v>371</v>
      </c>
    </row>
    <row r="5319" spans="1:6">
      <c r="A5319" t="s">
        <v>5347</v>
      </c>
      <c r="B5319" t="s">
        <v>369</v>
      </c>
      <c r="C5319" t="s">
        <v>370</v>
      </c>
      <c r="D5319" t="str">
        <f>HYPERLINK("http://service.sap.com/sap/support/notes/1499324","1499324")</f>
        <v>1499324</v>
      </c>
      <c r="F5319" t="s">
        <v>5234</v>
      </c>
    </row>
    <row r="5320" spans="1:6">
      <c r="A5320" t="s">
        <v>5347</v>
      </c>
      <c r="B5320" t="s">
        <v>1166</v>
      </c>
      <c r="C5320" t="s">
        <v>1756</v>
      </c>
    </row>
    <row r="5321" spans="1:6">
      <c r="A5321" t="s">
        <v>5347</v>
      </c>
      <c r="B5321" t="s">
        <v>1167</v>
      </c>
      <c r="C5321" t="s">
        <v>1757</v>
      </c>
      <c r="D5321" t="str">
        <f>HYPERLINK("http://service.sap.com/sap/support/notes/1485513","1485513")</f>
        <v>1485513</v>
      </c>
      <c r="F5321" t="s">
        <v>5235</v>
      </c>
    </row>
    <row r="5322" spans="1:6">
      <c r="A5322" t="s">
        <v>5347</v>
      </c>
      <c r="B5322" t="s">
        <v>1167</v>
      </c>
      <c r="C5322" t="s">
        <v>1757</v>
      </c>
      <c r="D5322" t="str">
        <f>HYPERLINK("http://service.sap.com/sap/support/notes/1488527","1488527")</f>
        <v>1488527</v>
      </c>
      <c r="F5322" t="s">
        <v>5236</v>
      </c>
    </row>
    <row r="5323" spans="1:6">
      <c r="A5323" t="s">
        <v>5347</v>
      </c>
      <c r="B5323" t="s">
        <v>1167</v>
      </c>
      <c r="C5323" t="s">
        <v>1757</v>
      </c>
      <c r="D5323" t="str">
        <f>HYPERLINK("http://service.sap.com/sap/support/notes/1504188","1504188")</f>
        <v>1504188</v>
      </c>
      <c r="F5323" t="s">
        <v>5237</v>
      </c>
    </row>
    <row r="5324" spans="1:6">
      <c r="A5324" t="s">
        <v>5347</v>
      </c>
      <c r="B5324" t="s">
        <v>374</v>
      </c>
      <c r="C5324" t="s">
        <v>189</v>
      </c>
      <c r="D5324" t="str">
        <f>HYPERLINK("http://service.sap.com/sap/support/notes/1495512","1495512")</f>
        <v>1495512</v>
      </c>
      <c r="F5324" t="s">
        <v>5238</v>
      </c>
    </row>
    <row r="5325" spans="1:6">
      <c r="A5325" t="s">
        <v>5347</v>
      </c>
      <c r="B5325" t="s">
        <v>374</v>
      </c>
      <c r="C5325" t="s">
        <v>189</v>
      </c>
      <c r="D5325" t="str">
        <f>HYPERLINK("http://service.sap.com/sap/support/notes/1508462","1508462")</f>
        <v>1508462</v>
      </c>
      <c r="F5325" t="s">
        <v>5239</v>
      </c>
    </row>
    <row r="5326" spans="1:6">
      <c r="A5326" t="s">
        <v>5347</v>
      </c>
      <c r="B5326" t="s">
        <v>385</v>
      </c>
      <c r="C5326" t="s">
        <v>208</v>
      </c>
    </row>
    <row r="5327" spans="1:6">
      <c r="A5327" t="s">
        <v>5347</v>
      </c>
      <c r="B5327" t="s">
        <v>386</v>
      </c>
      <c r="C5327" t="s">
        <v>387</v>
      </c>
      <c r="D5327" t="str">
        <f>HYPERLINK("http://service.sap.com/sap/support/notes/1494904","1494904")</f>
        <v>1494904</v>
      </c>
      <c r="F5327" t="s">
        <v>5240</v>
      </c>
    </row>
    <row r="5328" spans="1:6">
      <c r="A5328" t="s">
        <v>5347</v>
      </c>
      <c r="B5328" t="s">
        <v>386</v>
      </c>
      <c r="C5328" t="s">
        <v>387</v>
      </c>
      <c r="D5328" t="str">
        <f>HYPERLINK("http://service.sap.com/sap/support/notes/1502478","1502478")</f>
        <v>1502478</v>
      </c>
      <c r="F5328" t="s">
        <v>5241</v>
      </c>
    </row>
    <row r="5329" spans="1:6">
      <c r="A5329" t="s">
        <v>5347</v>
      </c>
      <c r="B5329" t="s">
        <v>391</v>
      </c>
      <c r="C5329" t="s">
        <v>392</v>
      </c>
      <c r="D5329" t="str">
        <f>HYPERLINK("http://service.sap.com/sap/support/notes/1450028","1450028")</f>
        <v>1450028</v>
      </c>
      <c r="F5329" t="s">
        <v>2881</v>
      </c>
    </row>
    <row r="5330" spans="1:6">
      <c r="A5330" t="s">
        <v>5347</v>
      </c>
      <c r="B5330" t="s">
        <v>391</v>
      </c>
      <c r="C5330" t="s">
        <v>392</v>
      </c>
      <c r="D5330" t="str">
        <f>HYPERLINK("http://service.sap.com/sap/support/notes/1471559","1471559")</f>
        <v>1471559</v>
      </c>
      <c r="F5330" t="s">
        <v>4171</v>
      </c>
    </row>
    <row r="5331" spans="1:6">
      <c r="A5331" t="s">
        <v>5347</v>
      </c>
      <c r="B5331" t="s">
        <v>391</v>
      </c>
      <c r="C5331" t="s">
        <v>392</v>
      </c>
      <c r="D5331" t="str">
        <f>HYPERLINK("http://service.sap.com/sap/support/notes/1480572","1480572")</f>
        <v>1480572</v>
      </c>
      <c r="F5331" t="s">
        <v>4557</v>
      </c>
    </row>
    <row r="5332" spans="1:6">
      <c r="A5332" t="s">
        <v>5347</v>
      </c>
      <c r="B5332" t="s">
        <v>391</v>
      </c>
      <c r="C5332" t="s">
        <v>392</v>
      </c>
      <c r="D5332" t="str">
        <f>HYPERLINK("http://service.sap.com/sap/support/notes/1500848","1500848")</f>
        <v>1500848</v>
      </c>
      <c r="F5332" t="s">
        <v>5242</v>
      </c>
    </row>
    <row r="5333" spans="1:6">
      <c r="A5333" t="s">
        <v>5347</v>
      </c>
      <c r="B5333" t="s">
        <v>391</v>
      </c>
      <c r="C5333" t="s">
        <v>392</v>
      </c>
      <c r="D5333" t="str">
        <f>HYPERLINK("http://service.sap.com/sap/support/notes/1508752","1508752")</f>
        <v>1508752</v>
      </c>
      <c r="F5333" t="s">
        <v>5243</v>
      </c>
    </row>
    <row r="5334" spans="1:6">
      <c r="A5334" t="s">
        <v>5347</v>
      </c>
      <c r="B5334" t="s">
        <v>397</v>
      </c>
      <c r="C5334" t="s">
        <v>398</v>
      </c>
      <c r="D5334" t="str">
        <f>HYPERLINK("http://service.sap.com/sap/support/notes/1507306","1507306")</f>
        <v>1507306</v>
      </c>
      <c r="F5334" t="s">
        <v>5244</v>
      </c>
    </row>
    <row r="5335" spans="1:6">
      <c r="A5335" t="s">
        <v>5347</v>
      </c>
      <c r="B5335" t="s">
        <v>401</v>
      </c>
      <c r="C5335" t="s">
        <v>402</v>
      </c>
      <c r="D5335" t="str">
        <f>HYPERLINK("http://service.sap.com/sap/support/notes/1392972","1392972")</f>
        <v>1392972</v>
      </c>
      <c r="F5335" t="s">
        <v>4879</v>
      </c>
    </row>
    <row r="5336" spans="1:6">
      <c r="A5336" t="s">
        <v>5347</v>
      </c>
      <c r="B5336" t="s">
        <v>410</v>
      </c>
      <c r="C5336" t="s">
        <v>411</v>
      </c>
      <c r="D5336" t="str">
        <f>HYPERLINK("http://service.sap.com/sap/support/notes/1337155","1337155")</f>
        <v>1337155</v>
      </c>
      <c r="F5336" t="s">
        <v>3206</v>
      </c>
    </row>
    <row r="5337" spans="1:6">
      <c r="A5337" t="s">
        <v>5347</v>
      </c>
      <c r="B5337" t="s">
        <v>410</v>
      </c>
      <c r="C5337" t="s">
        <v>411</v>
      </c>
      <c r="D5337" t="str">
        <f>HYPERLINK("http://service.sap.com/sap/support/notes/1492785","1492785")</f>
        <v>1492785</v>
      </c>
      <c r="F5337" t="s">
        <v>5245</v>
      </c>
    </row>
    <row r="5338" spans="1:6">
      <c r="A5338" t="s">
        <v>5347</v>
      </c>
      <c r="B5338" t="s">
        <v>410</v>
      </c>
      <c r="C5338" t="s">
        <v>411</v>
      </c>
      <c r="D5338" t="str">
        <f>HYPERLINK("http://service.sap.com/sap/support/notes/1506800","1506800")</f>
        <v>1506800</v>
      </c>
      <c r="F5338" t="s">
        <v>5246</v>
      </c>
    </row>
    <row r="5339" spans="1:6">
      <c r="A5339" t="s">
        <v>5347</v>
      </c>
      <c r="B5339" t="s">
        <v>410</v>
      </c>
      <c r="C5339" t="s">
        <v>411</v>
      </c>
      <c r="D5339" t="str">
        <f>HYPERLINK("http://service.sap.com/sap/support/notes/1509129","1509129")</f>
        <v>1509129</v>
      </c>
      <c r="F5339" t="s">
        <v>5247</v>
      </c>
    </row>
    <row r="5340" spans="1:6">
      <c r="A5340" t="s">
        <v>5347</v>
      </c>
      <c r="B5340" t="s">
        <v>1230</v>
      </c>
      <c r="C5340" t="s">
        <v>1231</v>
      </c>
      <c r="D5340" t="str">
        <f>HYPERLINK("http://service.sap.com/sap/support/notes/1487460","1487460")</f>
        <v>1487460</v>
      </c>
      <c r="F5340" t="s">
        <v>4890</v>
      </c>
    </row>
    <row r="5341" spans="1:6">
      <c r="A5341" t="s">
        <v>5347</v>
      </c>
      <c r="B5341" t="s">
        <v>424</v>
      </c>
      <c r="C5341" t="s">
        <v>425</v>
      </c>
      <c r="D5341" t="str">
        <f>HYPERLINK("http://service.sap.com/sap/support/notes/1434293","1434293")</f>
        <v>1434293</v>
      </c>
      <c r="F5341" t="s">
        <v>5248</v>
      </c>
    </row>
    <row r="5342" spans="1:6">
      <c r="A5342" t="s">
        <v>5347</v>
      </c>
      <c r="B5342" t="s">
        <v>424</v>
      </c>
      <c r="C5342" t="s">
        <v>425</v>
      </c>
      <c r="D5342" t="str">
        <f>HYPERLINK("http://service.sap.com/sap/support/notes/1453489","1453489")</f>
        <v>1453489</v>
      </c>
      <c r="F5342" t="s">
        <v>3231</v>
      </c>
    </row>
    <row r="5343" spans="1:6">
      <c r="A5343" t="s">
        <v>5347</v>
      </c>
      <c r="B5343" t="s">
        <v>424</v>
      </c>
      <c r="C5343" t="s">
        <v>425</v>
      </c>
      <c r="D5343" t="str">
        <f>HYPERLINK("http://service.sap.com/sap/support/notes/1467186","1467186")</f>
        <v>1467186</v>
      </c>
      <c r="F5343" t="s">
        <v>3832</v>
      </c>
    </row>
    <row r="5344" spans="1:6">
      <c r="A5344" t="s">
        <v>5347</v>
      </c>
      <c r="B5344" t="s">
        <v>424</v>
      </c>
      <c r="C5344" t="s">
        <v>425</v>
      </c>
      <c r="D5344" t="str">
        <f>HYPERLINK("http://service.sap.com/sap/support/notes/1483814","1483814")</f>
        <v>1483814</v>
      </c>
      <c r="F5344" t="s">
        <v>5249</v>
      </c>
    </row>
    <row r="5345" spans="1:6">
      <c r="A5345" t="s">
        <v>5347</v>
      </c>
      <c r="B5345" t="s">
        <v>441</v>
      </c>
      <c r="C5345" t="s">
        <v>442</v>
      </c>
      <c r="D5345" t="str">
        <f>HYPERLINK("http://service.sap.com/sap/support/notes/1501206","1501206")</f>
        <v>1501206</v>
      </c>
      <c r="F5345" t="s">
        <v>5250</v>
      </c>
    </row>
    <row r="5346" spans="1:6">
      <c r="A5346" t="s">
        <v>5347</v>
      </c>
      <c r="B5346" t="s">
        <v>441</v>
      </c>
      <c r="C5346" t="s">
        <v>442</v>
      </c>
      <c r="D5346" t="str">
        <f>HYPERLINK("http://service.sap.com/sap/support/notes/1506091","1506091")</f>
        <v>1506091</v>
      </c>
      <c r="F5346" t="s">
        <v>5251</v>
      </c>
    </row>
    <row r="5347" spans="1:6">
      <c r="A5347" t="s">
        <v>5347</v>
      </c>
      <c r="B5347" t="s">
        <v>441</v>
      </c>
      <c r="C5347" t="s">
        <v>442</v>
      </c>
      <c r="D5347" t="str">
        <f>HYPERLINK("http://service.sap.com/sap/support/notes/1506584","1506584")</f>
        <v>1506584</v>
      </c>
      <c r="F5347" t="s">
        <v>5252</v>
      </c>
    </row>
    <row r="5348" spans="1:6">
      <c r="A5348" t="s">
        <v>5347</v>
      </c>
      <c r="B5348" t="s">
        <v>441</v>
      </c>
      <c r="C5348" t="s">
        <v>442</v>
      </c>
      <c r="D5348" t="str">
        <f>HYPERLINK("http://service.sap.com/sap/support/notes/1509099","1509099")</f>
        <v>1509099</v>
      </c>
      <c r="F5348" t="s">
        <v>5253</v>
      </c>
    </row>
    <row r="5349" spans="1:6">
      <c r="A5349" t="s">
        <v>5347</v>
      </c>
      <c r="B5349" t="s">
        <v>441</v>
      </c>
      <c r="C5349" t="s">
        <v>442</v>
      </c>
      <c r="D5349" t="str">
        <f>HYPERLINK("http://service.sap.com/sap/support/notes/1510296","1510296")</f>
        <v>1510296</v>
      </c>
      <c r="F5349" t="s">
        <v>5254</v>
      </c>
    </row>
    <row r="5350" spans="1:6">
      <c r="A5350" t="s">
        <v>5347</v>
      </c>
      <c r="B5350" t="s">
        <v>441</v>
      </c>
      <c r="C5350" t="s">
        <v>442</v>
      </c>
      <c r="D5350" t="str">
        <f>HYPERLINK("http://service.sap.com/sap/support/notes/1511518","1511518")</f>
        <v>1511518</v>
      </c>
      <c r="F5350" t="s">
        <v>4600</v>
      </c>
    </row>
    <row r="5351" spans="1:6">
      <c r="A5351" t="s">
        <v>5347</v>
      </c>
      <c r="B5351" t="s">
        <v>1247</v>
      </c>
      <c r="C5351" t="s">
        <v>87</v>
      </c>
      <c r="D5351" t="str">
        <f>HYPERLINK("http://service.sap.com/sap/support/notes/1224058","1224058")</f>
        <v>1224058</v>
      </c>
      <c r="F5351" t="s">
        <v>1808</v>
      </c>
    </row>
    <row r="5352" spans="1:6">
      <c r="A5352" t="s">
        <v>5347</v>
      </c>
      <c r="B5352" t="s">
        <v>1247</v>
      </c>
      <c r="C5352" t="s">
        <v>87</v>
      </c>
      <c r="D5352" t="str">
        <f>HYPERLINK("http://service.sap.com/sap/support/notes/1502469","1502469")</f>
        <v>1502469</v>
      </c>
      <c r="F5352" t="s">
        <v>5255</v>
      </c>
    </row>
    <row r="5353" spans="1:6">
      <c r="A5353" t="s">
        <v>5347</v>
      </c>
      <c r="B5353" t="s">
        <v>1247</v>
      </c>
      <c r="C5353" t="s">
        <v>87</v>
      </c>
      <c r="D5353" t="str">
        <f>HYPERLINK("http://service.sap.com/sap/support/notes/1502926","1502926")</f>
        <v>1502926</v>
      </c>
      <c r="F5353" t="s">
        <v>5256</v>
      </c>
    </row>
    <row r="5354" spans="1:6">
      <c r="A5354" t="s">
        <v>5347</v>
      </c>
      <c r="B5354" t="s">
        <v>1247</v>
      </c>
      <c r="C5354" t="s">
        <v>87</v>
      </c>
      <c r="D5354" t="str">
        <f>HYPERLINK("http://service.sap.com/sap/support/notes/1509694","1509694")</f>
        <v>1509694</v>
      </c>
      <c r="F5354" t="s">
        <v>5257</v>
      </c>
    </row>
    <row r="5355" spans="1:6">
      <c r="A5355" t="s">
        <v>5347</v>
      </c>
      <c r="B5355" t="s">
        <v>450</v>
      </c>
      <c r="C5355" t="s">
        <v>451</v>
      </c>
      <c r="D5355" t="str">
        <f>HYPERLINK("http://service.sap.com/sap/support/notes/1346548","1346548")</f>
        <v>1346548</v>
      </c>
      <c r="F5355" t="s">
        <v>452</v>
      </c>
    </row>
    <row r="5356" spans="1:6">
      <c r="A5356" t="s">
        <v>5347</v>
      </c>
      <c r="B5356" t="s">
        <v>450</v>
      </c>
      <c r="C5356" t="s">
        <v>451</v>
      </c>
      <c r="D5356" t="str">
        <f>HYPERLINK("http://service.sap.com/sap/support/notes/1497082","1497082")</f>
        <v>1497082</v>
      </c>
      <c r="F5356" t="s">
        <v>5258</v>
      </c>
    </row>
    <row r="5357" spans="1:6">
      <c r="A5357" t="s">
        <v>5347</v>
      </c>
      <c r="B5357" t="s">
        <v>450</v>
      </c>
      <c r="C5357" t="s">
        <v>451</v>
      </c>
      <c r="D5357" t="str">
        <f>HYPERLINK("http://service.sap.com/sap/support/notes/1500195","1500195")</f>
        <v>1500195</v>
      </c>
      <c r="F5357" t="s">
        <v>5259</v>
      </c>
    </row>
    <row r="5358" spans="1:6">
      <c r="A5358" t="s">
        <v>5347</v>
      </c>
      <c r="B5358" t="s">
        <v>450</v>
      </c>
      <c r="C5358" t="s">
        <v>451</v>
      </c>
      <c r="D5358" t="str">
        <f>HYPERLINK("http://service.sap.com/sap/support/notes/1502401","1502401")</f>
        <v>1502401</v>
      </c>
      <c r="F5358" t="s">
        <v>5260</v>
      </c>
    </row>
    <row r="5359" spans="1:6">
      <c r="A5359" t="s">
        <v>5347</v>
      </c>
      <c r="B5359" t="s">
        <v>450</v>
      </c>
      <c r="C5359" t="s">
        <v>451</v>
      </c>
      <c r="D5359" t="str">
        <f>HYPERLINK("http://service.sap.com/sap/support/notes/1508644","1508644")</f>
        <v>1508644</v>
      </c>
      <c r="F5359" t="s">
        <v>5261</v>
      </c>
    </row>
    <row r="5360" spans="1:6">
      <c r="A5360" t="s">
        <v>5347</v>
      </c>
      <c r="B5360" t="s">
        <v>450</v>
      </c>
      <c r="C5360" t="s">
        <v>451</v>
      </c>
      <c r="D5360" t="str">
        <f>HYPERLINK("http://service.sap.com/sap/support/notes/1509570","1509570")</f>
        <v>1509570</v>
      </c>
      <c r="F5360" t="s">
        <v>5262</v>
      </c>
    </row>
    <row r="5361" spans="1:6">
      <c r="A5361" t="s">
        <v>5347</v>
      </c>
      <c r="B5361" t="s">
        <v>458</v>
      </c>
      <c r="C5361" t="s">
        <v>90</v>
      </c>
      <c r="D5361" t="str">
        <f>HYPERLINK("http://service.sap.com/sap/support/notes/645372","645372")</f>
        <v>645372</v>
      </c>
      <c r="F5361" t="s">
        <v>459</v>
      </c>
    </row>
    <row r="5362" spans="1:6">
      <c r="A5362" t="s">
        <v>5347</v>
      </c>
      <c r="B5362" t="s">
        <v>458</v>
      </c>
      <c r="C5362" t="s">
        <v>90</v>
      </c>
      <c r="D5362" t="str">
        <f>HYPERLINK("http://service.sap.com/sap/support/notes/1477038","1477038")</f>
        <v>1477038</v>
      </c>
      <c r="F5362" t="s">
        <v>5263</v>
      </c>
    </row>
    <row r="5363" spans="1:6">
      <c r="A5363" t="s">
        <v>5347</v>
      </c>
      <c r="B5363" t="s">
        <v>458</v>
      </c>
      <c r="C5363" t="s">
        <v>90</v>
      </c>
      <c r="D5363" t="str">
        <f>HYPERLINK("http://service.sap.com/sap/support/notes/1479811","1479811")</f>
        <v>1479811</v>
      </c>
      <c r="F5363" t="s">
        <v>5264</v>
      </c>
    </row>
    <row r="5364" spans="1:6">
      <c r="A5364" t="s">
        <v>5347</v>
      </c>
      <c r="B5364" t="s">
        <v>458</v>
      </c>
      <c r="C5364" t="s">
        <v>90</v>
      </c>
      <c r="D5364" t="str">
        <f>HYPERLINK("http://service.sap.com/sap/support/notes/1498058","1498058")</f>
        <v>1498058</v>
      </c>
      <c r="F5364" t="s">
        <v>5265</v>
      </c>
    </row>
    <row r="5365" spans="1:6">
      <c r="A5365" t="s">
        <v>5347</v>
      </c>
      <c r="B5365" t="s">
        <v>458</v>
      </c>
      <c r="C5365" t="s">
        <v>90</v>
      </c>
      <c r="D5365" t="str">
        <f>HYPERLINK("http://service.sap.com/sap/support/notes/1501747","1501747")</f>
        <v>1501747</v>
      </c>
      <c r="F5365" t="s">
        <v>5266</v>
      </c>
    </row>
    <row r="5366" spans="1:6">
      <c r="A5366" t="s">
        <v>5347</v>
      </c>
      <c r="B5366" t="s">
        <v>458</v>
      </c>
      <c r="C5366" t="s">
        <v>90</v>
      </c>
      <c r="D5366" t="str">
        <f>HYPERLINK("http://service.sap.com/sap/support/notes/1505290","1505290")</f>
        <v>1505290</v>
      </c>
      <c r="F5366" t="s">
        <v>5267</v>
      </c>
    </row>
    <row r="5367" spans="1:6">
      <c r="A5367" t="s">
        <v>5347</v>
      </c>
      <c r="B5367" t="s">
        <v>463</v>
      </c>
      <c r="C5367" t="s">
        <v>93</v>
      </c>
      <c r="D5367" t="str">
        <f>HYPERLINK("http://service.sap.com/sap/support/notes/1506831","1506831")</f>
        <v>1506831</v>
      </c>
      <c r="F5367" t="s">
        <v>5268</v>
      </c>
    </row>
    <row r="5368" spans="1:6">
      <c r="A5368" t="s">
        <v>5347</v>
      </c>
      <c r="B5368" t="s">
        <v>475</v>
      </c>
      <c r="C5368" t="s">
        <v>476</v>
      </c>
      <c r="D5368" t="str">
        <f>HYPERLINK("http://service.sap.com/sap/support/notes/1505204","1505204")</f>
        <v>1505204</v>
      </c>
      <c r="F5368" t="s">
        <v>5269</v>
      </c>
    </row>
    <row r="5369" spans="1:6">
      <c r="A5369" t="s">
        <v>5347</v>
      </c>
      <c r="B5369" t="s">
        <v>475</v>
      </c>
      <c r="C5369" t="s">
        <v>476</v>
      </c>
      <c r="D5369" t="str">
        <f>HYPERLINK("http://service.sap.com/sap/support/notes/1507690","1507690")</f>
        <v>1507690</v>
      </c>
      <c r="F5369" t="s">
        <v>5270</v>
      </c>
    </row>
    <row r="5370" spans="1:6">
      <c r="A5370" t="s">
        <v>5347</v>
      </c>
      <c r="B5370" t="s">
        <v>475</v>
      </c>
      <c r="C5370" t="s">
        <v>476</v>
      </c>
      <c r="D5370" t="str">
        <f>HYPERLINK("http://service.sap.com/sap/support/notes/1507858","1507858")</f>
        <v>1507858</v>
      </c>
      <c r="F5370" t="s">
        <v>5271</v>
      </c>
    </row>
    <row r="5371" spans="1:6">
      <c r="A5371" t="s">
        <v>5347</v>
      </c>
      <c r="B5371" t="s">
        <v>475</v>
      </c>
      <c r="C5371" t="s">
        <v>476</v>
      </c>
      <c r="D5371" t="str">
        <f>HYPERLINK("http://service.sap.com/sap/support/notes/1511606","1511606")</f>
        <v>1511606</v>
      </c>
      <c r="F5371" t="s">
        <v>5272</v>
      </c>
    </row>
    <row r="5372" spans="1:6">
      <c r="A5372" t="s">
        <v>5347</v>
      </c>
      <c r="B5372" t="s">
        <v>1272</v>
      </c>
      <c r="C5372" t="s">
        <v>2221</v>
      </c>
      <c r="D5372" t="str">
        <f>HYPERLINK("http://service.sap.com/sap/support/notes/1463469","1463469")</f>
        <v>1463469</v>
      </c>
      <c r="F5372" t="s">
        <v>5273</v>
      </c>
    </row>
    <row r="5373" spans="1:6">
      <c r="A5373" t="s">
        <v>5347</v>
      </c>
      <c r="B5373" t="s">
        <v>1272</v>
      </c>
      <c r="C5373" t="s">
        <v>2221</v>
      </c>
      <c r="D5373" t="str">
        <f>HYPERLINK("http://service.sap.com/sap/support/notes/1507691","1507691")</f>
        <v>1507691</v>
      </c>
      <c r="F5373" t="s">
        <v>5274</v>
      </c>
    </row>
    <row r="5374" spans="1:6">
      <c r="A5374" t="s">
        <v>5347</v>
      </c>
      <c r="B5374" t="s">
        <v>479</v>
      </c>
      <c r="C5374" t="s">
        <v>480</v>
      </c>
      <c r="D5374" t="str">
        <f>HYPERLINK("http://service.sap.com/sap/support/notes/1488474","1488474")</f>
        <v>1488474</v>
      </c>
      <c r="F5374" t="s">
        <v>4918</v>
      </c>
    </row>
    <row r="5375" spans="1:6">
      <c r="A5375" t="s">
        <v>5347</v>
      </c>
      <c r="B5375" t="s">
        <v>482</v>
      </c>
      <c r="C5375" t="s">
        <v>483</v>
      </c>
      <c r="D5375" t="str">
        <f>HYPERLINK("http://service.sap.com/sap/support/notes/808408","808408")</f>
        <v>808408</v>
      </c>
      <c r="F5375" t="s">
        <v>1857</v>
      </c>
    </row>
    <row r="5376" spans="1:6">
      <c r="A5376" t="s">
        <v>5347</v>
      </c>
      <c r="B5376" t="s">
        <v>482</v>
      </c>
      <c r="C5376" t="s">
        <v>483</v>
      </c>
      <c r="D5376" t="str">
        <f>HYPERLINK("http://service.sap.com/sap/support/notes/1484328","1484328")</f>
        <v>1484328</v>
      </c>
      <c r="F5376" t="s">
        <v>5275</v>
      </c>
    </row>
    <row r="5377" spans="1:6">
      <c r="A5377" t="s">
        <v>5347</v>
      </c>
      <c r="B5377" t="s">
        <v>482</v>
      </c>
      <c r="C5377" t="s">
        <v>483</v>
      </c>
      <c r="D5377" t="str">
        <f>HYPERLINK("http://service.sap.com/sap/support/notes/1493433","1493433")</f>
        <v>1493433</v>
      </c>
      <c r="F5377" t="s">
        <v>5276</v>
      </c>
    </row>
    <row r="5378" spans="1:6">
      <c r="A5378" t="s">
        <v>5347</v>
      </c>
      <c r="B5378" t="s">
        <v>482</v>
      </c>
      <c r="C5378" t="s">
        <v>483</v>
      </c>
      <c r="D5378" t="str">
        <f>HYPERLINK("http://service.sap.com/sap/support/notes/1501803","1501803")</f>
        <v>1501803</v>
      </c>
      <c r="F5378" t="s">
        <v>5277</v>
      </c>
    </row>
    <row r="5379" spans="1:6">
      <c r="A5379" t="s">
        <v>5347</v>
      </c>
      <c r="B5379" t="s">
        <v>482</v>
      </c>
      <c r="C5379" t="s">
        <v>483</v>
      </c>
      <c r="D5379" t="str">
        <f>HYPERLINK("http://service.sap.com/sap/support/notes/1502073","1502073")</f>
        <v>1502073</v>
      </c>
      <c r="F5379" t="s">
        <v>5278</v>
      </c>
    </row>
    <row r="5380" spans="1:6">
      <c r="A5380" t="s">
        <v>5347</v>
      </c>
      <c r="B5380" t="s">
        <v>482</v>
      </c>
      <c r="C5380" t="s">
        <v>483</v>
      </c>
      <c r="D5380" t="str">
        <f>HYPERLINK("http://service.sap.com/sap/support/notes/1503311","1503311")</f>
        <v>1503311</v>
      </c>
      <c r="F5380" t="s">
        <v>5279</v>
      </c>
    </row>
    <row r="5381" spans="1:6">
      <c r="A5381" t="s">
        <v>5347</v>
      </c>
      <c r="B5381" t="s">
        <v>482</v>
      </c>
      <c r="C5381" t="s">
        <v>483</v>
      </c>
      <c r="D5381" t="str">
        <f>HYPERLINK("http://service.sap.com/sap/support/notes/1504389","1504389")</f>
        <v>1504389</v>
      </c>
      <c r="F5381" t="s">
        <v>5280</v>
      </c>
    </row>
    <row r="5382" spans="1:6">
      <c r="A5382" t="s">
        <v>5347</v>
      </c>
      <c r="B5382" t="s">
        <v>482</v>
      </c>
      <c r="C5382" t="s">
        <v>483</v>
      </c>
      <c r="D5382" t="str">
        <f>HYPERLINK("http://service.sap.com/sap/support/notes/1511056","1511056")</f>
        <v>1511056</v>
      </c>
      <c r="F5382" t="s">
        <v>5281</v>
      </c>
    </row>
    <row r="5383" spans="1:6">
      <c r="A5383" t="s">
        <v>5347</v>
      </c>
      <c r="B5383" t="s">
        <v>2227</v>
      </c>
      <c r="C5383" t="s">
        <v>2228</v>
      </c>
      <c r="D5383" t="str">
        <f>HYPERLINK("http://service.sap.com/sap/support/notes/1502211","1502211")</f>
        <v>1502211</v>
      </c>
      <c r="F5383" t="s">
        <v>5282</v>
      </c>
    </row>
    <row r="5384" spans="1:6">
      <c r="A5384" t="s">
        <v>5347</v>
      </c>
      <c r="B5384" t="s">
        <v>485</v>
      </c>
      <c r="C5384" t="s">
        <v>486</v>
      </c>
      <c r="D5384" t="str">
        <f>HYPERLINK("http://service.sap.com/sap/support/notes/1060820","1060820")</f>
        <v>1060820</v>
      </c>
      <c r="F5384" t="s">
        <v>4220</v>
      </c>
    </row>
    <row r="5385" spans="1:6">
      <c r="A5385" t="s">
        <v>5347</v>
      </c>
      <c r="B5385" t="s">
        <v>489</v>
      </c>
      <c r="C5385" t="s">
        <v>490</v>
      </c>
      <c r="D5385" t="str">
        <f>HYPERLINK("http://service.sap.com/sap/support/notes/1469841","1469841")</f>
        <v>1469841</v>
      </c>
      <c r="F5385" t="s">
        <v>5283</v>
      </c>
    </row>
    <row r="5386" spans="1:6">
      <c r="A5386" t="s">
        <v>5347</v>
      </c>
      <c r="B5386" t="s">
        <v>489</v>
      </c>
      <c r="C5386" t="s">
        <v>490</v>
      </c>
      <c r="D5386" t="str">
        <f>HYPERLINK("http://service.sap.com/sap/support/notes/1470337","1470337")</f>
        <v>1470337</v>
      </c>
      <c r="F5386" t="s">
        <v>5284</v>
      </c>
    </row>
    <row r="5387" spans="1:6">
      <c r="A5387" t="s">
        <v>5347</v>
      </c>
      <c r="B5387" t="s">
        <v>489</v>
      </c>
      <c r="C5387" t="s">
        <v>490</v>
      </c>
      <c r="D5387" t="str">
        <f>HYPERLINK("http://service.sap.com/sap/support/notes/1490461","1490461")</f>
        <v>1490461</v>
      </c>
      <c r="F5387" t="s">
        <v>5285</v>
      </c>
    </row>
    <row r="5388" spans="1:6">
      <c r="A5388" t="s">
        <v>5347</v>
      </c>
      <c r="B5388" t="s">
        <v>489</v>
      </c>
      <c r="C5388" t="s">
        <v>490</v>
      </c>
      <c r="D5388" t="str">
        <f>HYPERLINK("http://service.sap.com/sap/support/notes/1492249","1492249")</f>
        <v>1492249</v>
      </c>
      <c r="F5388" t="s">
        <v>5286</v>
      </c>
    </row>
    <row r="5389" spans="1:6">
      <c r="A5389" t="s">
        <v>5347</v>
      </c>
      <c r="B5389" t="s">
        <v>489</v>
      </c>
      <c r="C5389" t="s">
        <v>490</v>
      </c>
      <c r="D5389" t="str">
        <f>HYPERLINK("http://service.sap.com/sap/support/notes/1492967","1492967")</f>
        <v>1492967</v>
      </c>
      <c r="F5389" t="s">
        <v>5287</v>
      </c>
    </row>
    <row r="5390" spans="1:6">
      <c r="A5390" t="s">
        <v>5347</v>
      </c>
      <c r="B5390" t="s">
        <v>489</v>
      </c>
      <c r="C5390" t="s">
        <v>490</v>
      </c>
      <c r="D5390" t="str">
        <f>HYPERLINK("http://service.sap.com/sap/support/notes/1498006","1498006")</f>
        <v>1498006</v>
      </c>
      <c r="F5390" t="s">
        <v>5288</v>
      </c>
    </row>
    <row r="5391" spans="1:6">
      <c r="A5391" t="s">
        <v>5347</v>
      </c>
      <c r="B5391" t="s">
        <v>489</v>
      </c>
      <c r="C5391" t="s">
        <v>490</v>
      </c>
      <c r="D5391" t="str">
        <f>HYPERLINK("http://service.sap.com/sap/support/notes/1501861","1501861")</f>
        <v>1501861</v>
      </c>
      <c r="F5391" t="s">
        <v>5289</v>
      </c>
    </row>
    <row r="5392" spans="1:6">
      <c r="A5392" t="s">
        <v>5347</v>
      </c>
      <c r="B5392" t="s">
        <v>489</v>
      </c>
      <c r="C5392" t="s">
        <v>490</v>
      </c>
      <c r="D5392" t="str">
        <f>HYPERLINK("http://service.sap.com/sap/support/notes/1504069","1504069")</f>
        <v>1504069</v>
      </c>
      <c r="F5392" t="s">
        <v>5290</v>
      </c>
    </row>
    <row r="5393" spans="1:6">
      <c r="A5393" t="s">
        <v>5347</v>
      </c>
      <c r="B5393" t="s">
        <v>489</v>
      </c>
      <c r="C5393" t="s">
        <v>490</v>
      </c>
      <c r="D5393" t="str">
        <f>HYPERLINK("http://service.sap.com/sap/support/notes/1504609","1504609")</f>
        <v>1504609</v>
      </c>
      <c r="F5393" t="s">
        <v>5291</v>
      </c>
    </row>
    <row r="5394" spans="1:6">
      <c r="A5394" t="s">
        <v>5347</v>
      </c>
      <c r="B5394" t="s">
        <v>489</v>
      </c>
      <c r="C5394" t="s">
        <v>490</v>
      </c>
      <c r="D5394" t="str">
        <f>HYPERLINK("http://service.sap.com/sap/support/notes/1508091","1508091")</f>
        <v>1508091</v>
      </c>
      <c r="F5394" t="s">
        <v>5292</v>
      </c>
    </row>
    <row r="5395" spans="1:6">
      <c r="A5395" t="s">
        <v>5347</v>
      </c>
      <c r="B5395" t="s">
        <v>489</v>
      </c>
      <c r="C5395" t="s">
        <v>490</v>
      </c>
      <c r="D5395" t="str">
        <f>HYPERLINK("http://service.sap.com/sap/support/notes/1509089","1509089")</f>
        <v>1509089</v>
      </c>
      <c r="F5395" t="s">
        <v>5293</v>
      </c>
    </row>
    <row r="5396" spans="1:6">
      <c r="A5396" t="s">
        <v>5347</v>
      </c>
      <c r="B5396" t="s">
        <v>492</v>
      </c>
      <c r="C5396" t="s">
        <v>493</v>
      </c>
      <c r="D5396" t="str">
        <f>HYPERLINK("http://service.sap.com/sap/support/notes/1501135","1501135")</f>
        <v>1501135</v>
      </c>
      <c r="F5396" t="s">
        <v>5294</v>
      </c>
    </row>
    <row r="5397" spans="1:6">
      <c r="A5397" t="s">
        <v>5347</v>
      </c>
      <c r="B5397" t="s">
        <v>492</v>
      </c>
      <c r="C5397" t="s">
        <v>493</v>
      </c>
      <c r="D5397" t="str">
        <f>HYPERLINK("http://service.sap.com/sap/support/notes/1502566","1502566")</f>
        <v>1502566</v>
      </c>
      <c r="F5397" t="s">
        <v>5295</v>
      </c>
    </row>
    <row r="5398" spans="1:6">
      <c r="A5398" t="s">
        <v>5347</v>
      </c>
      <c r="B5398" t="s">
        <v>492</v>
      </c>
      <c r="C5398" t="s">
        <v>493</v>
      </c>
      <c r="D5398" t="str">
        <f>HYPERLINK("http://service.sap.com/sap/support/notes/1502815","1502815")</f>
        <v>1502815</v>
      </c>
      <c r="F5398" t="s">
        <v>5296</v>
      </c>
    </row>
    <row r="5399" spans="1:6">
      <c r="A5399" t="s">
        <v>5347</v>
      </c>
      <c r="B5399" t="s">
        <v>492</v>
      </c>
      <c r="C5399" t="s">
        <v>493</v>
      </c>
      <c r="D5399" t="str">
        <f>HYPERLINK("http://service.sap.com/sap/support/notes/1503100","1503100")</f>
        <v>1503100</v>
      </c>
      <c r="F5399" t="s">
        <v>5297</v>
      </c>
    </row>
    <row r="5400" spans="1:6">
      <c r="A5400" t="s">
        <v>5347</v>
      </c>
      <c r="B5400" t="s">
        <v>492</v>
      </c>
      <c r="C5400" t="s">
        <v>493</v>
      </c>
      <c r="D5400" t="str">
        <f>HYPERLINK("http://service.sap.com/sap/support/notes/1503483","1503483")</f>
        <v>1503483</v>
      </c>
      <c r="F5400" t="s">
        <v>5298</v>
      </c>
    </row>
    <row r="5401" spans="1:6">
      <c r="A5401" t="s">
        <v>5347</v>
      </c>
      <c r="B5401" t="s">
        <v>492</v>
      </c>
      <c r="C5401" t="s">
        <v>493</v>
      </c>
      <c r="D5401" t="str">
        <f>HYPERLINK("http://service.sap.com/sap/support/notes/1504787","1504787")</f>
        <v>1504787</v>
      </c>
      <c r="F5401" t="s">
        <v>5299</v>
      </c>
    </row>
    <row r="5402" spans="1:6">
      <c r="A5402" t="s">
        <v>5347</v>
      </c>
      <c r="B5402" t="s">
        <v>492</v>
      </c>
      <c r="C5402" t="s">
        <v>493</v>
      </c>
      <c r="D5402" t="str">
        <f>HYPERLINK("http://service.sap.com/sap/support/notes/1510334","1510334")</f>
        <v>1510334</v>
      </c>
      <c r="F5402" t="s">
        <v>5300</v>
      </c>
    </row>
    <row r="5403" spans="1:6">
      <c r="A5403" t="s">
        <v>5347</v>
      </c>
      <c r="B5403" t="s">
        <v>492</v>
      </c>
      <c r="C5403" t="s">
        <v>493</v>
      </c>
      <c r="D5403" t="str">
        <f>HYPERLINK("http://service.sap.com/sap/support/notes/1511228","1511228")</f>
        <v>1511228</v>
      </c>
      <c r="F5403" t="s">
        <v>5301</v>
      </c>
    </row>
    <row r="5404" spans="1:6">
      <c r="A5404" t="s">
        <v>5347</v>
      </c>
      <c r="B5404" t="s">
        <v>500</v>
      </c>
      <c r="C5404" t="s">
        <v>501</v>
      </c>
      <c r="D5404" t="str">
        <f>HYPERLINK("http://service.sap.com/sap/support/notes/1174708","1174708")</f>
        <v>1174708</v>
      </c>
      <c r="F5404" t="s">
        <v>502</v>
      </c>
    </row>
    <row r="5405" spans="1:6">
      <c r="A5405" t="s">
        <v>5347</v>
      </c>
      <c r="B5405" t="s">
        <v>500</v>
      </c>
      <c r="C5405" t="s">
        <v>501</v>
      </c>
      <c r="D5405" t="str">
        <f>HYPERLINK("http://service.sap.com/sap/support/notes/1501254","1501254")</f>
        <v>1501254</v>
      </c>
      <c r="F5405" t="s">
        <v>5302</v>
      </c>
    </row>
    <row r="5406" spans="1:6">
      <c r="A5406" t="s">
        <v>5347</v>
      </c>
      <c r="B5406" t="s">
        <v>500</v>
      </c>
      <c r="C5406" t="s">
        <v>501</v>
      </c>
      <c r="D5406" t="str">
        <f>HYPERLINK("http://service.sap.com/sap/support/notes/1502048","1502048")</f>
        <v>1502048</v>
      </c>
      <c r="F5406" t="s">
        <v>5303</v>
      </c>
    </row>
    <row r="5407" spans="1:6">
      <c r="A5407" t="s">
        <v>5347</v>
      </c>
      <c r="B5407" t="s">
        <v>500</v>
      </c>
      <c r="C5407" t="s">
        <v>501</v>
      </c>
      <c r="D5407" t="str">
        <f>HYPERLINK("http://service.sap.com/sap/support/notes/1504044","1504044")</f>
        <v>1504044</v>
      </c>
      <c r="F5407" t="s">
        <v>5304</v>
      </c>
    </row>
    <row r="5408" spans="1:6">
      <c r="A5408" t="s">
        <v>5347</v>
      </c>
      <c r="B5408" t="s">
        <v>500</v>
      </c>
      <c r="C5408" t="s">
        <v>501</v>
      </c>
      <c r="D5408" t="str">
        <f>HYPERLINK("http://service.sap.com/sap/support/notes/1505337","1505337")</f>
        <v>1505337</v>
      </c>
      <c r="F5408" t="s">
        <v>5305</v>
      </c>
    </row>
    <row r="5409" spans="1:6">
      <c r="A5409" t="s">
        <v>5347</v>
      </c>
      <c r="B5409" t="s">
        <v>5306</v>
      </c>
      <c r="C5409" t="s">
        <v>5307</v>
      </c>
      <c r="D5409" t="str">
        <f>HYPERLINK("http://service.sap.com/sap/support/notes/1512559","1512559")</f>
        <v>1512559</v>
      </c>
      <c r="F5409" t="s">
        <v>5308</v>
      </c>
    </row>
    <row r="5410" spans="1:6">
      <c r="A5410" t="s">
        <v>5347</v>
      </c>
      <c r="B5410" t="s">
        <v>504</v>
      </c>
      <c r="C5410" t="s">
        <v>110</v>
      </c>
      <c r="D5410" t="str">
        <f>HYPERLINK("http://service.sap.com/sap/support/notes/1477037","1477037")</f>
        <v>1477037</v>
      </c>
      <c r="F5410" t="s">
        <v>5309</v>
      </c>
    </row>
    <row r="5411" spans="1:6">
      <c r="A5411" t="s">
        <v>5347</v>
      </c>
      <c r="B5411" t="s">
        <v>504</v>
      </c>
      <c r="C5411" t="s">
        <v>110</v>
      </c>
      <c r="D5411" t="str">
        <f>HYPERLINK("http://service.sap.com/sap/support/notes/1499540","1499540")</f>
        <v>1499540</v>
      </c>
      <c r="F5411" t="s">
        <v>5310</v>
      </c>
    </row>
    <row r="5412" spans="1:6">
      <c r="A5412" t="s">
        <v>5347</v>
      </c>
      <c r="B5412" t="s">
        <v>504</v>
      </c>
      <c r="C5412" t="s">
        <v>110</v>
      </c>
      <c r="D5412" t="str">
        <f>HYPERLINK("http://service.sap.com/sap/support/notes/1501125","1501125")</f>
        <v>1501125</v>
      </c>
      <c r="F5412" t="s">
        <v>5311</v>
      </c>
    </row>
    <row r="5413" spans="1:6">
      <c r="A5413" t="s">
        <v>5347</v>
      </c>
      <c r="B5413" t="s">
        <v>504</v>
      </c>
      <c r="C5413" t="s">
        <v>110</v>
      </c>
      <c r="D5413" t="str">
        <f>HYPERLINK("http://service.sap.com/sap/support/notes/1503319","1503319")</f>
        <v>1503319</v>
      </c>
      <c r="F5413" t="s">
        <v>5312</v>
      </c>
    </row>
    <row r="5414" spans="1:6">
      <c r="A5414" t="s">
        <v>5347</v>
      </c>
      <c r="B5414" t="s">
        <v>504</v>
      </c>
      <c r="C5414" t="s">
        <v>110</v>
      </c>
      <c r="D5414" t="str">
        <f>HYPERLINK("http://service.sap.com/sap/support/notes/1504863","1504863")</f>
        <v>1504863</v>
      </c>
      <c r="F5414" t="s">
        <v>5313</v>
      </c>
    </row>
    <row r="5415" spans="1:6">
      <c r="A5415" t="s">
        <v>5347</v>
      </c>
      <c r="B5415" t="s">
        <v>504</v>
      </c>
      <c r="C5415" t="s">
        <v>110</v>
      </c>
      <c r="D5415" t="str">
        <f>HYPERLINK("http://service.sap.com/sap/support/notes/1506131","1506131")</f>
        <v>1506131</v>
      </c>
      <c r="F5415" t="s">
        <v>5314</v>
      </c>
    </row>
    <row r="5416" spans="1:6">
      <c r="A5416" t="s">
        <v>5347</v>
      </c>
      <c r="B5416" t="s">
        <v>504</v>
      </c>
      <c r="C5416" t="s">
        <v>110</v>
      </c>
      <c r="D5416" t="str">
        <f>HYPERLINK("http://service.sap.com/sap/support/notes/1508739","1508739")</f>
        <v>1508739</v>
      </c>
      <c r="F5416" t="s">
        <v>5315</v>
      </c>
    </row>
    <row r="5417" spans="1:6">
      <c r="A5417" t="s">
        <v>5347</v>
      </c>
      <c r="B5417" t="s">
        <v>504</v>
      </c>
      <c r="C5417" t="s">
        <v>110</v>
      </c>
      <c r="D5417" t="str">
        <f>HYPERLINK("http://service.sap.com/sap/support/notes/1510555","1510555")</f>
        <v>1510555</v>
      </c>
      <c r="F5417" t="s">
        <v>5316</v>
      </c>
    </row>
    <row r="5418" spans="1:6">
      <c r="A5418" t="s">
        <v>5347</v>
      </c>
      <c r="B5418" t="s">
        <v>1311</v>
      </c>
      <c r="C5418" t="s">
        <v>189</v>
      </c>
      <c r="D5418" t="str">
        <f>HYPERLINK("http://service.sap.com/sap/support/notes/1503416","1503416")</f>
        <v>1503416</v>
      </c>
      <c r="F5418" t="s">
        <v>5317</v>
      </c>
    </row>
    <row r="5419" spans="1:6">
      <c r="A5419" t="s">
        <v>5347</v>
      </c>
      <c r="B5419" t="s">
        <v>1311</v>
      </c>
      <c r="C5419" t="s">
        <v>189</v>
      </c>
      <c r="D5419" t="str">
        <f>HYPERLINK("http://service.sap.com/sap/support/notes/1504256","1504256")</f>
        <v>1504256</v>
      </c>
      <c r="F5419" t="s">
        <v>5318</v>
      </c>
    </row>
    <row r="5420" spans="1:6">
      <c r="A5420" t="s">
        <v>5347</v>
      </c>
      <c r="B5420" t="s">
        <v>1311</v>
      </c>
      <c r="C5420" t="s">
        <v>189</v>
      </c>
      <c r="D5420" t="str">
        <f>HYPERLINK("http://service.sap.com/sap/support/notes/1505449","1505449")</f>
        <v>1505449</v>
      </c>
      <c r="F5420" t="s">
        <v>5319</v>
      </c>
    </row>
    <row r="5421" spans="1:6">
      <c r="A5421" t="s">
        <v>5347</v>
      </c>
      <c r="B5421" t="s">
        <v>510</v>
      </c>
      <c r="C5421" t="s">
        <v>114</v>
      </c>
      <c r="D5421" t="str">
        <f>HYPERLINK("http://service.sap.com/sap/support/notes/1508798","1508798")</f>
        <v>1508798</v>
      </c>
      <c r="F5421" t="s">
        <v>5320</v>
      </c>
    </row>
    <row r="5422" spans="1:6">
      <c r="A5422" t="s">
        <v>5347</v>
      </c>
      <c r="B5422" t="s">
        <v>510</v>
      </c>
      <c r="C5422" t="s">
        <v>114</v>
      </c>
      <c r="D5422" t="str">
        <f>HYPERLINK("http://service.sap.com/sap/support/notes/1508988","1508988")</f>
        <v>1508988</v>
      </c>
      <c r="F5422" t="s">
        <v>5321</v>
      </c>
    </row>
    <row r="5423" spans="1:6">
      <c r="A5423" t="s">
        <v>5347</v>
      </c>
      <c r="B5423" t="s">
        <v>510</v>
      </c>
      <c r="C5423" t="s">
        <v>114</v>
      </c>
      <c r="D5423" t="str">
        <f>HYPERLINK("http://service.sap.com/sap/support/notes/1511054","1511054")</f>
        <v>1511054</v>
      </c>
      <c r="F5423" t="s">
        <v>5322</v>
      </c>
    </row>
    <row r="5424" spans="1:6">
      <c r="A5424" t="s">
        <v>5347</v>
      </c>
      <c r="B5424" t="s">
        <v>510</v>
      </c>
      <c r="C5424" t="s">
        <v>114</v>
      </c>
      <c r="D5424" t="str">
        <f>HYPERLINK("http://service.sap.com/sap/support/notes/1511055","1511055")</f>
        <v>1511055</v>
      </c>
      <c r="F5424" t="s">
        <v>5323</v>
      </c>
    </row>
    <row r="5425" spans="1:6">
      <c r="A5425" t="s">
        <v>5347</v>
      </c>
      <c r="B5425" t="s">
        <v>510</v>
      </c>
      <c r="C5425" t="s">
        <v>114</v>
      </c>
      <c r="D5425" t="str">
        <f>HYPERLINK("http://service.sap.com/sap/support/notes/1511057","1511057")</f>
        <v>1511057</v>
      </c>
      <c r="F5425" t="s">
        <v>5324</v>
      </c>
    </row>
    <row r="5426" spans="1:6">
      <c r="A5426" t="s">
        <v>5347</v>
      </c>
      <c r="B5426" t="s">
        <v>510</v>
      </c>
      <c r="C5426" t="s">
        <v>114</v>
      </c>
      <c r="D5426" t="str">
        <f>HYPERLINK("http://service.sap.com/sap/support/notes/1511059","1511059")</f>
        <v>1511059</v>
      </c>
      <c r="F5426" t="s">
        <v>5325</v>
      </c>
    </row>
    <row r="5427" spans="1:6">
      <c r="A5427" t="s">
        <v>5347</v>
      </c>
      <c r="B5427" t="s">
        <v>510</v>
      </c>
      <c r="C5427" t="s">
        <v>114</v>
      </c>
      <c r="D5427" t="str">
        <f>HYPERLINK("http://service.sap.com/sap/support/notes/1511076","1511076")</f>
        <v>1511076</v>
      </c>
      <c r="F5427" t="s">
        <v>5326</v>
      </c>
    </row>
    <row r="5428" spans="1:6">
      <c r="A5428" t="s">
        <v>5347</v>
      </c>
      <c r="B5428" t="s">
        <v>513</v>
      </c>
      <c r="C5428" t="s">
        <v>514</v>
      </c>
      <c r="D5428" t="str">
        <f>HYPERLINK("http://service.sap.com/sap/support/notes/1506241","1506241")</f>
        <v>1506241</v>
      </c>
      <c r="F5428" t="s">
        <v>5327</v>
      </c>
    </row>
    <row r="5429" spans="1:6">
      <c r="A5429" t="s">
        <v>5347</v>
      </c>
      <c r="B5429" t="s">
        <v>519</v>
      </c>
      <c r="C5429" t="s">
        <v>117</v>
      </c>
      <c r="D5429" t="str">
        <f>HYPERLINK("http://service.sap.com/sap/support/notes/1456418","1456418")</f>
        <v>1456418</v>
      </c>
      <c r="F5429" t="s">
        <v>5328</v>
      </c>
    </row>
    <row r="5430" spans="1:6">
      <c r="A5430" t="s">
        <v>5347</v>
      </c>
      <c r="B5430" t="s">
        <v>1320</v>
      </c>
      <c r="C5430" t="s">
        <v>1321</v>
      </c>
      <c r="D5430" t="str">
        <f>HYPERLINK("http://service.sap.com/sap/support/notes/1505117","1505117")</f>
        <v>1505117</v>
      </c>
      <c r="F5430" t="s">
        <v>5329</v>
      </c>
    </row>
    <row r="5431" spans="1:6">
      <c r="A5431" t="s">
        <v>5347</v>
      </c>
      <c r="B5431" t="s">
        <v>520</v>
      </c>
      <c r="C5431" t="s">
        <v>239</v>
      </c>
    </row>
    <row r="5432" spans="1:6">
      <c r="A5432" t="s">
        <v>5347</v>
      </c>
      <c r="B5432" t="s">
        <v>521</v>
      </c>
      <c r="C5432" t="s">
        <v>522</v>
      </c>
      <c r="D5432" t="str">
        <f>HYPERLINK("http://service.sap.com/sap/support/notes/1492284","1492284")</f>
        <v>1492284</v>
      </c>
      <c r="F5432" t="s">
        <v>5330</v>
      </c>
    </row>
    <row r="5433" spans="1:6">
      <c r="A5433" t="s">
        <v>5347</v>
      </c>
      <c r="B5433" t="s">
        <v>529</v>
      </c>
      <c r="C5433" t="s">
        <v>530</v>
      </c>
      <c r="D5433" t="str">
        <f>HYPERLINK("http://service.sap.com/sap/support/notes/1484291","1484291")</f>
        <v>1484291</v>
      </c>
      <c r="F5433" t="s">
        <v>5331</v>
      </c>
    </row>
    <row r="5434" spans="1:6">
      <c r="A5434" t="s">
        <v>5347</v>
      </c>
      <c r="B5434" t="s">
        <v>529</v>
      </c>
      <c r="C5434" t="s">
        <v>530</v>
      </c>
      <c r="D5434" t="str">
        <f>HYPERLINK("http://service.sap.com/sap/support/notes/1493072","1493072")</f>
        <v>1493072</v>
      </c>
      <c r="F5434" t="s">
        <v>5332</v>
      </c>
    </row>
    <row r="5435" spans="1:6">
      <c r="A5435" t="s">
        <v>5347</v>
      </c>
      <c r="B5435" t="s">
        <v>529</v>
      </c>
      <c r="C5435" t="s">
        <v>530</v>
      </c>
      <c r="D5435" t="str">
        <f>HYPERLINK("http://service.sap.com/sap/support/notes/1494094","1494094")</f>
        <v>1494094</v>
      </c>
      <c r="F5435" t="s">
        <v>5333</v>
      </c>
    </row>
    <row r="5436" spans="1:6">
      <c r="A5436" t="s">
        <v>5347</v>
      </c>
      <c r="B5436" t="s">
        <v>529</v>
      </c>
      <c r="C5436" t="s">
        <v>530</v>
      </c>
      <c r="D5436" t="str">
        <f>HYPERLINK("http://service.sap.com/sap/support/notes/1494101","1494101")</f>
        <v>1494101</v>
      </c>
      <c r="F5436" t="s">
        <v>5334</v>
      </c>
    </row>
    <row r="5437" spans="1:6">
      <c r="A5437" t="s">
        <v>5347</v>
      </c>
      <c r="B5437" t="s">
        <v>529</v>
      </c>
      <c r="C5437" t="s">
        <v>530</v>
      </c>
      <c r="D5437" t="str">
        <f>HYPERLINK("http://service.sap.com/sap/support/notes/1496314","1496314")</f>
        <v>1496314</v>
      </c>
      <c r="F5437" t="s">
        <v>5335</v>
      </c>
    </row>
    <row r="5438" spans="1:6">
      <c r="A5438" t="s">
        <v>5347</v>
      </c>
      <c r="B5438" t="s">
        <v>529</v>
      </c>
      <c r="C5438" t="s">
        <v>530</v>
      </c>
      <c r="D5438" t="str">
        <f>HYPERLINK("http://service.sap.com/sap/support/notes/1497930","1497930")</f>
        <v>1497930</v>
      </c>
      <c r="F5438" t="s">
        <v>5336</v>
      </c>
    </row>
    <row r="5439" spans="1:6">
      <c r="A5439" t="s">
        <v>5347</v>
      </c>
      <c r="B5439" t="s">
        <v>529</v>
      </c>
      <c r="C5439" t="s">
        <v>530</v>
      </c>
      <c r="D5439" t="str">
        <f>HYPERLINK("http://service.sap.com/sap/support/notes/1503295","1503295")</f>
        <v>1503295</v>
      </c>
      <c r="F5439" t="s">
        <v>5337</v>
      </c>
    </row>
    <row r="5440" spans="1:6">
      <c r="A5440" t="s">
        <v>5347</v>
      </c>
      <c r="B5440" t="s">
        <v>529</v>
      </c>
      <c r="C5440" t="s">
        <v>530</v>
      </c>
      <c r="D5440" t="str">
        <f>HYPERLINK("http://service.sap.com/sap/support/notes/1503314","1503314")</f>
        <v>1503314</v>
      </c>
      <c r="F5440" t="s">
        <v>5338</v>
      </c>
    </row>
    <row r="5441" spans="1:6">
      <c r="A5441" t="s">
        <v>5347</v>
      </c>
      <c r="B5441" t="s">
        <v>529</v>
      </c>
      <c r="C5441" t="s">
        <v>530</v>
      </c>
      <c r="D5441" t="str">
        <f>HYPERLINK("http://service.sap.com/sap/support/notes/1505258","1505258")</f>
        <v>1505258</v>
      </c>
      <c r="F5441" t="s">
        <v>5339</v>
      </c>
    </row>
    <row r="5442" spans="1:6">
      <c r="A5442" t="s">
        <v>5347</v>
      </c>
      <c r="B5442" t="s">
        <v>533</v>
      </c>
      <c r="C5442" t="s">
        <v>534</v>
      </c>
      <c r="D5442" t="str">
        <f>HYPERLINK("http://service.sap.com/sap/support/notes/1433667","1433667")</f>
        <v>1433667</v>
      </c>
      <c r="F5442" t="s">
        <v>5340</v>
      </c>
    </row>
    <row r="5443" spans="1:6">
      <c r="A5443" t="s">
        <v>5347</v>
      </c>
      <c r="B5443" t="s">
        <v>533</v>
      </c>
      <c r="C5443" t="s">
        <v>534</v>
      </c>
      <c r="D5443" t="str">
        <f>HYPERLINK("http://service.sap.com/sap/support/notes/1507384","1507384")</f>
        <v>1507384</v>
      </c>
      <c r="F5443" t="s">
        <v>5341</v>
      </c>
    </row>
    <row r="5444" spans="1:6">
      <c r="A5444" t="s">
        <v>5347</v>
      </c>
      <c r="B5444" t="s">
        <v>541</v>
      </c>
      <c r="C5444" t="s">
        <v>542</v>
      </c>
    </row>
    <row r="5445" spans="1:6">
      <c r="A5445" t="s">
        <v>5347</v>
      </c>
      <c r="B5445" t="s">
        <v>544</v>
      </c>
      <c r="C5445" t="s">
        <v>545</v>
      </c>
      <c r="D5445" t="str">
        <f>HYPERLINK("http://service.sap.com/sap/support/notes/1505536","1505536")</f>
        <v>1505536</v>
      </c>
      <c r="F5445" t="s">
        <v>5342</v>
      </c>
    </row>
    <row r="5446" spans="1:6">
      <c r="A5446" t="s">
        <v>5347</v>
      </c>
      <c r="B5446" t="s">
        <v>1914</v>
      </c>
      <c r="C5446" t="s">
        <v>1915</v>
      </c>
      <c r="D5446" t="str">
        <f>HYPERLINK("http://service.sap.com/sap/support/notes/1175233","1175233")</f>
        <v>1175233</v>
      </c>
      <c r="F5446" t="s">
        <v>1916</v>
      </c>
    </row>
    <row r="5447" spans="1:6">
      <c r="A5447" t="s">
        <v>5347</v>
      </c>
      <c r="B5447" t="s">
        <v>1914</v>
      </c>
      <c r="C5447" t="s">
        <v>1915</v>
      </c>
      <c r="D5447" t="str">
        <f>HYPERLINK("http://service.sap.com/sap/support/notes/1499926","1499926")</f>
        <v>1499926</v>
      </c>
      <c r="F5447" t="s">
        <v>5343</v>
      </c>
    </row>
    <row r="5448" spans="1:6">
      <c r="A5448" t="s">
        <v>5347</v>
      </c>
      <c r="B5448" t="s">
        <v>1914</v>
      </c>
      <c r="C5448" t="s">
        <v>1915</v>
      </c>
      <c r="D5448" t="str">
        <f>HYPERLINK("http://service.sap.com/sap/support/notes/1501220","1501220")</f>
        <v>1501220</v>
      </c>
      <c r="F5448" t="s">
        <v>5344</v>
      </c>
    </row>
    <row r="5449" spans="1:6">
      <c r="A5449" t="s">
        <v>5347</v>
      </c>
      <c r="B5449" t="s">
        <v>1914</v>
      </c>
      <c r="C5449" t="s">
        <v>1915</v>
      </c>
      <c r="D5449" t="str">
        <f>HYPERLINK("http://service.sap.com/sap/support/notes/1504240","1504240")</f>
        <v>1504240</v>
      </c>
      <c r="F5449" t="s">
        <v>5345</v>
      </c>
    </row>
    <row r="5450" spans="1:6">
      <c r="A5450" t="s">
        <v>5347</v>
      </c>
      <c r="B5450" t="s">
        <v>1914</v>
      </c>
      <c r="C5450" t="s">
        <v>1915</v>
      </c>
      <c r="D5450" t="str">
        <f>HYPERLINK("http://service.sap.com/sap/support/notes/1506946","1506946")</f>
        <v>1506946</v>
      </c>
      <c r="F5450" t="s">
        <v>5346</v>
      </c>
    </row>
  </sheetData>
  <autoFilter ref="A1:F501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SAPKE60415_notes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Massachusetts  Institute of Technology</cp:lastModifiedBy>
  <dcterms:created xsi:type="dcterms:W3CDTF">2010-09-15T19:56:03Z</dcterms:created>
  <dcterms:modified xsi:type="dcterms:W3CDTF">2010-10-20T18:27:29Z</dcterms:modified>
</cp:coreProperties>
</file>